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omments1.xml" ContentType="application/vnd.openxmlformats-officedocument.spreadsheetml.comments+xml"/>
  <Override PartName="/xl/tables/table23.xml" ContentType="application/vnd.openxmlformats-officedocument.spreadsheetml.table+xml"/>
  <Override PartName="/xl/drawings/drawing2.xml" ContentType="application/vnd.openxmlformats-officedocument.drawing+xml"/>
  <Override PartName="/xl/ctrlProps/ctrlProp1.xml" ContentType="application/vnd.ms-excel.controlproperties+xml"/>
  <Override PartName="/xl/tables/table24.xml" ContentType="application/vnd.openxmlformats-officedocument.spreadsheetml.table+xml"/>
  <Override PartName="/xl/drawings/drawing3.xml" ContentType="application/vnd.openxmlformats-officedocument.drawing+xml"/>
  <Override PartName="/xl/ctrlProps/ctrlProp2.xml" ContentType="application/vnd.ms-excel.controlproperties+xml"/>
  <Override PartName="/xl/tables/table25.xml" ContentType="application/vnd.openxmlformats-officedocument.spreadsheetml.table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drawings/drawing6.xml" ContentType="application/vnd.openxmlformats-officedocument.drawing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7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drawings/drawing8.xml" ContentType="application/vnd.openxmlformats-officedocument.drawing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queryTables/queryTable1.xml" ContentType="application/vnd.openxmlformats-officedocument.spreadsheetml.queryTable+xml"/>
  <Override PartName="/xl/tables/table54.xml" ContentType="application/vnd.openxmlformats-officedocument.spreadsheetml.table+xml"/>
  <Override PartName="/xl/queryTables/queryTable2.xml" ContentType="application/vnd.openxmlformats-officedocument.spreadsheetml.queryTable+xml"/>
  <Override PartName="/xl/tables/table55.xml" ContentType="application/vnd.openxmlformats-officedocument.spreadsheetml.table+xml"/>
  <Override PartName="/xl/queryTables/queryTable3.xml" ContentType="application/vnd.openxmlformats-officedocument.spreadsheetml.queryTable+xml"/>
  <Override PartName="/xl/tables/table56.xml" ContentType="application/vnd.openxmlformats-officedocument.spreadsheetml.table+xml"/>
  <Override PartName="/xl/queryTables/queryTable4.xml" ContentType="application/vnd.openxmlformats-officedocument.spreadsheetml.queryTable+xml"/>
  <Override PartName="/xl/tables/table57.xml" ContentType="application/vnd.openxmlformats-officedocument.spreadsheetml.table+xml"/>
  <Override PartName="/xl/queryTables/queryTable5.xml" ContentType="application/vnd.openxmlformats-officedocument.spreadsheetml.queryTable+xml"/>
  <Override PartName="/xl/tables/table58.xml" ContentType="application/vnd.openxmlformats-officedocument.spreadsheetml.table+xml"/>
  <Override PartName="/xl/queryTables/queryTable6.xml" ContentType="application/vnd.openxmlformats-officedocument.spreadsheetml.query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queryTables/queryTable7.xml" ContentType="application/vnd.openxmlformats-officedocument.spreadsheetml.query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queryTables/queryTable8.xml" ContentType="application/vnd.openxmlformats-officedocument.spreadsheetml.query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queryTables/queryTable9.xml" ContentType="application/vnd.openxmlformats-officedocument.spreadsheetml.queryTable+xml"/>
  <Override PartName="/xl/drawings/drawing9.xml" ContentType="application/vnd.openxmlformats-officedocument.drawing+xml"/>
  <Override PartName="/xl/ctrlProps/ctrlProp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A:\0_IPO\2024-2025\Септември\Gen\"/>
    </mc:Choice>
  </mc:AlternateContent>
  <xr:revisionPtr revIDLastSave="0" documentId="13_ncr:1_{6F3F1629-E1C4-412B-B02B-17A9BB60AA07}" xr6:coauthVersionLast="47" xr6:coauthVersionMax="47" xr10:uidLastSave="{00000000-0000-0000-0000-000000000000}"/>
  <workbookProtection workbookAlgorithmName="SHA-512" workbookHashValue="vGf0zfhQ3Au34QImBTkTS4YiaEinupqx5CqyXJq3Zmnnigh7g8Fm1V2vihhqD+iwGGJmCyTVqeYSbKCFz1OK0g==" workbookSaltValue="VIgxYoM56BQzpPwdd+hrPQ==" workbookSpinCount="100000" lockStructure="1"/>
  <bookViews>
    <workbookView xWindow="-120" yWindow="-120" windowWidth="57840" windowHeight="32190" tabRatio="881" firstSheet="8" activeTab="8" xr2:uid="{A77416B3-D495-427E-9DA2-E0906DC86D3C}"/>
  </bookViews>
  <sheets>
    <sheet name="list" sheetId="3" state="hidden" r:id="rId1"/>
    <sheet name="Coef" sheetId="6" state="hidden" r:id="rId2"/>
    <sheet name="ПЕРИОД" sheetId="16" state="hidden" r:id="rId3"/>
    <sheet name="Корекции" sheetId="10" state="hidden" r:id="rId4"/>
    <sheet name="1. Планд" sheetId="1" state="hidden" r:id="rId5"/>
    <sheet name="1. План" sheetId="20" state="hidden" r:id="rId6"/>
    <sheet name="ДИУУ" sheetId="26" state="hidden" r:id="rId7"/>
    <sheet name="ДЕО" sheetId="24" state="hidden" r:id="rId8"/>
    <sheet name="1. Отчет" sheetId="17" r:id="rId9"/>
    <sheet name="2. ОКС &quot;бакалавър&quot;" sheetId="2" r:id="rId10"/>
    <sheet name="3. ОКС &quot;магистър&quot;" sheetId="4" r:id="rId11"/>
    <sheet name="4. ОНС &quot;доктор&quot;" sheetId="5" r:id="rId12"/>
    <sheet name="5. Подготовка на курс" sheetId="7" state="hidden" r:id="rId13"/>
    <sheet name="6. Договор" sheetId="28" state="hidden" r:id="rId14"/>
    <sheet name="Refrsh" sheetId="34" state="hidden" r:id="rId15"/>
    <sheet name="НАЦИД_Обобщен_отчет" sheetId="33" state="hidden" r:id="rId16"/>
    <sheet name="dbеФакултет_ОЗ_Спец" sheetId="31" state="hidden" r:id="rId17"/>
    <sheet name="EducPlans_кодНАЦИД_Спец" sheetId="32" state="hidden" r:id="rId18"/>
    <sheet name="Контрол" sheetId="27" state="hidden" r:id="rId19"/>
    <sheet name="Номенклатура" sheetId="22" state="hidden" r:id="rId20"/>
    <sheet name="База данни" sheetId="21" state="hidden" r:id="rId21"/>
    <sheet name="Справки" sheetId="23" state="hidden" r:id="rId22"/>
    <sheet name="db_EducationPlans_МОН_List" sheetId="30" state="hidden" r:id="rId23"/>
    <sheet name="1. Отчет-ДЕО" sheetId="25" state="hidden" r:id="rId24"/>
  </sheets>
  <definedNames>
    <definedName name="BM4DisciplinaD">'4. ОНС "доктор"'!$B$9</definedName>
    <definedName name="BM4KDI">'4. ОНС "доктор"'!$B$18</definedName>
    <definedName name="BM4NRD">'4. ОНС "доктор"'!$B$19</definedName>
    <definedName name="BM4PN">'4. ОНС "доктор"'!$B$11</definedName>
    <definedName name="BM5BrEkip">'5. Подготовка на курс'!$B$13</definedName>
    <definedName name="BM5Deinost">'5. Подготовка на курс'!$B$12</definedName>
    <definedName name="BM5Disciplina">'5. Подготовка на курс'!$B$14</definedName>
    <definedName name="BM5Facultet">'5. Подготовка на курс'!$B$17</definedName>
    <definedName name="BM5Forma" localSheetId="23">Подготовка_курс[[#Headers],[ФормаОб]]</definedName>
    <definedName name="BM5Forma" localSheetId="5">Подготовка_курс[[#Headers],[ФормаОб]]</definedName>
    <definedName name="BM5Forma" localSheetId="22">Подготовка_курс[[#Headers],[ФормаОб]]</definedName>
    <definedName name="BM5Forma" localSheetId="16">Подготовка_курс[[#Headers],[ФормаОб]]</definedName>
    <definedName name="BM5Forma" localSheetId="6">Подготовка_курс[[#Headers],[ФормаОб]]</definedName>
    <definedName name="BM5Forma">Подготовка_курс[[#Headers],[ФормаОб]]</definedName>
    <definedName name="BM5LUPU">'5. Подготовка на курс'!$B$21</definedName>
    <definedName name="BM5OKC">'5. Подготовка на курс'!$B$15</definedName>
    <definedName name="BM5Semestar">'5. Подготовка на курс'!$B$20</definedName>
    <definedName name="BM5Spec">'5. Подготовка на курс'!$B$16</definedName>
    <definedName name="BM5Vid">'5. Подготовка на курс'!$B$18</definedName>
    <definedName name="BMBrIzpitaniB">'2. ОКС "бакалавър"'!$N$20</definedName>
    <definedName name="BMBrIzpitaniD">'4. ОНС "доктор"'!$B$15</definedName>
    <definedName name="BMBrIzpitaniM">'3. ОКС "магистър"'!$N$20</definedName>
    <definedName name="BMBrKRB">'2. ОКС "бакалавър"'!$N$24</definedName>
    <definedName name="BMBrKRM">'3. ОКС "магистър"'!$N$22</definedName>
    <definedName name="BMBrLiUD">'4. ОНС "доктор"'!$B$14</definedName>
    <definedName name="BMBroiD">'4. ОНС "доктор"'!$B$13</definedName>
    <definedName name="BMBrStB">'2. ОКС "бакалавър"'!$N$14</definedName>
    <definedName name="BMBrStM">'3. ОКС "магистър"'!$N$14</definedName>
    <definedName name="BMBrTOB">'2. ОКС "бакалавър"'!$N$21</definedName>
    <definedName name="BMBrTOM">'3. ОКС "магистър"'!$N$21</definedName>
    <definedName name="BMDisciplinaB">'2. ОКС "бакалавър"'!$N$8</definedName>
    <definedName name="BMDisciplinaD">'4. ОНС "доктор"'!$B$9</definedName>
    <definedName name="BMdisciplinaM">'3. ОКС "магистър"'!$N$8</definedName>
    <definedName name="BMDopPoqsnenieD">'4. ОНС "доктор"'!$B$10</definedName>
    <definedName name="BMEzikB">'2. ОКС "бакалавър"'!$N$17</definedName>
    <definedName name="BMEzikD">'4. ОНС "доктор"'!$B$12</definedName>
    <definedName name="BMEzikM">'3. ОКС "магистър"'!$N$17</definedName>
    <definedName name="BMFakultetB">'2. ОКС "бакалавър"'!$N$10</definedName>
    <definedName name="BMFakultetM">'3. ОКС "магистър"'!$N$10</definedName>
    <definedName name="BMFormaObB">'2. ОКС "бакалавър"'!$N$13</definedName>
    <definedName name="BMFormaObM">'3. ОКС "магистър"'!$N$13</definedName>
    <definedName name="BMFormaOcB">'2. ОКС "бакалавър"'!$N$18</definedName>
    <definedName name="BMFormaOcM">'3. ОКС "магистър"'!$N$18</definedName>
    <definedName name="BMHomeOP" localSheetId="8">'1. Отчет'!$B$78:$L$80</definedName>
    <definedName name="BMHomeOP" localSheetId="23">'1. Отчет-ДЕО'!$B$76:$L$78</definedName>
    <definedName name="BMHomeOP" localSheetId="5">'1. План'!$B$77:$L$79</definedName>
    <definedName name="BMHomeOP">'1. Планд'!$B$77:$L$79</definedName>
    <definedName name="BMHomeTotal" localSheetId="8">'1. Отчет'!$B$59:$G$60</definedName>
    <definedName name="BMHomeTotal" localSheetId="23">'1. Отчет-ДЕО'!$B$58:$G$59</definedName>
    <definedName name="BMHomeTotal" localSheetId="5">'1. План'!$B$59:$G$60</definedName>
    <definedName name="BMHomeTotal">'1. Планд'!$B$59:$G$60</definedName>
    <definedName name="BMKursB">'2. ОКС "бакалавър"'!$N$12</definedName>
    <definedName name="BMKursM">'3. ОКС "магистър"'!$N$12</definedName>
    <definedName name="BMNRD">'4. ОНС "доктор"'!$B$19</definedName>
    <definedName name="BMPodgotovkaKurs">'5. Подготовка на курс'!$B$7</definedName>
    <definedName name="BMPraktikiZSM">'3. ОКС "магистър"'!$N$52</definedName>
    <definedName name="BMRealenBrLiUB">'2. ОКС "бакалавър"'!$N$15</definedName>
    <definedName name="BMRealenBrLiUM">'3. ОКС "магистър"'!$N$15</definedName>
    <definedName name="BMSpecialnostB">'2. ОКС "бакалавър"'!$N$9</definedName>
    <definedName name="BMSpecialnostM">'3. ОКС "магистър"'!$N$9</definedName>
    <definedName name="BMTAB">'2. ОКС "бакалавър"'!$N$19</definedName>
    <definedName name="BMTAM">'3. ОКС "магистър"'!$N$19</definedName>
    <definedName name="BMVidDB">'2. ОКС "бакалавър"'!$N$11</definedName>
    <definedName name="BMVidDM">'3. ОКС "магистър"'!$N$11</definedName>
    <definedName name="BrStB">'2. ОКС "бакалавър"'!$N$14</definedName>
    <definedName name="Col_Hide_1_ОтчетЗЛ" localSheetId="23" hidden="1">'1. Отчет-ДЕО'!$N:$S</definedName>
    <definedName name="Col_Hide_1_ОтчетЗЛ" hidden="1">'1. Отчет'!$N:$S</definedName>
    <definedName name="Col_Hide_1_План" localSheetId="5">'1. План'!$M:$R</definedName>
    <definedName name="Col_Hide_1_План" hidden="1">'1. Планд'!$N:$S</definedName>
    <definedName name="Col_Hide_2_ОКС_Бакалавър" localSheetId="22">'2. ОКС "бакалавър"'!$B:$M,'2. ОКС "бакалавър"'!$AC:$AT</definedName>
    <definedName name="Col_Hide_2_ОКС_Бакалавър" localSheetId="16">'2. ОКС "бакалавър"'!$B:$M,'2. ОКС "бакалавър"'!$AC:$AT</definedName>
    <definedName name="Col_Hide_2_ОКС_Бакалавър">'2. ОКС "бакалавър"'!$B:$M,'2. ОКС "бакалавър"'!$AC:$AT</definedName>
    <definedName name="Col_Hide_3_ОКС_Магистър" localSheetId="22">'3. ОКС "магистър"'!$B:$M,'3. ОКС "магистър"'!$AC:$AT</definedName>
    <definedName name="Col_Hide_3_ОКС_Магистър" localSheetId="16">'3. ОКС "магистър"'!$B:$M,'3. ОКС "магистър"'!$AC:$AT</definedName>
    <definedName name="Col_Hide_3_ОКС_Магистър">'3. ОКС "магистър"'!$B:$M,'3. ОКС "магистър"'!$AC:$AT</definedName>
    <definedName name="Col_Hide_4_ОНС_Доктор">'4. ОНС "доктор"'!$L:$AT</definedName>
    <definedName name="Col_Hide_5_Подготовка_курс">'5. Подготовка на курс'!$N:$AV</definedName>
    <definedName name="Col_Show_2_ОКС_Бакалавър_НАЦИД">'2. ОКС "бакалавър"'!$AC:$AT</definedName>
    <definedName name="Col_Show_3_ОКС_Магистър_НАЦИД">'3. ОКС "магистър"'!$AC:$AT</definedName>
    <definedName name="d">'2. ОКС "бакалавър"'!$N$9</definedName>
    <definedName name="disciplinaB">'2. ОКС "бакалавър"'!$N$8</definedName>
    <definedName name="disciplinaM">'3. ОКС "магистър"'!$N$8</definedName>
    <definedName name="ExternalData_1" localSheetId="16" hidden="1">dbеФакултет_ОЗ_Спец!$N$16:$U$17</definedName>
    <definedName name="ExternalData_1" localSheetId="19" hidden="1">Номенклатура!$BF$3:$BL$88</definedName>
    <definedName name="ExternalData_2" localSheetId="16" hidden="1">dbеФакултет_ОЗ_Спец!$X$2:$AQ$3</definedName>
    <definedName name="ExternalData_2" localSheetId="19" hidden="1">Номенклатура!$BP$3:$BV$2481</definedName>
    <definedName name="ExternalData_3" localSheetId="22" hidden="1">db_EducationPlans_МОН_List!$A$10:$I$189</definedName>
    <definedName name="ExternalData_3" localSheetId="16" hidden="1">dbеФакултет_ОЗ_Спец!$C$16:$D$17</definedName>
    <definedName name="ExternalData_4" localSheetId="16" hidden="1">dbеФакултет_ОЗ_Спец!$F$16:$L$17</definedName>
    <definedName name="ExternalData_4" localSheetId="17" hidden="1">EducPlans_кодНАЦИД_Спец!$C$6:$O$1930</definedName>
    <definedName name="ExternalData_5" localSheetId="15" hidden="1">НАЦИД_Обобщен_отчет!$C$17:$AC$18</definedName>
    <definedName name="_xlnm.Extract" localSheetId="9">'2. ОКС "бакалавър"'!$O$30:$R$49</definedName>
    <definedName name="EzikB">'2. ОКС "бакалавър"'!$N$17</definedName>
    <definedName name="FakultetB">'2. ОКС "бакалавър"'!$N$10</definedName>
    <definedName name="FakultetM">'3. ОКС "магистър"'!$N$10</definedName>
    <definedName name="FileName_Semester">ПЕРИОД!$D$19</definedName>
    <definedName name="FormaObB">'2. ОКС "бакалавър"'!$N$13</definedName>
    <definedName name="FormaOcB">'2. ОКС "бакалавър"'!$N$18</definedName>
    <definedName name="Instrukcia">'3. ОКС "магистър"'!$N$7</definedName>
    <definedName name="InstrukciaB">'2. ОКС "бакалавър"'!$N$7</definedName>
    <definedName name="InstrukciaD">'4. ОНС "доктор"'!$B$7</definedName>
    <definedName name="InstrukciaM">'3. ОКС "магистър"'!$N$7</definedName>
    <definedName name="IPBMD" localSheetId="8">'1. Отчет'!$B$12</definedName>
    <definedName name="IPBMD" localSheetId="23">'1. Отчет-ДЕО'!$B$12</definedName>
    <definedName name="IPBMD" localSheetId="5">'1. План'!$B$12</definedName>
    <definedName name="IPBMD">'1. Планд'!$B$11</definedName>
    <definedName name="KursB">'2. ОКС "бакалавър"'!$N$12</definedName>
    <definedName name="KursM">'3. ОКС "магистър"'!$N$12</definedName>
    <definedName name="L_Инструкция_Бакалавър">'2. ОКС "бакалавър"'!$N$7:$AB$24</definedName>
    <definedName name="L_Инструкция_Доктор">'4. ОНС "доктор"'!$B$7:$J$19</definedName>
    <definedName name="L_Инструкция_Магистър">'3. ОКС "магистър"'!$N$7:$AB$22</definedName>
    <definedName name="L_Инструкция_ПодготовкаКурс">'5. Подготовка на курс'!$B$7:$M$21</definedName>
    <definedName name="LetenSemestarB">'2. ОКС "бакалавър"'!$N$81</definedName>
    <definedName name="LetenSemestarM">'3. ОКС "магистър"'!$N$81</definedName>
    <definedName name="mark" localSheetId="22">'3. ОКС "магистър"'!$N$17</definedName>
    <definedName name="mark" localSheetId="16">'3. ОКС "магистър"'!$N$17</definedName>
    <definedName name="mark">'3. ОКС "магистър"'!$N$17</definedName>
    <definedName name="nGetLenData1" localSheetId="22">'1. Планд'!$O$21</definedName>
    <definedName name="nGetLenData1" localSheetId="16">'1. Планд'!$O$21</definedName>
    <definedName name="nGetLenData1">'1. Планд'!$O$21</definedName>
    <definedName name="nGetLenData2" localSheetId="22">'1. Планд'!$P$21</definedName>
    <definedName name="nGetLenData2" localSheetId="16">'1. Планд'!$P$21</definedName>
    <definedName name="nGetLenData2">'1. Планд'!$P$21</definedName>
    <definedName name="nGetLogData1" localSheetId="22">'1. Планд'!$O$13</definedName>
    <definedName name="nGetLogData1" localSheetId="16">'1. Планд'!$O$13</definedName>
    <definedName name="nGetLogData1">'1. Планд'!$O$13</definedName>
    <definedName name="nGetLogData2" localSheetId="22">'1. Планд'!$P$13</definedName>
    <definedName name="nGetLogData2" localSheetId="16">'1. Планд'!$P$13</definedName>
    <definedName name="nGetLogData2">'1. Планд'!$P$13</definedName>
    <definedName name="nnГодишнаЗаетост" localSheetId="23">'1. Отчет-ДЕО'!$H$62:$L$63</definedName>
    <definedName name="nnГодишнаЗаетост">'1. Отчет'!$H$63:$L$64</definedName>
    <definedName name="nnОтчет" localSheetId="23">'1. Отчет-ДЕО'!$B$24:$L$59</definedName>
    <definedName name="nnОтчет">'1. Отчет'!$B$24:$L$60</definedName>
    <definedName name="nnРеалниЧасове" localSheetId="23">'1. Отчет-ДЕО'!$K$62</definedName>
    <definedName name="nnРеалниЧасове" localSheetId="22">'1. Отчет'!$K$63</definedName>
    <definedName name="nnРеалниЧасове" localSheetId="16">'1. Отчет'!$K$63</definedName>
    <definedName name="nnРеалниЧасове">'1. Отчет'!$K$63</definedName>
    <definedName name="nаАкадДлъж">INDIRECT("T_АкадДлъж[акад. длъж]")</definedName>
    <definedName name="nАдадДлъжОтчет" localSheetId="23">'1. Отчет-ДЕО'!$B$14</definedName>
    <definedName name="nАдадДлъжОтчет" localSheetId="22">'1. Отчет'!$B$14</definedName>
    <definedName name="nАдадДлъжОтчет" localSheetId="16">'1. Отчет'!$B$14</definedName>
    <definedName name="nАдадДлъжОтчет">'1. Отчет'!$B$14</definedName>
    <definedName name="nАдадДлъжПлан">'1. План'!$B$14</definedName>
    <definedName name="nАкадДлъж">INDIRECT("T_АкадДлъж[Академична длъжност в СУ]")</definedName>
    <definedName name="nАктуализация">list!$A$93</definedName>
    <definedName name="nБакалавър">list!$C$91</definedName>
    <definedName name="nд_об">list!$A$55</definedName>
    <definedName name="nДепълнЗабележка">'1. Отчет'!$E$17</definedName>
    <definedName name="nЗимен">ПЕРИОД!$H$4</definedName>
    <definedName name="nЗименЛетен">ПЕРИОД!$G$4:$G$5</definedName>
    <definedName name="nКатедраОтчет" localSheetId="23">'1. Отчет-ДЕО'!$B$9</definedName>
    <definedName name="nКатедраОтчет">'1. Отчет'!$B$9</definedName>
    <definedName name="nКатедраПлан">'1. План'!$B$9</definedName>
    <definedName name="nкоефД_об">Coef!$B$27</definedName>
    <definedName name="nкоефР_об_З_об">Coef!$B$26</definedName>
    <definedName name="nЛетен">ПЕРИОД!$I$4</definedName>
    <definedName name="nМагистър">list!$C$92</definedName>
    <definedName name="nНов_курс">list!$A$91</definedName>
    <definedName name="nПреподавателОтчет" localSheetId="23">'1. Отчет-ДЕО'!$F$14</definedName>
    <definedName name="nПреподавателОтчет">'1. Отчет'!$F$14</definedName>
    <definedName name="nПреподавателПлан">'1. План'!$F$14</definedName>
    <definedName name="nРъковДлъжОтчет" localSheetId="23">'1. Отчет-ДЕО'!$E$19</definedName>
    <definedName name="nРъковДлъжОтчет" localSheetId="22">'1. Отчет'!$E$19</definedName>
    <definedName name="nРъковДлъжОтчет" localSheetId="16">'1. Отчет'!$E$19</definedName>
    <definedName name="nРъковДлъжОтчет">'1. Отчет'!$E$19</definedName>
    <definedName name="nРъковДлъжПлан">'1. План'!$E$19</definedName>
    <definedName name="nУчебни_ресурси">list!$A$92</definedName>
    <definedName name="nФакултетОтчет" localSheetId="23">'1. Отчет-ДЕО'!$B$7</definedName>
    <definedName name="nФакултетОтчет" localSheetId="22">'1. Отчет'!$B$7</definedName>
    <definedName name="nФакултетОтчет" localSheetId="16">'1. Отчет'!$B$7</definedName>
    <definedName name="nФакултетОтчет">'1. Отчет'!$B$7</definedName>
    <definedName name="nФакултетПлан">'1. План'!$B$7</definedName>
    <definedName name="nЩат" localSheetId="22">ПЕРИОД!$D$7</definedName>
    <definedName name="nЩат" localSheetId="16">ПЕРИОД!$D$7</definedName>
    <definedName name="nЩат">ПЕРИОД!$D$7</definedName>
    <definedName name="ObPotokB">'2. ОКС "бакалавър"'!$N$135</definedName>
    <definedName name="ObPotokM">'3. ОКС "магистър"'!$N$135</definedName>
    <definedName name="ONSDr">'4. ОНС "доктор"'!$B$21</definedName>
    <definedName name="Print_1_Отчет" localSheetId="23">'1. Отчет-ДЕО'!$B$5:$L$71</definedName>
    <definedName name="Print_1_Отчет">'1. Отчет'!$B$5:$L$72</definedName>
    <definedName name="Print_1_План" localSheetId="5">'1. План'!$B$5:$L$73</definedName>
    <definedName name="Print_1_План">'1. Планд'!$B$4:$L$73</definedName>
    <definedName name="Print_2_Бакалавър_Зимен" localSheetId="22">'2. ОКС "бакалавър"'!$N$26:$AB$65,'2. ОКС "бакалавър"'!$N$67:$AB$151</definedName>
    <definedName name="Print_2_Бакалавър_Зимен" localSheetId="16">'2. ОКС "бакалавър"'!$N$26:$AB$65,'2. ОКС "бакалавър"'!$N$67:$AB$151</definedName>
    <definedName name="Print_2_Бакалавър_Зимен">'2. ОКС "бакалавър"'!$N$26:$AB$65,'2. ОКС "бакалавър"'!$N$67:$AB$151</definedName>
    <definedName name="Print_2_Бакалавър_Летен" localSheetId="22">'2. ОКС "бакалавър"'!$N$80:$AB$119,'2. ОКС "бакалавър"'!$N$121:$W$151</definedName>
    <definedName name="Print_2_Бакалавър_Летен" localSheetId="16">'2. ОКС "бакалавър"'!$N$80:$AB$119,'2. ОКС "бакалавър"'!$N$121:$W$151</definedName>
    <definedName name="Print_2_Бакалавър_Летен">'2. ОКС "бакалавър"'!$N$80:$AB$119,'2. ОКС "бакалавър"'!$N$121:$W$151</definedName>
    <definedName name="Print_2_Бакалавър_План" localSheetId="22">'2. ОКС "бакалавър"'!$N$26:$AB$78,'2. ОКС "бакалавър"'!$N$80:$AB$132,'2. ОКС "бакалавър"'!$N$134:$W$151</definedName>
    <definedName name="Print_2_Бакалавър_План" localSheetId="16">'2. ОКС "бакалавър"'!$N$26:$AB$78,'2. ОКС "бакалавър"'!$N$80:$AB$132,'2. ОКС "бакалавър"'!$N$134:$W$151</definedName>
    <definedName name="Print_2_Бакалавър_План">'2. ОКС "бакалавър"'!$N$26:$AB$78,'2. ОКС "бакалавър"'!$N$80:$AB$132,'2. ОКС "бакалавър"'!$N$134:$W$151</definedName>
    <definedName name="Print_2_Бакалавър_Септември" localSheetId="22">'2. ОКС "бакалавър"'!$N$26:$AB$65,'2. ОКС "бакалавър"'!$N$67:$AB$78,'2. ОКС "бакалавър"'!$N$80:$AB$119,'2. ОКС "бакалавър"'!$N$121:$AB$132</definedName>
    <definedName name="Print_2_Бакалавър_Септември" localSheetId="16">'2. ОКС "бакалавър"'!$N$26:$AB$65,'2. ОКС "бакалавър"'!$N$67:$AB$78,'2. ОКС "бакалавър"'!$N$80:$AB$119,'2. ОКС "бакалавър"'!$N$121:$AB$132</definedName>
    <definedName name="Print_2_Бакалавър_Септември">'2. ОКС "бакалавър"'!$N$26:$AB$65,'2. ОКС "бакалавър"'!$N$67:$AB$78,'2. ОКС "бакалавър"'!$N$80:$AB$119,'2. ОКС "бакалавър"'!$N$121:$AB$132</definedName>
    <definedName name="Print_3_Магистър_Зимен" localSheetId="22">'3. ОКС "магистър"'!$N$26:$AB$65,'3. ОКС "магистър"'!$N$67:$W$151</definedName>
    <definedName name="Print_3_Магистър_Зимен" localSheetId="16">'3. ОКС "магистър"'!$N$26:$AB$65,'3. ОКС "магистър"'!$N$67:$W$151</definedName>
    <definedName name="Print_3_Магистър_Зимен">'3. ОКС "магистър"'!$N$26:$AB$65,'3. ОКС "магистър"'!$N$67:$W$151</definedName>
    <definedName name="Print_3_Магистър_Летен" localSheetId="22">'3. ОКС "магистър"'!$N$80:$AB$119,'3. ОКС "магистър"'!$N$121:$W$151</definedName>
    <definedName name="Print_3_Магистър_Летен" localSheetId="16">'3. ОКС "магистър"'!$N$80:$AB$119,'3. ОКС "магистър"'!$N$121:$W$151</definedName>
    <definedName name="Print_3_Магистър_Летен">'3. ОКС "магистър"'!$N$80:$AB$119,'3. ОКС "магистър"'!$N$121:$W$151</definedName>
    <definedName name="Print_3_Магистър_План" localSheetId="22">'3. ОКС "магистър"'!$N$26:$AB$78,'3. ОКС "магистър"'!$N$80:$AB$132,'3. ОКС "магистър"'!$N$134:$W$151</definedName>
    <definedName name="Print_3_Магистър_План" localSheetId="16">'3. ОКС "магистър"'!$N$26:$AB$78,'3. ОКС "магистър"'!$N$80:$AB$132,'3. ОКС "магистър"'!$N$134:$W$151</definedName>
    <definedName name="Print_3_Магистър_План">'3. ОКС "магистър"'!$N$26:$AB$78,'3. ОКС "магистър"'!$N$80:$AB$132,'3. ОКС "магистър"'!$N$134:$W$151</definedName>
    <definedName name="Print_3_Магистър_Септември" localSheetId="22">'3. ОКС "магистър"'!$N$26:$AB$65,'3. ОКС "магистър"'!$N$67:$AB$178,'3. ОКС "магистър"'!$N$80:$AB$119,'3. ОКС "магистър"'!$N$121:$AB$132</definedName>
    <definedName name="Print_3_Магистър_Септември" localSheetId="16">'3. ОКС "магистър"'!$N$26:$AB$65,'3. ОКС "магистър"'!$N$67:$AB$178,'3. ОКС "магистър"'!$N$80:$AB$119,'3. ОКС "магистър"'!$N$121:$AB$132</definedName>
    <definedName name="Print_3_Магистър_Септември">'3. ОКС "магистър"'!$N$26:$AB$65,'3. ОКС "магистър"'!$N$67:$AB$178,'3. ОКС "магистър"'!$N$80:$AB$119,'3. ОКС "магистър"'!$N$121:$AB$132</definedName>
    <definedName name="_xlnm.Print_Area" localSheetId="8">'1. Отчет'!$B$5:$L$72</definedName>
    <definedName name="_xlnm.Print_Area" localSheetId="23">'1. Отчет-ДЕО'!$B$5:$L$71</definedName>
    <definedName name="_xlnm.Print_Area" localSheetId="5">'1. План'!$B$5:$L$73</definedName>
    <definedName name="_xlnm.Print_Area" localSheetId="4">'1. Планд'!$B$4:$L$73</definedName>
    <definedName name="_xlnm.Print_Area" localSheetId="9">'2. ОКС "бакалавър"'!$N$26:$AB$65,'2. ОКС "бакалавър"'!$N$67:$AB$78,'2. ОКС "бакалавър"'!$N$80:$AB$119,'2. ОКС "бакалавър"'!$N$121:$AB$132</definedName>
    <definedName name="_xlnm.Print_Area" localSheetId="10">'3. ОКС "магистър"'!$N$26:$AB$65,'3. ОКС "магистър"'!$N$67:$AB$178</definedName>
    <definedName name="_xlnm.Print_Area" localSheetId="11">'4. ОНС "доктор"'!$B$21:$K$40</definedName>
    <definedName name="_xlnm.Print_Area" localSheetId="12">'5. Подготовка на курс'!$B$23:$M$37</definedName>
    <definedName name="_xlnm.Print_Area" localSheetId="7">ДЕО!$A$1:$G$65</definedName>
    <definedName name="_xlnm.Print_Area" localSheetId="6">ДИУУ!$A$1:$G$46</definedName>
    <definedName name="_xlnm.Print_Titles" localSheetId="9">'2. ОКС "бакалавър"'!$1:$2</definedName>
    <definedName name="_xlnm.Print_Titles" localSheetId="10">'3. ОКС "магистър"'!$1:$2</definedName>
    <definedName name="_xlnm.Print_Titles" localSheetId="11">'4. ОНС "доктор"'!$1:$2</definedName>
    <definedName name="_xlnm.Print_Titles" localSheetId="12">'5. Подготовка на курс'!$1:$2</definedName>
    <definedName name="RealenBrLiUB">'2. ОКС "бакалавър"'!$N$15</definedName>
    <definedName name="RealenBrLiUM">'3. ОКС "магистър"'!$N$15</definedName>
    <definedName name="Row_Бакалавър_Hide">'2. ОКС "бакалавър"'!$25:$151</definedName>
    <definedName name="Row_Бакалавър_PotokB">'2. ОКС "бакалавър"'!$133:$151</definedName>
    <definedName name="Row_Бакалавър_Table_Header" localSheetId="22">'2. ОКС "бакалавър"'!$138:$138,'2. ОКС "бакалавър"'!$124:$124,'2. ОКС "бакалавър"'!$109:$109,'2. ОКС "бакалавър"'!$84:$84,'2. ОКС "бакалавър"'!$70:$70,'2. ОКС "бакалавър"'!$55:$55,'2. ОКС "бакалавър"'!$30:$30</definedName>
    <definedName name="Row_Бакалавър_Table_Header" localSheetId="16">'2. ОКС "бакалавър"'!$138:$138,'2. ОКС "бакалавър"'!$124:$124,'2. ОКС "бакалавър"'!$109:$109,'2. ОКС "бакалавър"'!$84:$84,'2. ОКС "бакалавър"'!$70:$70,'2. ОКС "бакалавър"'!$55:$55,'2. ОКС "бакалавър"'!$30:$30</definedName>
    <definedName name="Row_Бакалавър_Table_Header">'2. ОКС "бакалавър"'!$138:$138,'2. ОКС "бакалавър"'!$124:$124,'2. ОКС "бакалавър"'!$109:$109,'2. ОКС "бакалавър"'!$84:$84,'2. ОКС "бакалавър"'!$70:$70,'2. ОКС "бакалавър"'!$55:$55,'2. ОКС "бакалавър"'!$30:$30</definedName>
    <definedName name="Row_Бакалавър_Зимен_семестър" localSheetId="22">'2. ОКС "бакалавър"'!$15:$15,'2. ОКС "бакалавър"'!$25:$78,'2. ОКС "бакалавър"'!$133:$151</definedName>
    <definedName name="Row_Бакалавър_Зимен_семестър" localSheetId="16">'2. ОКС "бакалавър"'!$15:$15,'2. ОКС "бакалавър"'!$25:$78,'2. ОКС "бакалавър"'!$133:$151</definedName>
    <definedName name="Row_Бакалавър_Зимен_семестър">'2. ОКС "бакалавър"'!$15:$15,'2. ОКС "бакалавър"'!$25:$78,'2. ОКС "бакалавър"'!$133:$151</definedName>
    <definedName name="Row_Бакалавър_Летен_семестър" localSheetId="22">'2. ОКС "бакалавър"'!$15:$15,'2. ОКС "бакалавър"'!$79:$151</definedName>
    <definedName name="Row_Бакалавър_Летен_семестър" localSheetId="16">'2. ОКС "бакалавър"'!$15:$15,'2. ОКС "бакалавър"'!$79:$151</definedName>
    <definedName name="Row_Бакалавър_Летен_семестър">'2. ОКС "бакалавър"'!$15:$15,'2. ОКС "бакалавър"'!$79:$151</definedName>
    <definedName name="Row_Бакалавър_Отчет_Hide">'2. ОКС "бакалавър"'!$15:$15</definedName>
    <definedName name="Row_Бакалавър_План" localSheetId="22">'2. ОКС "бакалавър"'!$15:$15,'2. ОКС "бакалавър"'!$25:$151</definedName>
    <definedName name="Row_Бакалавър_План" localSheetId="16">'2. ОКС "бакалавър"'!$15:$15,'2. ОКС "бакалавър"'!$25:$151</definedName>
    <definedName name="Row_Бакалавър_План">'2. ОКС "бакалавър"'!$15:$15,'2. ОКС "бакалавър"'!$25:$151</definedName>
    <definedName name="Row_Бакалавър_План_Hide">'2. ОКС "бакалавър"'!$16:$16</definedName>
    <definedName name="Row_Бакалавър_Септември" localSheetId="22">'2. ОКС "бакалавър"'!$16:$16,'2. ОКС "бакалавър"'!$25:$132</definedName>
    <definedName name="Row_Бакалавър_Септември" localSheetId="16">'2. ОКС "бакалавър"'!$16:$16,'2. ОКС "бакалавър"'!$25:$132</definedName>
    <definedName name="Row_Бакалавър_Септември">'2. ОКС "бакалавър"'!$16:$16,'2. ОКС "бакалавър"'!$25:$132</definedName>
    <definedName name="Row_Доктор_Hide" localSheetId="22">'4. ОНС "доктор"'!$25:$25,'4. ОНС "доктор"'!$35:$35</definedName>
    <definedName name="Row_Доктор_Hide" localSheetId="16">'4. ОНС "доктор"'!$25:$25,'4. ОНС "доктор"'!$35:$35</definedName>
    <definedName name="Row_Доктор_Hide">'4. ОНС "доктор"'!$25:$25,'4. ОНС "доктор"'!$35:$35</definedName>
    <definedName name="Row_Магистър_Hide">'3. ОКС "магистър"'!$25:$151</definedName>
    <definedName name="Row_Магистър_PotokM">'3. ОКС "магистър"'!$133:$151</definedName>
    <definedName name="Row_Магистър_Table_Header" localSheetId="22">'3. ОКС "магистър"'!$30:$30,'3. ОКС "магистър"'!$55:$55,'3. ОКС "магистър"'!$70:$70,'3. ОКС "магистър"'!$84:$84,'3. ОКС "магистър"'!$109:$109,'3. ОКС "магистър"'!$124:$124,'3. ОКС "магистър"'!$124:$124,'3. ОКС "магистър"'!$138:$138</definedName>
    <definedName name="Row_Магистър_Table_Header" localSheetId="16">'3. ОКС "магистър"'!$30:$30,'3. ОКС "магистър"'!$55:$55,'3. ОКС "магистър"'!$70:$70,'3. ОКС "магистър"'!$84:$84,'3. ОКС "магистър"'!$109:$109,'3. ОКС "магистър"'!$124:$124,'3. ОКС "магистър"'!$124:$124,'3. ОКС "магистър"'!$138:$138</definedName>
    <definedName name="Row_Магистър_Table_Header">'3. ОКС "магистър"'!$30:$30,'3. ОКС "магистър"'!$55:$55,'3. ОКС "магистър"'!$70:$70,'3. ОКС "магистър"'!$84:$84,'3. ОКС "магистър"'!$109:$109,'3. ОКС "магистър"'!$124:$124,'3. ОКС "магистър"'!$124:$124,'3. ОКС "магистър"'!$138:$138</definedName>
    <definedName name="Row_Магистър_Зимен_семестър" localSheetId="22">'3. ОКС "магистър"'!$15:$15,'3. ОКС "магистър"'!$25:$78,'3. ОКС "магистър"'!$133:$151</definedName>
    <definedName name="Row_Магистър_Зимен_семестър" localSheetId="16">'3. ОКС "магистър"'!$15:$15,'3. ОКС "магистър"'!$25:$78,'3. ОКС "магистър"'!$133:$151</definedName>
    <definedName name="Row_Магистър_Зимен_семестър">'3. ОКС "магистър"'!$15:$15,'3. ОКС "магистър"'!$25:$78,'3. ОКС "магистър"'!$133:$151</definedName>
    <definedName name="Row_Магистър_Летен_семестър" localSheetId="22">'3. ОКС "магистър"'!$15:$15,'3. ОКС "магистър"'!$79:$151</definedName>
    <definedName name="Row_Магистър_Летен_семестър" localSheetId="16">'3. ОКС "магистър"'!$15:$15,'3. ОКС "магистър"'!$79:$151</definedName>
    <definedName name="Row_Магистър_Летен_семестър">'3. ОКС "магистър"'!$15:$15,'3. ОКС "магистър"'!$79:$151</definedName>
    <definedName name="Row_Магистър_Отчет_Hide">'3. ОКС "магистър"'!$15:$15</definedName>
    <definedName name="Row_Магистър_План" localSheetId="22">'3. ОКС "магистър"'!$15:$15,'3. ОКС "магистър"'!$25:$151</definedName>
    <definedName name="Row_Магистър_План" localSheetId="16">'3. ОКС "магистър"'!$15:$15,'3. ОКС "магистър"'!$25:$151</definedName>
    <definedName name="Row_Магистър_План">'3. ОКС "магистър"'!$15:$15,'3. ОКС "магистър"'!$25:$151</definedName>
    <definedName name="Row_Магистър_План_Hide">'3. ОКС "магистър"'!$16:$16</definedName>
    <definedName name="Row_Магистър_Септември" localSheetId="22">'3. ОКС "магистър"'!$16:$16,'3. ОКС "магистър"'!$25:$132</definedName>
    <definedName name="Row_Магистър_Септември" localSheetId="16">'3. ОКС "магистър"'!$16:$16,'3. ОКС "магистър"'!$25:$132</definedName>
    <definedName name="Row_Магистър_Септември">'3. ОКС "магистър"'!$16:$16,'3. ОКС "магистър"'!$25:$132</definedName>
    <definedName name="Row_Подготовка_на_курс_Hide">'5. Подготовка на курс'!$26:$26</definedName>
    <definedName name="RRRRR3" localSheetId="22">'3. ОКС "магистър"'!$N$134,'3. ОКС "магистър"'!$W$151</definedName>
    <definedName name="RRRRR3" localSheetId="16">'3. ОКС "магистър"'!$N$134,'3. ОКС "магистър"'!$W$151</definedName>
    <definedName name="RRRRR3">'3. ОКС "магистър"'!$N$134,'3. ОКС "магистър"'!$W$151</definedName>
    <definedName name="shНАЦИД">ПЕРИОД!$D$5</definedName>
    <definedName name="SpecialnostB">'2. ОКС "бакалавър"'!$N$9</definedName>
    <definedName name="SpecialnostM">'3. ОКС "магистър"'!$N$9</definedName>
    <definedName name="Ver_еФормуляр">ПЕРИОД!$D$3</definedName>
    <definedName name="VidDB">'2. ОКС "бакалавър"'!$N$11</definedName>
    <definedName name="VidDM">'3. ОКС "магистър"'!$N$11</definedName>
    <definedName name="ZimenSemestarB">'2. ОКС "бакалавър"'!$N$27</definedName>
    <definedName name="ZimenSemestarM">'3. ОКС "магистър"'!$N$27</definedName>
    <definedName name="деоАЗ">ДЕО!$F$33</definedName>
    <definedName name="деоДлъжност">ДЕО!$B$7</definedName>
    <definedName name="деоКатедра">ДЕО!$B$4</definedName>
    <definedName name="деоОЗ">ДЕО!$F$32</definedName>
    <definedName name="деоПреподавател">ДЕО!$C$7</definedName>
    <definedName name="диууАЗ">ДИУУ!$F$16</definedName>
    <definedName name="диууДлъжност">ДИУУ!$B$7</definedName>
    <definedName name="диууКатедра">ДИУУ!$B$4</definedName>
    <definedName name="диууОЗ">ДИУУ!$F$36</definedName>
    <definedName name="диууПреподавател">ДИУУ!$C$7</definedName>
    <definedName name="Език_БЕ">list!$A$59</definedName>
    <definedName name="Език_ЧЕ">list!$A$60</definedName>
    <definedName name="кДИ_защита" localSheetId="22">Coef!$B$14</definedName>
    <definedName name="кДИ_защита" localSheetId="16">Coef!$B$14</definedName>
    <definedName name="кДИ_защита">Coef!$B$14</definedName>
    <definedName name="кДипломна_работа" localSheetId="22">Coef!$B$12</definedName>
    <definedName name="кДипломна_работа" localSheetId="16">Coef!$B$12</definedName>
    <definedName name="кДипломна_работа">Coef!$B$12</definedName>
    <definedName name="кЕзик_БЕ">Coef!$F$6</definedName>
    <definedName name="кЕзик_ФЧЕ">Coef!$F$8</definedName>
    <definedName name="кЕзик_ЧЕ">Coef!$F$7</definedName>
    <definedName name="кИзпитаниДок" localSheetId="22">Coef!$B$19</definedName>
    <definedName name="кИзпитаниДок" localSheetId="16">Coef!$B$19</definedName>
    <definedName name="кИзпитаниДок">Coef!$B$19</definedName>
    <definedName name="кКурсова_работа" localSheetId="22">Coef!$B$11</definedName>
    <definedName name="кКурсова_работа" localSheetId="16">Coef!$B$11</definedName>
    <definedName name="кКурсова_работа">Coef!$B$11</definedName>
    <definedName name="кЛекции" localSheetId="22">Coef!$B$4</definedName>
    <definedName name="кЛекции" localSheetId="16">Coef!$B$4</definedName>
    <definedName name="кЛекции">Coef!$B$4</definedName>
    <definedName name="кРецензия" localSheetId="22">Coef!$B$13</definedName>
    <definedName name="кРецензия" localSheetId="16">Coef!$B$13</definedName>
    <definedName name="кРецензия">Coef!$B$13</definedName>
    <definedName name="кТО" localSheetId="22">Coef!$B$9</definedName>
    <definedName name="кТО" localSheetId="16">Coef!$B$9</definedName>
    <definedName name="кТО">Coef!$B$9</definedName>
    <definedName name="кУпражнение" localSheetId="22">Coef!$B$3</definedName>
    <definedName name="кУпражнение" localSheetId="16">Coef!$B$3</definedName>
    <definedName name="кУпражнение">Coef!$B$3</definedName>
    <definedName name="Лекторат" localSheetId="22">'1. Планд'!$Q$26</definedName>
    <definedName name="Лекторат" localSheetId="16">'1. Планд'!$Q$26</definedName>
    <definedName name="Лекторат">'1. Планд'!$Q$26</definedName>
    <definedName name="нацидFullName">db_EducationPlans_МОН_List!$B$2</definedName>
    <definedName name="нДЕО">ДЕО!$B$2</definedName>
    <definedName name="нДИУУ">ДИУУ!$B$2</definedName>
    <definedName name="оксАЗ">'1. Отчет'!$H$60</definedName>
    <definedName name="оксОЗ">'1. Отчет'!$H$59</definedName>
    <definedName name="пФакултет">ПЕРИОД!$D$13</definedName>
    <definedName name="Семестър" localSheetId="22">ПЕРИОД!$D$10</definedName>
    <definedName name="Семестър" localSheetId="16">ПЕРИОД!$D$10</definedName>
    <definedName name="Семестър">ПЕРИОД!$D$10</definedName>
    <definedName name="Учебна_година" localSheetId="22">ПЕРИОД!$D$9</definedName>
    <definedName name="Учебна_година" localSheetId="16">ПЕРИОД!$D$9</definedName>
    <definedName name="Учебна_година">ПЕРИОД!$D$9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32" l="1"/>
  <c r="P8" i="32"/>
  <c r="P9" i="32"/>
  <c r="P10" i="32"/>
  <c r="P11" i="32"/>
  <c r="P12" i="32"/>
  <c r="P13" i="32"/>
  <c r="P14" i="32"/>
  <c r="P15" i="32"/>
  <c r="P16" i="32"/>
  <c r="P17" i="32"/>
  <c r="P18" i="32"/>
  <c r="P19" i="32"/>
  <c r="P20" i="32"/>
  <c r="P21" i="32"/>
  <c r="P22" i="32"/>
  <c r="P23" i="32"/>
  <c r="P24" i="32"/>
  <c r="P25" i="32"/>
  <c r="P26" i="32"/>
  <c r="P27" i="32"/>
  <c r="P28" i="32"/>
  <c r="P29" i="32"/>
  <c r="P30" i="32"/>
  <c r="P31" i="32"/>
  <c r="P32" i="32"/>
  <c r="P33" i="32"/>
  <c r="P34" i="32"/>
  <c r="P35" i="32"/>
  <c r="P36" i="32"/>
  <c r="P37" i="32"/>
  <c r="P38" i="32"/>
  <c r="P39" i="32"/>
  <c r="P40" i="32"/>
  <c r="P41" i="32"/>
  <c r="P42" i="32"/>
  <c r="P43" i="32"/>
  <c r="P44" i="32"/>
  <c r="P45" i="32"/>
  <c r="P46" i="32"/>
  <c r="P47" i="32"/>
  <c r="P48" i="32"/>
  <c r="P49" i="32"/>
  <c r="P50" i="32"/>
  <c r="P51" i="32"/>
  <c r="P52" i="32"/>
  <c r="P53" i="32"/>
  <c r="P54" i="32"/>
  <c r="P55" i="32"/>
  <c r="P56" i="32"/>
  <c r="P57" i="32"/>
  <c r="P58" i="32"/>
  <c r="P59" i="32"/>
  <c r="P60" i="32"/>
  <c r="P61" i="32"/>
  <c r="P62" i="32"/>
  <c r="P63" i="32"/>
  <c r="P64" i="32"/>
  <c r="P65" i="32"/>
  <c r="P66" i="32"/>
  <c r="P67" i="32"/>
  <c r="P68" i="32"/>
  <c r="P69" i="32"/>
  <c r="P70" i="32"/>
  <c r="P71" i="32"/>
  <c r="P72" i="32"/>
  <c r="P73" i="32"/>
  <c r="P74" i="32"/>
  <c r="P75" i="32"/>
  <c r="P76" i="32"/>
  <c r="P77" i="32"/>
  <c r="P78" i="32"/>
  <c r="P79" i="32"/>
  <c r="P80" i="32"/>
  <c r="P81" i="32"/>
  <c r="P82" i="32"/>
  <c r="P83" i="32"/>
  <c r="P84" i="32"/>
  <c r="P85" i="32"/>
  <c r="P86" i="32"/>
  <c r="P87" i="32"/>
  <c r="P88" i="32"/>
  <c r="P89" i="32"/>
  <c r="P90" i="32"/>
  <c r="P91" i="32"/>
  <c r="P92" i="32"/>
  <c r="P93" i="32"/>
  <c r="P94" i="32"/>
  <c r="P95" i="32"/>
  <c r="P96" i="32"/>
  <c r="P97" i="32"/>
  <c r="P98" i="32"/>
  <c r="P99" i="32"/>
  <c r="P100" i="32"/>
  <c r="P101" i="32"/>
  <c r="P102" i="32"/>
  <c r="P103" i="32"/>
  <c r="P104" i="32"/>
  <c r="P105" i="32"/>
  <c r="P106" i="32"/>
  <c r="P107" i="32"/>
  <c r="P108" i="32"/>
  <c r="P109" i="32"/>
  <c r="P110" i="32"/>
  <c r="P111" i="32"/>
  <c r="P112" i="32"/>
  <c r="P113" i="32"/>
  <c r="P114" i="32"/>
  <c r="P115" i="32"/>
  <c r="P116" i="32"/>
  <c r="P117" i="32"/>
  <c r="P118" i="32"/>
  <c r="P119" i="32"/>
  <c r="P120" i="32"/>
  <c r="P121" i="32"/>
  <c r="P122" i="32"/>
  <c r="P123" i="32"/>
  <c r="P124" i="32"/>
  <c r="P125" i="32"/>
  <c r="P126" i="32"/>
  <c r="P127" i="32"/>
  <c r="P128" i="32"/>
  <c r="P129" i="32"/>
  <c r="P130" i="32"/>
  <c r="P131" i="32"/>
  <c r="P132" i="32"/>
  <c r="P133" i="32"/>
  <c r="P134" i="32"/>
  <c r="P135" i="32"/>
  <c r="P136" i="32"/>
  <c r="P137" i="32"/>
  <c r="P138" i="32"/>
  <c r="P139" i="32"/>
  <c r="P140" i="32"/>
  <c r="P141" i="32"/>
  <c r="P142" i="32"/>
  <c r="P143" i="32"/>
  <c r="P144" i="32"/>
  <c r="P145" i="32"/>
  <c r="P146" i="32"/>
  <c r="P147" i="32"/>
  <c r="P148" i="32"/>
  <c r="P149" i="32"/>
  <c r="P150" i="32"/>
  <c r="P151" i="32"/>
  <c r="P152" i="32"/>
  <c r="P153" i="32"/>
  <c r="P154" i="32"/>
  <c r="P155" i="32"/>
  <c r="P156" i="32"/>
  <c r="P157" i="32"/>
  <c r="P158" i="32"/>
  <c r="P159" i="32"/>
  <c r="P160" i="32"/>
  <c r="P161" i="32"/>
  <c r="P162" i="32"/>
  <c r="P163" i="32"/>
  <c r="P164" i="32"/>
  <c r="P165" i="32"/>
  <c r="P166" i="32"/>
  <c r="P167" i="32"/>
  <c r="P168" i="32"/>
  <c r="P169" i="32"/>
  <c r="P170" i="32"/>
  <c r="P171" i="32"/>
  <c r="P172" i="32"/>
  <c r="P173" i="32"/>
  <c r="P174" i="32"/>
  <c r="P175" i="32"/>
  <c r="P176" i="32"/>
  <c r="P177" i="32"/>
  <c r="P178" i="32"/>
  <c r="P179" i="32"/>
  <c r="P180" i="32"/>
  <c r="P181" i="32"/>
  <c r="P182" i="32"/>
  <c r="P183" i="32"/>
  <c r="P184" i="32"/>
  <c r="P185" i="32"/>
  <c r="P186" i="32"/>
  <c r="P187" i="32"/>
  <c r="P188" i="32"/>
  <c r="P189" i="32"/>
  <c r="P190" i="32"/>
  <c r="P191" i="32"/>
  <c r="P192" i="32"/>
  <c r="P193" i="32"/>
  <c r="P194" i="32"/>
  <c r="P195" i="32"/>
  <c r="P196" i="32"/>
  <c r="P197" i="32"/>
  <c r="P198" i="32"/>
  <c r="P199" i="32"/>
  <c r="P200" i="32"/>
  <c r="P201" i="32"/>
  <c r="P202" i="32"/>
  <c r="P203" i="32"/>
  <c r="P204" i="32"/>
  <c r="P205" i="32"/>
  <c r="P206" i="32"/>
  <c r="P207" i="32"/>
  <c r="P208" i="32"/>
  <c r="P209" i="32"/>
  <c r="P210" i="32"/>
  <c r="P211" i="32"/>
  <c r="P212" i="32"/>
  <c r="P213" i="32"/>
  <c r="P214" i="32"/>
  <c r="P215" i="32"/>
  <c r="P216" i="32"/>
  <c r="P217" i="32"/>
  <c r="P218" i="32"/>
  <c r="P219" i="32"/>
  <c r="P220" i="32"/>
  <c r="P221" i="32"/>
  <c r="P222" i="32"/>
  <c r="P223" i="32"/>
  <c r="P224" i="32"/>
  <c r="P225" i="32"/>
  <c r="P226" i="32"/>
  <c r="P227" i="32"/>
  <c r="P228" i="32"/>
  <c r="P229" i="32"/>
  <c r="P230" i="32"/>
  <c r="P231" i="32"/>
  <c r="P232" i="32"/>
  <c r="P233" i="32"/>
  <c r="P234" i="32"/>
  <c r="P235" i="32"/>
  <c r="P236" i="32"/>
  <c r="P237" i="32"/>
  <c r="P238" i="32"/>
  <c r="P239" i="32"/>
  <c r="P240" i="32"/>
  <c r="P241" i="32"/>
  <c r="P242" i="32"/>
  <c r="P243" i="32"/>
  <c r="P244" i="32"/>
  <c r="P245" i="32"/>
  <c r="P246" i="32"/>
  <c r="P247" i="32"/>
  <c r="P248" i="32"/>
  <c r="P249" i="32"/>
  <c r="P250" i="32"/>
  <c r="P251" i="32"/>
  <c r="P252" i="32"/>
  <c r="P253" i="32"/>
  <c r="P254" i="32"/>
  <c r="P255" i="32"/>
  <c r="P256" i="32"/>
  <c r="P257" i="32"/>
  <c r="P258" i="32"/>
  <c r="P259" i="32"/>
  <c r="P260" i="32"/>
  <c r="P261" i="32"/>
  <c r="P262" i="32"/>
  <c r="P263" i="32"/>
  <c r="P264" i="32"/>
  <c r="P265" i="32"/>
  <c r="P266" i="32"/>
  <c r="P267" i="32"/>
  <c r="P268" i="32"/>
  <c r="P269" i="32"/>
  <c r="P270" i="32"/>
  <c r="P271" i="32"/>
  <c r="P272" i="32"/>
  <c r="P273" i="32"/>
  <c r="P274" i="32"/>
  <c r="P275" i="32"/>
  <c r="P276" i="32"/>
  <c r="P277" i="32"/>
  <c r="P278" i="32"/>
  <c r="P279" i="32"/>
  <c r="P280" i="32"/>
  <c r="P281" i="32"/>
  <c r="P282" i="32"/>
  <c r="P283" i="32"/>
  <c r="P284" i="32"/>
  <c r="P285" i="32"/>
  <c r="P286" i="32"/>
  <c r="P287" i="32"/>
  <c r="P288" i="32"/>
  <c r="P289" i="32"/>
  <c r="P290" i="32"/>
  <c r="P291" i="32"/>
  <c r="P292" i="32"/>
  <c r="P293" i="32"/>
  <c r="P294" i="32"/>
  <c r="P295" i="32"/>
  <c r="P296" i="32"/>
  <c r="P297" i="32"/>
  <c r="P298" i="32"/>
  <c r="P299" i="32"/>
  <c r="P300" i="32"/>
  <c r="P301" i="32"/>
  <c r="P302" i="32"/>
  <c r="P303" i="32"/>
  <c r="P304" i="32"/>
  <c r="P305" i="32"/>
  <c r="P306" i="32"/>
  <c r="P307" i="32"/>
  <c r="P308" i="32"/>
  <c r="P309" i="32"/>
  <c r="P310" i="32"/>
  <c r="P311" i="32"/>
  <c r="P312" i="32"/>
  <c r="P313" i="32"/>
  <c r="P314" i="32"/>
  <c r="P315" i="32"/>
  <c r="P316" i="32"/>
  <c r="P317" i="32"/>
  <c r="P318" i="32"/>
  <c r="P319" i="32"/>
  <c r="P320" i="32"/>
  <c r="P321" i="32"/>
  <c r="P322" i="32"/>
  <c r="P323" i="32"/>
  <c r="P324" i="32"/>
  <c r="P325" i="32"/>
  <c r="P326" i="32"/>
  <c r="P327" i="32"/>
  <c r="P328" i="32"/>
  <c r="P329" i="32"/>
  <c r="P330" i="32"/>
  <c r="P331" i="32"/>
  <c r="P332" i="32"/>
  <c r="P333" i="32"/>
  <c r="P334" i="32"/>
  <c r="P335" i="32"/>
  <c r="P336" i="32"/>
  <c r="P337" i="32"/>
  <c r="P338" i="32"/>
  <c r="P339" i="32"/>
  <c r="P340" i="32"/>
  <c r="P341" i="32"/>
  <c r="P342" i="32"/>
  <c r="P343" i="32"/>
  <c r="P344" i="32"/>
  <c r="P345" i="32"/>
  <c r="P346" i="32"/>
  <c r="P347" i="32"/>
  <c r="P348" i="32"/>
  <c r="P349" i="32"/>
  <c r="P350" i="32"/>
  <c r="P351" i="32"/>
  <c r="P352" i="32"/>
  <c r="P353" i="32"/>
  <c r="P354" i="32"/>
  <c r="P355" i="32"/>
  <c r="P356" i="32"/>
  <c r="P357" i="32"/>
  <c r="P358" i="32"/>
  <c r="P359" i="32"/>
  <c r="P360" i="32"/>
  <c r="P361" i="32"/>
  <c r="P362" i="32"/>
  <c r="P363" i="32"/>
  <c r="P364" i="32"/>
  <c r="P365" i="32"/>
  <c r="P366" i="32"/>
  <c r="P367" i="32"/>
  <c r="P368" i="32"/>
  <c r="P369" i="32"/>
  <c r="P370" i="32"/>
  <c r="P371" i="32"/>
  <c r="P372" i="32"/>
  <c r="P373" i="32"/>
  <c r="P374" i="32"/>
  <c r="P375" i="32"/>
  <c r="P376" i="32"/>
  <c r="P377" i="32"/>
  <c r="P378" i="32"/>
  <c r="P379" i="32"/>
  <c r="P380" i="32"/>
  <c r="P381" i="32"/>
  <c r="P382" i="32"/>
  <c r="P383" i="32"/>
  <c r="P384" i="32"/>
  <c r="P385" i="32"/>
  <c r="P386" i="32"/>
  <c r="P387" i="32"/>
  <c r="P388" i="32"/>
  <c r="P389" i="32"/>
  <c r="P390" i="32"/>
  <c r="P391" i="32"/>
  <c r="P392" i="32"/>
  <c r="P393" i="32"/>
  <c r="P394" i="32"/>
  <c r="P395" i="32"/>
  <c r="P396" i="32"/>
  <c r="P397" i="32"/>
  <c r="P398" i="32"/>
  <c r="P399" i="32"/>
  <c r="P400" i="32"/>
  <c r="P401" i="32"/>
  <c r="P402" i="32"/>
  <c r="P403" i="32"/>
  <c r="P404" i="32"/>
  <c r="P405" i="32"/>
  <c r="P406" i="32"/>
  <c r="P407" i="32"/>
  <c r="P408" i="32"/>
  <c r="P409" i="32"/>
  <c r="P410" i="32"/>
  <c r="P411" i="32"/>
  <c r="P412" i="32"/>
  <c r="P413" i="32"/>
  <c r="P414" i="32"/>
  <c r="P415" i="32"/>
  <c r="P416" i="32"/>
  <c r="P417" i="32"/>
  <c r="P418" i="32"/>
  <c r="P419" i="32"/>
  <c r="P420" i="32"/>
  <c r="P421" i="32"/>
  <c r="P422" i="32"/>
  <c r="P423" i="32"/>
  <c r="P424" i="32"/>
  <c r="P425" i="32"/>
  <c r="P426" i="32"/>
  <c r="P427" i="32"/>
  <c r="P428" i="32"/>
  <c r="P429" i="32"/>
  <c r="P430" i="32"/>
  <c r="P431" i="32"/>
  <c r="P432" i="32"/>
  <c r="P433" i="32"/>
  <c r="P434" i="32"/>
  <c r="P435" i="32"/>
  <c r="P436" i="32"/>
  <c r="P437" i="32"/>
  <c r="P438" i="32"/>
  <c r="P439" i="32"/>
  <c r="P440" i="32"/>
  <c r="P441" i="32"/>
  <c r="P442" i="32"/>
  <c r="P443" i="32"/>
  <c r="P444" i="32"/>
  <c r="P445" i="32"/>
  <c r="P446" i="32"/>
  <c r="P447" i="32"/>
  <c r="P448" i="32"/>
  <c r="P449" i="32"/>
  <c r="P450" i="32"/>
  <c r="P451" i="32"/>
  <c r="P452" i="32"/>
  <c r="P453" i="32"/>
  <c r="P454" i="32"/>
  <c r="P455" i="32"/>
  <c r="P456" i="32"/>
  <c r="P457" i="32"/>
  <c r="P458" i="32"/>
  <c r="P459" i="32"/>
  <c r="P460" i="32"/>
  <c r="P461" i="32"/>
  <c r="P462" i="32"/>
  <c r="P463" i="32"/>
  <c r="P464" i="32"/>
  <c r="P465" i="32"/>
  <c r="P466" i="32"/>
  <c r="P467" i="32"/>
  <c r="P468" i="32"/>
  <c r="P469" i="32"/>
  <c r="P470" i="32"/>
  <c r="P471" i="32"/>
  <c r="P472" i="32"/>
  <c r="P473" i="32"/>
  <c r="P474" i="32"/>
  <c r="P475" i="32"/>
  <c r="P476" i="32"/>
  <c r="P477" i="32"/>
  <c r="P478" i="32"/>
  <c r="P479" i="32"/>
  <c r="P480" i="32"/>
  <c r="P481" i="32"/>
  <c r="P482" i="32"/>
  <c r="P483" i="32"/>
  <c r="P484" i="32"/>
  <c r="P485" i="32"/>
  <c r="P486" i="32"/>
  <c r="P487" i="32"/>
  <c r="P488" i="32"/>
  <c r="P489" i="32"/>
  <c r="P490" i="32"/>
  <c r="P491" i="32"/>
  <c r="P492" i="32"/>
  <c r="P493" i="32"/>
  <c r="P494" i="32"/>
  <c r="P495" i="32"/>
  <c r="P496" i="32"/>
  <c r="P497" i="32"/>
  <c r="P498" i="32"/>
  <c r="P499" i="32"/>
  <c r="P500" i="32"/>
  <c r="P501" i="32"/>
  <c r="P502" i="32"/>
  <c r="P503" i="32"/>
  <c r="P504" i="32"/>
  <c r="P505" i="32"/>
  <c r="P506" i="32"/>
  <c r="P507" i="32"/>
  <c r="P508" i="32"/>
  <c r="P509" i="32"/>
  <c r="P510" i="32"/>
  <c r="P511" i="32"/>
  <c r="P512" i="32"/>
  <c r="P513" i="32"/>
  <c r="P514" i="32"/>
  <c r="P515" i="32"/>
  <c r="P516" i="32"/>
  <c r="P517" i="32"/>
  <c r="P518" i="32"/>
  <c r="P519" i="32"/>
  <c r="P520" i="32"/>
  <c r="P521" i="32"/>
  <c r="P522" i="32"/>
  <c r="P523" i="32"/>
  <c r="P524" i="32"/>
  <c r="P525" i="32"/>
  <c r="P526" i="32"/>
  <c r="P527" i="32"/>
  <c r="P528" i="32"/>
  <c r="P529" i="32"/>
  <c r="P530" i="32"/>
  <c r="P531" i="32"/>
  <c r="P532" i="32"/>
  <c r="P533" i="32"/>
  <c r="P534" i="32"/>
  <c r="P535" i="32"/>
  <c r="P536" i="32"/>
  <c r="P537" i="32"/>
  <c r="P538" i="32"/>
  <c r="P539" i="32"/>
  <c r="P540" i="32"/>
  <c r="P541" i="32"/>
  <c r="P542" i="32"/>
  <c r="P543" i="32"/>
  <c r="P544" i="32"/>
  <c r="P545" i="32"/>
  <c r="P546" i="32"/>
  <c r="P547" i="32"/>
  <c r="P548" i="32"/>
  <c r="P549" i="32"/>
  <c r="P550" i="32"/>
  <c r="P551" i="32"/>
  <c r="P552" i="32"/>
  <c r="P553" i="32"/>
  <c r="P554" i="32"/>
  <c r="P555" i="32"/>
  <c r="P556" i="32"/>
  <c r="P557" i="32"/>
  <c r="P558" i="32"/>
  <c r="P559" i="32"/>
  <c r="P560" i="32"/>
  <c r="P561" i="32"/>
  <c r="P562" i="32"/>
  <c r="P563" i="32"/>
  <c r="P564" i="32"/>
  <c r="P565" i="32"/>
  <c r="P566" i="32"/>
  <c r="P567" i="32"/>
  <c r="P568" i="32"/>
  <c r="P569" i="32"/>
  <c r="P570" i="32"/>
  <c r="P571" i="32"/>
  <c r="P572" i="32"/>
  <c r="P573" i="32"/>
  <c r="P574" i="32"/>
  <c r="P575" i="32"/>
  <c r="P576" i="32"/>
  <c r="P577" i="32"/>
  <c r="P578" i="32"/>
  <c r="P579" i="32"/>
  <c r="P580" i="32"/>
  <c r="P581" i="32"/>
  <c r="P582" i="32"/>
  <c r="P583" i="32"/>
  <c r="P584" i="32"/>
  <c r="P585" i="32"/>
  <c r="P586" i="32"/>
  <c r="P587" i="32"/>
  <c r="P588" i="32"/>
  <c r="P589" i="32"/>
  <c r="P590" i="32"/>
  <c r="P591" i="32"/>
  <c r="P592" i="32"/>
  <c r="P593" i="32"/>
  <c r="P594" i="32"/>
  <c r="P595" i="32"/>
  <c r="P596" i="32"/>
  <c r="P597" i="32"/>
  <c r="P598" i="32"/>
  <c r="P599" i="32"/>
  <c r="P600" i="32"/>
  <c r="P601" i="32"/>
  <c r="P602" i="32"/>
  <c r="P603" i="32"/>
  <c r="P604" i="32"/>
  <c r="P605" i="32"/>
  <c r="P606" i="32"/>
  <c r="P607" i="32"/>
  <c r="P608" i="32"/>
  <c r="P609" i="32"/>
  <c r="P610" i="32"/>
  <c r="P611" i="32"/>
  <c r="P612" i="32"/>
  <c r="P613" i="32"/>
  <c r="P614" i="32"/>
  <c r="P615" i="32"/>
  <c r="P616" i="32"/>
  <c r="P617" i="32"/>
  <c r="P618" i="32"/>
  <c r="P619" i="32"/>
  <c r="P620" i="32"/>
  <c r="P621" i="32"/>
  <c r="P622" i="32"/>
  <c r="P623" i="32"/>
  <c r="P624" i="32"/>
  <c r="P625" i="32"/>
  <c r="P626" i="32"/>
  <c r="P627" i="32"/>
  <c r="P628" i="32"/>
  <c r="P629" i="32"/>
  <c r="P630" i="32"/>
  <c r="P631" i="32"/>
  <c r="P632" i="32"/>
  <c r="P633" i="32"/>
  <c r="P634" i="32"/>
  <c r="P635" i="32"/>
  <c r="P636" i="32"/>
  <c r="P637" i="32"/>
  <c r="P638" i="32"/>
  <c r="P639" i="32"/>
  <c r="P640" i="32"/>
  <c r="P641" i="32"/>
  <c r="P642" i="32"/>
  <c r="P643" i="32"/>
  <c r="P644" i="32"/>
  <c r="P645" i="32"/>
  <c r="P646" i="32"/>
  <c r="P647" i="32"/>
  <c r="P648" i="32"/>
  <c r="P649" i="32"/>
  <c r="P650" i="32"/>
  <c r="P651" i="32"/>
  <c r="P652" i="32"/>
  <c r="P653" i="32"/>
  <c r="P654" i="32"/>
  <c r="P655" i="32"/>
  <c r="P656" i="32"/>
  <c r="P657" i="32"/>
  <c r="P658" i="32"/>
  <c r="P659" i="32"/>
  <c r="P660" i="32"/>
  <c r="P661" i="32"/>
  <c r="P662" i="32"/>
  <c r="P663" i="32"/>
  <c r="P664" i="32"/>
  <c r="P665" i="32"/>
  <c r="P666" i="32"/>
  <c r="P667" i="32"/>
  <c r="P668" i="32"/>
  <c r="P669" i="32"/>
  <c r="P670" i="32"/>
  <c r="P671" i="32"/>
  <c r="P672" i="32"/>
  <c r="P673" i="32"/>
  <c r="P674" i="32"/>
  <c r="P675" i="32"/>
  <c r="P676" i="32"/>
  <c r="P677" i="32"/>
  <c r="P678" i="32"/>
  <c r="P679" i="32"/>
  <c r="P680" i="32"/>
  <c r="P681" i="32"/>
  <c r="P682" i="32"/>
  <c r="P683" i="32"/>
  <c r="P684" i="32"/>
  <c r="P685" i="32"/>
  <c r="P686" i="32"/>
  <c r="P687" i="32"/>
  <c r="P688" i="32"/>
  <c r="P689" i="32"/>
  <c r="P690" i="32"/>
  <c r="P691" i="32"/>
  <c r="P692" i="32"/>
  <c r="P693" i="32"/>
  <c r="P694" i="32"/>
  <c r="P695" i="32"/>
  <c r="P696" i="32"/>
  <c r="P697" i="32"/>
  <c r="P698" i="32"/>
  <c r="P699" i="32"/>
  <c r="P700" i="32"/>
  <c r="P701" i="32"/>
  <c r="P702" i="32"/>
  <c r="P703" i="32"/>
  <c r="P704" i="32"/>
  <c r="P705" i="32"/>
  <c r="P706" i="32"/>
  <c r="P707" i="32"/>
  <c r="P708" i="32"/>
  <c r="P709" i="32"/>
  <c r="P710" i="32"/>
  <c r="P711" i="32"/>
  <c r="P712" i="32"/>
  <c r="P713" i="32"/>
  <c r="P714" i="32"/>
  <c r="P715" i="32"/>
  <c r="P716" i="32"/>
  <c r="P717" i="32"/>
  <c r="P718" i="32"/>
  <c r="P719" i="32"/>
  <c r="P720" i="32"/>
  <c r="P721" i="32"/>
  <c r="P722" i="32"/>
  <c r="P723" i="32"/>
  <c r="P724" i="32"/>
  <c r="P725" i="32"/>
  <c r="P726" i="32"/>
  <c r="P727" i="32"/>
  <c r="P728" i="32"/>
  <c r="P729" i="32"/>
  <c r="P730" i="32"/>
  <c r="P731" i="32"/>
  <c r="P732" i="32"/>
  <c r="P733" i="32"/>
  <c r="P734" i="32"/>
  <c r="P735" i="32"/>
  <c r="P736" i="32"/>
  <c r="P737" i="32"/>
  <c r="P738" i="32"/>
  <c r="P739" i="32"/>
  <c r="P740" i="32"/>
  <c r="P741" i="32"/>
  <c r="P742" i="32"/>
  <c r="P743" i="32"/>
  <c r="P744" i="32"/>
  <c r="P745" i="32"/>
  <c r="P746" i="32"/>
  <c r="P747" i="32"/>
  <c r="P748" i="32"/>
  <c r="P749" i="32"/>
  <c r="P750" i="32"/>
  <c r="P751" i="32"/>
  <c r="P752" i="32"/>
  <c r="P753" i="32"/>
  <c r="P754" i="32"/>
  <c r="P755" i="32"/>
  <c r="P756" i="32"/>
  <c r="P757" i="32"/>
  <c r="P758" i="32"/>
  <c r="P759" i="32"/>
  <c r="P760" i="32"/>
  <c r="P761" i="32"/>
  <c r="P762" i="32"/>
  <c r="P763" i="32"/>
  <c r="P764" i="32"/>
  <c r="P765" i="32"/>
  <c r="P766" i="32"/>
  <c r="P767" i="32"/>
  <c r="P768" i="32"/>
  <c r="P769" i="32"/>
  <c r="P770" i="32"/>
  <c r="P771" i="32"/>
  <c r="P772" i="32"/>
  <c r="P773" i="32"/>
  <c r="P774" i="32"/>
  <c r="P775" i="32"/>
  <c r="P776" i="32"/>
  <c r="P777" i="32"/>
  <c r="P778" i="32"/>
  <c r="P779" i="32"/>
  <c r="P780" i="32"/>
  <c r="P781" i="32"/>
  <c r="P782" i="32"/>
  <c r="P783" i="32"/>
  <c r="P784" i="32"/>
  <c r="P785" i="32"/>
  <c r="P786" i="32"/>
  <c r="P787" i="32"/>
  <c r="P788" i="32"/>
  <c r="P789" i="32"/>
  <c r="P790" i="32"/>
  <c r="P791" i="32"/>
  <c r="P792" i="32"/>
  <c r="P793" i="32"/>
  <c r="P794" i="32"/>
  <c r="P795" i="32"/>
  <c r="P796" i="32"/>
  <c r="P797" i="32"/>
  <c r="P798" i="32"/>
  <c r="P799" i="32"/>
  <c r="P800" i="32"/>
  <c r="P801" i="32"/>
  <c r="P802" i="32"/>
  <c r="P803" i="32"/>
  <c r="P804" i="32"/>
  <c r="P805" i="32"/>
  <c r="P806" i="32"/>
  <c r="P807" i="32"/>
  <c r="P808" i="32"/>
  <c r="P809" i="32"/>
  <c r="P810" i="32"/>
  <c r="P811" i="32"/>
  <c r="P812" i="32"/>
  <c r="P813" i="32"/>
  <c r="P814" i="32"/>
  <c r="P815" i="32"/>
  <c r="P816" i="32"/>
  <c r="P817" i="32"/>
  <c r="P818" i="32"/>
  <c r="P819" i="32"/>
  <c r="P820" i="32"/>
  <c r="P821" i="32"/>
  <c r="P822" i="32"/>
  <c r="P823" i="32"/>
  <c r="P824" i="32"/>
  <c r="P825" i="32"/>
  <c r="P826" i="32"/>
  <c r="P827" i="32"/>
  <c r="P828" i="32"/>
  <c r="P829" i="32"/>
  <c r="P830" i="32"/>
  <c r="P831" i="32"/>
  <c r="P832" i="32"/>
  <c r="P833" i="32"/>
  <c r="P834" i="32"/>
  <c r="P835" i="32"/>
  <c r="P836" i="32"/>
  <c r="P837" i="32"/>
  <c r="P838" i="32"/>
  <c r="P839" i="32"/>
  <c r="P840" i="32"/>
  <c r="P841" i="32"/>
  <c r="P842" i="32"/>
  <c r="P843" i="32"/>
  <c r="P844" i="32"/>
  <c r="P845" i="32"/>
  <c r="P846" i="32"/>
  <c r="P847" i="32"/>
  <c r="P848" i="32"/>
  <c r="P849" i="32"/>
  <c r="P850" i="32"/>
  <c r="P851" i="32"/>
  <c r="P852" i="32"/>
  <c r="P853" i="32"/>
  <c r="P854" i="32"/>
  <c r="P855" i="32"/>
  <c r="P856" i="32"/>
  <c r="P857" i="32"/>
  <c r="P858" i="32"/>
  <c r="P859" i="32"/>
  <c r="P860" i="32"/>
  <c r="P861" i="32"/>
  <c r="P862" i="32"/>
  <c r="P863" i="32"/>
  <c r="P864" i="32"/>
  <c r="P865" i="32"/>
  <c r="P866" i="32"/>
  <c r="P867" i="32"/>
  <c r="P868" i="32"/>
  <c r="P869" i="32"/>
  <c r="P870" i="32"/>
  <c r="P871" i="32"/>
  <c r="P872" i="32"/>
  <c r="P873" i="32"/>
  <c r="P874" i="32"/>
  <c r="P875" i="32"/>
  <c r="P876" i="32"/>
  <c r="P877" i="32"/>
  <c r="P878" i="32"/>
  <c r="P879" i="32"/>
  <c r="P880" i="32"/>
  <c r="P881" i="32"/>
  <c r="P882" i="32"/>
  <c r="P883" i="32"/>
  <c r="P884" i="32"/>
  <c r="P885" i="32"/>
  <c r="P886" i="32"/>
  <c r="P887" i="32"/>
  <c r="P888" i="32"/>
  <c r="P889" i="32"/>
  <c r="P890" i="32"/>
  <c r="P891" i="32"/>
  <c r="P892" i="32"/>
  <c r="P893" i="32"/>
  <c r="P894" i="32"/>
  <c r="P895" i="32"/>
  <c r="P896" i="32"/>
  <c r="P897" i="32"/>
  <c r="P898" i="32"/>
  <c r="P899" i="32"/>
  <c r="P900" i="32"/>
  <c r="P901" i="32"/>
  <c r="P902" i="32"/>
  <c r="P903" i="32"/>
  <c r="P904" i="32"/>
  <c r="P905" i="32"/>
  <c r="P906" i="32"/>
  <c r="P907" i="32"/>
  <c r="P908" i="32"/>
  <c r="P909" i="32"/>
  <c r="P910" i="32"/>
  <c r="P911" i="32"/>
  <c r="P912" i="32"/>
  <c r="P913" i="32"/>
  <c r="P914" i="32"/>
  <c r="P915" i="32"/>
  <c r="P916" i="32"/>
  <c r="P917" i="32"/>
  <c r="P918" i="32"/>
  <c r="P919" i="32"/>
  <c r="P920" i="32"/>
  <c r="P921" i="32"/>
  <c r="P922" i="32"/>
  <c r="P923" i="32"/>
  <c r="P924" i="32"/>
  <c r="P925" i="32"/>
  <c r="P926" i="32"/>
  <c r="P927" i="32"/>
  <c r="P928" i="32"/>
  <c r="P929" i="32"/>
  <c r="P930" i="32"/>
  <c r="P931" i="32"/>
  <c r="P932" i="32"/>
  <c r="P933" i="32"/>
  <c r="P934" i="32"/>
  <c r="P935" i="32"/>
  <c r="P936" i="32"/>
  <c r="P937" i="32"/>
  <c r="P938" i="32"/>
  <c r="P939" i="32"/>
  <c r="P940" i="32"/>
  <c r="P941" i="32"/>
  <c r="P942" i="32"/>
  <c r="P943" i="32"/>
  <c r="P944" i="32"/>
  <c r="P945" i="32"/>
  <c r="P946" i="32"/>
  <c r="P947" i="32"/>
  <c r="P948" i="32"/>
  <c r="P949" i="32"/>
  <c r="P950" i="32"/>
  <c r="P951" i="32"/>
  <c r="P952" i="32"/>
  <c r="P953" i="32"/>
  <c r="P954" i="32"/>
  <c r="P955" i="32"/>
  <c r="P956" i="32"/>
  <c r="P957" i="32"/>
  <c r="P958" i="32"/>
  <c r="P959" i="32"/>
  <c r="P960" i="32"/>
  <c r="P961" i="32"/>
  <c r="P962" i="32"/>
  <c r="P963" i="32"/>
  <c r="P964" i="32"/>
  <c r="P965" i="32"/>
  <c r="P966" i="32"/>
  <c r="P967" i="32"/>
  <c r="P968" i="32"/>
  <c r="P969" i="32"/>
  <c r="P970" i="32"/>
  <c r="P971" i="32"/>
  <c r="P972" i="32"/>
  <c r="P973" i="32"/>
  <c r="P974" i="32"/>
  <c r="P975" i="32"/>
  <c r="P976" i="32"/>
  <c r="P977" i="32"/>
  <c r="P978" i="32"/>
  <c r="P979" i="32"/>
  <c r="P980" i="32"/>
  <c r="P981" i="32"/>
  <c r="P982" i="32"/>
  <c r="P983" i="32"/>
  <c r="P984" i="32"/>
  <c r="P985" i="32"/>
  <c r="P986" i="32"/>
  <c r="P987" i="32"/>
  <c r="P988" i="32"/>
  <c r="P989" i="32"/>
  <c r="P990" i="32"/>
  <c r="P991" i="32"/>
  <c r="P992" i="32"/>
  <c r="P993" i="32"/>
  <c r="P994" i="32"/>
  <c r="P995" i="32"/>
  <c r="P996" i="32"/>
  <c r="P997" i="32"/>
  <c r="P998" i="32"/>
  <c r="P999" i="32"/>
  <c r="P1000" i="32"/>
  <c r="P1001" i="32"/>
  <c r="P1002" i="32"/>
  <c r="P1003" i="32"/>
  <c r="P1004" i="32"/>
  <c r="P1005" i="32"/>
  <c r="P1006" i="32"/>
  <c r="P1007" i="32"/>
  <c r="P1008" i="32"/>
  <c r="P1009" i="32"/>
  <c r="P1010" i="32"/>
  <c r="P1011" i="32"/>
  <c r="P1012" i="32"/>
  <c r="P1013" i="32"/>
  <c r="P1014" i="32"/>
  <c r="P1015" i="32"/>
  <c r="P1016" i="32"/>
  <c r="P1017" i="32"/>
  <c r="P1018" i="32"/>
  <c r="P1019" i="32"/>
  <c r="P1020" i="32"/>
  <c r="P1021" i="32"/>
  <c r="P1022" i="32"/>
  <c r="P1023" i="32"/>
  <c r="P1024" i="32"/>
  <c r="P1025" i="32"/>
  <c r="P1026" i="32"/>
  <c r="P1027" i="32"/>
  <c r="P1028" i="32"/>
  <c r="P1029" i="32"/>
  <c r="P1030" i="32"/>
  <c r="P1031" i="32"/>
  <c r="P1032" i="32"/>
  <c r="P1033" i="32"/>
  <c r="P1034" i="32"/>
  <c r="P1035" i="32"/>
  <c r="P1036" i="32"/>
  <c r="P1037" i="32"/>
  <c r="P1038" i="32"/>
  <c r="P1039" i="32"/>
  <c r="P1040" i="32"/>
  <c r="P1041" i="32"/>
  <c r="P1042" i="32"/>
  <c r="P1043" i="32"/>
  <c r="P1044" i="32"/>
  <c r="P1045" i="32"/>
  <c r="P1046" i="32"/>
  <c r="P1047" i="32"/>
  <c r="P1048" i="32"/>
  <c r="P1049" i="32"/>
  <c r="P1050" i="32"/>
  <c r="P1051" i="32"/>
  <c r="P1052" i="32"/>
  <c r="P1053" i="32"/>
  <c r="P1054" i="32"/>
  <c r="P1055" i="32"/>
  <c r="P1056" i="32"/>
  <c r="P1057" i="32"/>
  <c r="P1058" i="32"/>
  <c r="P1059" i="32"/>
  <c r="P1060" i="32"/>
  <c r="P1061" i="32"/>
  <c r="P1062" i="32"/>
  <c r="P1063" i="32"/>
  <c r="P1064" i="32"/>
  <c r="P1065" i="32"/>
  <c r="P1066" i="32"/>
  <c r="P1067" i="32"/>
  <c r="P1068" i="32"/>
  <c r="P1069" i="32"/>
  <c r="P1070" i="32"/>
  <c r="P1071" i="32"/>
  <c r="P1072" i="32"/>
  <c r="P1073" i="32"/>
  <c r="P1074" i="32"/>
  <c r="P1075" i="32"/>
  <c r="P1076" i="32"/>
  <c r="P1077" i="32"/>
  <c r="P1078" i="32"/>
  <c r="P1079" i="32"/>
  <c r="P1080" i="32"/>
  <c r="P1081" i="32"/>
  <c r="P1082" i="32"/>
  <c r="P1083" i="32"/>
  <c r="P1084" i="32"/>
  <c r="P1085" i="32"/>
  <c r="P1086" i="32"/>
  <c r="P1087" i="32"/>
  <c r="P1088" i="32"/>
  <c r="P1089" i="32"/>
  <c r="P1090" i="32"/>
  <c r="P1091" i="32"/>
  <c r="P1092" i="32"/>
  <c r="P1093" i="32"/>
  <c r="P1094" i="32"/>
  <c r="P1095" i="32"/>
  <c r="P1096" i="32"/>
  <c r="P1097" i="32"/>
  <c r="P1098" i="32"/>
  <c r="P1099" i="32"/>
  <c r="P1100" i="32"/>
  <c r="P1101" i="32"/>
  <c r="P1102" i="32"/>
  <c r="P1103" i="32"/>
  <c r="P1104" i="32"/>
  <c r="P1105" i="32"/>
  <c r="P1106" i="32"/>
  <c r="P1107" i="32"/>
  <c r="P1108" i="32"/>
  <c r="P1109" i="32"/>
  <c r="P1110" i="32"/>
  <c r="P1111" i="32"/>
  <c r="P1112" i="32"/>
  <c r="P1113" i="32"/>
  <c r="P1114" i="32"/>
  <c r="P1115" i="32"/>
  <c r="P1116" i="32"/>
  <c r="P1117" i="32"/>
  <c r="P1118" i="32"/>
  <c r="P1119" i="32"/>
  <c r="P1120" i="32"/>
  <c r="P1121" i="32"/>
  <c r="P1122" i="32"/>
  <c r="P1123" i="32"/>
  <c r="P1124" i="32"/>
  <c r="P1125" i="32"/>
  <c r="P1126" i="32"/>
  <c r="P1127" i="32"/>
  <c r="P1128" i="32"/>
  <c r="P1129" i="32"/>
  <c r="P1130" i="32"/>
  <c r="P1131" i="32"/>
  <c r="P1132" i="32"/>
  <c r="P1133" i="32"/>
  <c r="P1134" i="32"/>
  <c r="P1135" i="32"/>
  <c r="P1136" i="32"/>
  <c r="P1137" i="32"/>
  <c r="P1138" i="32"/>
  <c r="P1139" i="32"/>
  <c r="P1140" i="32"/>
  <c r="P1141" i="32"/>
  <c r="P1142" i="32"/>
  <c r="P1143" i="32"/>
  <c r="P1144" i="32"/>
  <c r="P1145" i="32"/>
  <c r="P1146" i="32"/>
  <c r="P1147" i="32"/>
  <c r="P1148" i="32"/>
  <c r="P1149" i="32"/>
  <c r="P1150" i="32"/>
  <c r="P1151" i="32"/>
  <c r="P1152" i="32"/>
  <c r="P1153" i="32"/>
  <c r="P1154" i="32"/>
  <c r="P1155" i="32"/>
  <c r="P1156" i="32"/>
  <c r="P1157" i="32"/>
  <c r="P1158" i="32"/>
  <c r="P1159" i="32"/>
  <c r="P1160" i="32"/>
  <c r="P1161" i="32"/>
  <c r="P1162" i="32"/>
  <c r="P1163" i="32"/>
  <c r="P1164" i="32"/>
  <c r="P1165" i="32"/>
  <c r="P1166" i="32"/>
  <c r="P1167" i="32"/>
  <c r="P1168" i="32"/>
  <c r="P1169" i="32"/>
  <c r="P1170" i="32"/>
  <c r="P1171" i="32"/>
  <c r="P1172" i="32"/>
  <c r="P1173" i="32"/>
  <c r="P1174" i="32"/>
  <c r="P1175" i="32"/>
  <c r="P1176" i="32"/>
  <c r="P1177" i="32"/>
  <c r="P1178" i="32"/>
  <c r="P1179" i="32"/>
  <c r="P1180" i="32"/>
  <c r="P1181" i="32"/>
  <c r="P1182" i="32"/>
  <c r="P1183" i="32"/>
  <c r="P1184" i="32"/>
  <c r="P1185" i="32"/>
  <c r="P1186" i="32"/>
  <c r="P1187" i="32"/>
  <c r="P1188" i="32"/>
  <c r="P1189" i="32"/>
  <c r="P1190" i="32"/>
  <c r="P1191" i="32"/>
  <c r="P1192" i="32"/>
  <c r="P1193" i="32"/>
  <c r="P1194" i="32"/>
  <c r="P1195" i="32"/>
  <c r="P1196" i="32"/>
  <c r="P1197" i="32"/>
  <c r="P1198" i="32"/>
  <c r="P1199" i="32"/>
  <c r="P1200" i="32"/>
  <c r="P1201" i="32"/>
  <c r="P1202" i="32"/>
  <c r="P1203" i="32"/>
  <c r="P1204" i="32"/>
  <c r="P1205" i="32"/>
  <c r="P1206" i="32"/>
  <c r="P1207" i="32"/>
  <c r="P1208" i="32"/>
  <c r="P1209" i="32"/>
  <c r="P1210" i="32"/>
  <c r="P1211" i="32"/>
  <c r="P1212" i="32"/>
  <c r="P1213" i="32"/>
  <c r="P1214" i="32"/>
  <c r="P1215" i="32"/>
  <c r="P1216" i="32"/>
  <c r="P1217" i="32"/>
  <c r="P1218" i="32"/>
  <c r="P1219" i="32"/>
  <c r="P1220" i="32"/>
  <c r="P1221" i="32"/>
  <c r="P1222" i="32"/>
  <c r="P1223" i="32"/>
  <c r="P1224" i="32"/>
  <c r="P1225" i="32"/>
  <c r="P1226" i="32"/>
  <c r="P1227" i="32"/>
  <c r="P1228" i="32"/>
  <c r="P1229" i="32"/>
  <c r="P1230" i="32"/>
  <c r="P1231" i="32"/>
  <c r="P1232" i="32"/>
  <c r="P1233" i="32"/>
  <c r="P1234" i="32"/>
  <c r="P1235" i="32"/>
  <c r="P1236" i="32"/>
  <c r="P1237" i="32"/>
  <c r="P1238" i="32"/>
  <c r="P1239" i="32"/>
  <c r="P1240" i="32"/>
  <c r="P1241" i="32"/>
  <c r="P1242" i="32"/>
  <c r="P1243" i="32"/>
  <c r="P1244" i="32"/>
  <c r="P1245" i="32"/>
  <c r="P1246" i="32"/>
  <c r="P1247" i="32"/>
  <c r="P1248" i="32"/>
  <c r="P1249" i="32"/>
  <c r="P1250" i="32"/>
  <c r="P1251" i="32"/>
  <c r="P1252" i="32"/>
  <c r="P1253" i="32"/>
  <c r="P1254" i="32"/>
  <c r="P1255" i="32"/>
  <c r="P1256" i="32"/>
  <c r="P1257" i="32"/>
  <c r="P1258" i="32"/>
  <c r="P1259" i="32"/>
  <c r="P1260" i="32"/>
  <c r="P1261" i="32"/>
  <c r="P1262" i="32"/>
  <c r="P1263" i="32"/>
  <c r="P1264" i="32"/>
  <c r="P1265" i="32"/>
  <c r="P1266" i="32"/>
  <c r="P1267" i="32"/>
  <c r="P1268" i="32"/>
  <c r="P1269" i="32"/>
  <c r="P1270" i="32"/>
  <c r="P1271" i="32"/>
  <c r="P1272" i="32"/>
  <c r="P1273" i="32"/>
  <c r="P1274" i="32"/>
  <c r="P1275" i="32"/>
  <c r="P1276" i="32"/>
  <c r="P1277" i="32"/>
  <c r="P1278" i="32"/>
  <c r="P1279" i="32"/>
  <c r="P1280" i="32"/>
  <c r="P1281" i="32"/>
  <c r="P1282" i="32"/>
  <c r="P1283" i="32"/>
  <c r="P1284" i="32"/>
  <c r="P1285" i="32"/>
  <c r="P1286" i="32"/>
  <c r="P1287" i="32"/>
  <c r="P1288" i="32"/>
  <c r="P1289" i="32"/>
  <c r="P1290" i="32"/>
  <c r="P1291" i="32"/>
  <c r="P1292" i="32"/>
  <c r="P1293" i="32"/>
  <c r="P1294" i="32"/>
  <c r="P1295" i="32"/>
  <c r="P1296" i="32"/>
  <c r="P1297" i="32"/>
  <c r="P1298" i="32"/>
  <c r="P1299" i="32"/>
  <c r="P1300" i="32"/>
  <c r="P1301" i="32"/>
  <c r="P1302" i="32"/>
  <c r="P1303" i="32"/>
  <c r="P1304" i="32"/>
  <c r="P1305" i="32"/>
  <c r="P1306" i="32"/>
  <c r="P1307" i="32"/>
  <c r="P1308" i="32"/>
  <c r="P1309" i="32"/>
  <c r="P1310" i="32"/>
  <c r="P1311" i="32"/>
  <c r="P1312" i="32"/>
  <c r="P1313" i="32"/>
  <c r="P1314" i="32"/>
  <c r="P1315" i="32"/>
  <c r="P1316" i="32"/>
  <c r="P1317" i="32"/>
  <c r="P1318" i="32"/>
  <c r="P1319" i="32"/>
  <c r="P1320" i="32"/>
  <c r="P1321" i="32"/>
  <c r="P1322" i="32"/>
  <c r="P1323" i="32"/>
  <c r="P1324" i="32"/>
  <c r="P1325" i="32"/>
  <c r="P1326" i="32"/>
  <c r="P1327" i="32"/>
  <c r="P1328" i="32"/>
  <c r="P1329" i="32"/>
  <c r="P1330" i="32"/>
  <c r="P1331" i="32"/>
  <c r="P1332" i="32"/>
  <c r="P1333" i="32"/>
  <c r="P1334" i="32"/>
  <c r="P1335" i="32"/>
  <c r="P1336" i="32"/>
  <c r="P1337" i="32"/>
  <c r="P1338" i="32"/>
  <c r="P1339" i="32"/>
  <c r="P1340" i="32"/>
  <c r="P1341" i="32"/>
  <c r="P1342" i="32"/>
  <c r="P1343" i="32"/>
  <c r="P1344" i="32"/>
  <c r="P1345" i="32"/>
  <c r="P1346" i="32"/>
  <c r="P1347" i="32"/>
  <c r="P1348" i="32"/>
  <c r="P1349" i="32"/>
  <c r="P1350" i="32"/>
  <c r="P1351" i="32"/>
  <c r="P1352" i="32"/>
  <c r="P1353" i="32"/>
  <c r="P1354" i="32"/>
  <c r="P1355" i="32"/>
  <c r="P1356" i="32"/>
  <c r="P1357" i="32"/>
  <c r="P1358" i="32"/>
  <c r="P1359" i="32"/>
  <c r="P1360" i="32"/>
  <c r="P1361" i="32"/>
  <c r="P1362" i="32"/>
  <c r="P1363" i="32"/>
  <c r="P1364" i="32"/>
  <c r="P1365" i="32"/>
  <c r="P1366" i="32"/>
  <c r="P1367" i="32"/>
  <c r="P1368" i="32"/>
  <c r="P1369" i="32"/>
  <c r="P1370" i="32"/>
  <c r="P1371" i="32"/>
  <c r="P1372" i="32"/>
  <c r="P1373" i="32"/>
  <c r="P1374" i="32"/>
  <c r="P1375" i="32"/>
  <c r="P1376" i="32"/>
  <c r="P1377" i="32"/>
  <c r="P1378" i="32"/>
  <c r="P1379" i="32"/>
  <c r="P1380" i="32"/>
  <c r="P1381" i="32"/>
  <c r="P1382" i="32"/>
  <c r="P1383" i="32"/>
  <c r="P1384" i="32"/>
  <c r="P1385" i="32"/>
  <c r="P1386" i="32"/>
  <c r="P1387" i="32"/>
  <c r="P1388" i="32"/>
  <c r="P1389" i="32"/>
  <c r="P1390" i="32"/>
  <c r="P1391" i="32"/>
  <c r="P1392" i="32"/>
  <c r="P1393" i="32"/>
  <c r="P1394" i="32"/>
  <c r="P1395" i="32"/>
  <c r="P1396" i="32"/>
  <c r="P1397" i="32"/>
  <c r="P1398" i="32"/>
  <c r="P1399" i="32"/>
  <c r="P1400" i="32"/>
  <c r="P1401" i="32"/>
  <c r="P1402" i="32"/>
  <c r="P1403" i="32"/>
  <c r="P1404" i="32"/>
  <c r="P1405" i="32"/>
  <c r="P1406" i="32"/>
  <c r="P1407" i="32"/>
  <c r="P1408" i="32"/>
  <c r="P1409" i="32"/>
  <c r="P1410" i="32"/>
  <c r="P1411" i="32"/>
  <c r="P1412" i="32"/>
  <c r="P1413" i="32"/>
  <c r="P1414" i="32"/>
  <c r="P1415" i="32"/>
  <c r="P1416" i="32"/>
  <c r="P1417" i="32"/>
  <c r="P1418" i="32"/>
  <c r="P1419" i="32"/>
  <c r="P1420" i="32"/>
  <c r="P1421" i="32"/>
  <c r="P1422" i="32"/>
  <c r="P1423" i="32"/>
  <c r="P1424" i="32"/>
  <c r="P1425" i="32"/>
  <c r="P1426" i="32"/>
  <c r="P1427" i="32"/>
  <c r="P1428" i="32"/>
  <c r="P1429" i="32"/>
  <c r="P1430" i="32"/>
  <c r="P1431" i="32"/>
  <c r="P1432" i="32"/>
  <c r="P1433" i="32"/>
  <c r="P1434" i="32"/>
  <c r="P1435" i="32"/>
  <c r="P1436" i="32"/>
  <c r="P1437" i="32"/>
  <c r="P1438" i="32"/>
  <c r="P1439" i="32"/>
  <c r="P1440" i="32"/>
  <c r="P1441" i="32"/>
  <c r="P1442" i="32"/>
  <c r="P1443" i="32"/>
  <c r="P1444" i="32"/>
  <c r="P1445" i="32"/>
  <c r="P1446" i="32"/>
  <c r="P1447" i="32"/>
  <c r="P1448" i="32"/>
  <c r="P1449" i="32"/>
  <c r="P1450" i="32"/>
  <c r="P1451" i="32"/>
  <c r="P1452" i="32"/>
  <c r="P1453" i="32"/>
  <c r="P1454" i="32"/>
  <c r="P1455" i="32"/>
  <c r="P1456" i="32"/>
  <c r="P1457" i="32"/>
  <c r="P1458" i="32"/>
  <c r="P1459" i="32"/>
  <c r="P1460" i="32"/>
  <c r="P1461" i="32"/>
  <c r="P1462" i="32"/>
  <c r="P1463" i="32"/>
  <c r="P1464" i="32"/>
  <c r="P1465" i="32"/>
  <c r="P1466" i="32"/>
  <c r="P1467" i="32"/>
  <c r="P1468" i="32"/>
  <c r="P1469" i="32"/>
  <c r="P1470" i="32"/>
  <c r="P1471" i="32"/>
  <c r="P1472" i="32"/>
  <c r="P1473" i="32"/>
  <c r="P1474" i="32"/>
  <c r="P1475" i="32"/>
  <c r="P1476" i="32"/>
  <c r="P1477" i="32"/>
  <c r="P1478" i="32"/>
  <c r="P1479" i="32"/>
  <c r="P1480" i="32"/>
  <c r="P1481" i="32"/>
  <c r="P1482" i="32"/>
  <c r="P1483" i="32"/>
  <c r="P1484" i="32"/>
  <c r="P1485" i="32"/>
  <c r="P1486" i="32"/>
  <c r="P1487" i="32"/>
  <c r="P1488" i="32"/>
  <c r="P1489" i="32"/>
  <c r="P1490" i="32"/>
  <c r="P1491" i="32"/>
  <c r="P1492" i="32"/>
  <c r="P1493" i="32"/>
  <c r="P1494" i="32"/>
  <c r="P1495" i="32"/>
  <c r="P1496" i="32"/>
  <c r="P1497" i="32"/>
  <c r="P1498" i="32"/>
  <c r="P1499" i="32"/>
  <c r="P1500" i="32"/>
  <c r="P1501" i="32"/>
  <c r="P1502" i="32"/>
  <c r="P1503" i="32"/>
  <c r="P1504" i="32"/>
  <c r="P1505" i="32"/>
  <c r="P1506" i="32"/>
  <c r="P1507" i="32"/>
  <c r="P1508" i="32"/>
  <c r="P1509" i="32"/>
  <c r="P1510" i="32"/>
  <c r="P1511" i="32"/>
  <c r="P1512" i="32"/>
  <c r="P1513" i="32"/>
  <c r="P1514" i="32"/>
  <c r="P1515" i="32"/>
  <c r="P1516" i="32"/>
  <c r="P1517" i="32"/>
  <c r="P1518" i="32"/>
  <c r="P1519" i="32"/>
  <c r="P1520" i="32"/>
  <c r="P1521" i="32"/>
  <c r="P1522" i="32"/>
  <c r="P1523" i="32"/>
  <c r="P1524" i="32"/>
  <c r="P1525" i="32"/>
  <c r="P1526" i="32"/>
  <c r="P1527" i="32"/>
  <c r="P1528" i="32"/>
  <c r="P1529" i="32"/>
  <c r="P1530" i="32"/>
  <c r="P1531" i="32"/>
  <c r="P1532" i="32"/>
  <c r="P1533" i="32"/>
  <c r="P1534" i="32"/>
  <c r="P1535" i="32"/>
  <c r="P1536" i="32"/>
  <c r="P1537" i="32"/>
  <c r="P1538" i="32"/>
  <c r="P1539" i="32"/>
  <c r="P1540" i="32"/>
  <c r="P1541" i="32"/>
  <c r="P1542" i="32"/>
  <c r="P1543" i="32"/>
  <c r="P1544" i="32"/>
  <c r="P1545" i="32"/>
  <c r="P1546" i="32"/>
  <c r="P1547" i="32"/>
  <c r="P1548" i="32"/>
  <c r="P1549" i="32"/>
  <c r="P1550" i="32"/>
  <c r="P1551" i="32"/>
  <c r="P1552" i="32"/>
  <c r="P1553" i="32"/>
  <c r="P1554" i="32"/>
  <c r="P1555" i="32"/>
  <c r="P1556" i="32"/>
  <c r="P1557" i="32"/>
  <c r="P1558" i="32"/>
  <c r="P1559" i="32"/>
  <c r="P1560" i="32"/>
  <c r="P1561" i="32"/>
  <c r="P1562" i="32"/>
  <c r="P1563" i="32"/>
  <c r="P1564" i="32"/>
  <c r="P1565" i="32"/>
  <c r="P1566" i="32"/>
  <c r="P1567" i="32"/>
  <c r="P1568" i="32"/>
  <c r="P1569" i="32"/>
  <c r="P1570" i="32"/>
  <c r="P1571" i="32"/>
  <c r="P1572" i="32"/>
  <c r="P1573" i="32"/>
  <c r="P1574" i="32"/>
  <c r="P1575" i="32"/>
  <c r="P1576" i="32"/>
  <c r="P1577" i="32"/>
  <c r="P1578" i="32"/>
  <c r="P1579" i="32"/>
  <c r="P1580" i="32"/>
  <c r="P1581" i="32"/>
  <c r="P1582" i="32"/>
  <c r="P1583" i="32"/>
  <c r="P1584" i="32"/>
  <c r="P1585" i="32"/>
  <c r="P1586" i="32"/>
  <c r="P1587" i="32"/>
  <c r="P1588" i="32"/>
  <c r="P1589" i="32"/>
  <c r="P1590" i="32"/>
  <c r="P1591" i="32"/>
  <c r="P1592" i="32"/>
  <c r="P1593" i="32"/>
  <c r="P1594" i="32"/>
  <c r="P1595" i="32"/>
  <c r="P1596" i="32"/>
  <c r="P1597" i="32"/>
  <c r="P1598" i="32"/>
  <c r="P1599" i="32"/>
  <c r="P1600" i="32"/>
  <c r="P1601" i="32"/>
  <c r="P1602" i="32"/>
  <c r="P1603" i="32"/>
  <c r="P1604" i="32"/>
  <c r="P1605" i="32"/>
  <c r="P1606" i="32"/>
  <c r="P1607" i="32"/>
  <c r="P1608" i="32"/>
  <c r="P1609" i="32"/>
  <c r="P1610" i="32"/>
  <c r="P1611" i="32"/>
  <c r="P1612" i="32"/>
  <c r="P1613" i="32"/>
  <c r="P1614" i="32"/>
  <c r="P1615" i="32"/>
  <c r="P1616" i="32"/>
  <c r="P1617" i="32"/>
  <c r="P1618" i="32"/>
  <c r="P1619" i="32"/>
  <c r="P1620" i="32"/>
  <c r="P1621" i="32"/>
  <c r="P1622" i="32"/>
  <c r="P1623" i="32"/>
  <c r="P1624" i="32"/>
  <c r="P1625" i="32"/>
  <c r="P1626" i="32"/>
  <c r="P1627" i="32"/>
  <c r="P1628" i="32"/>
  <c r="P1629" i="32"/>
  <c r="P1630" i="32"/>
  <c r="P1631" i="32"/>
  <c r="P1632" i="32"/>
  <c r="P1633" i="32"/>
  <c r="P1634" i="32"/>
  <c r="P1635" i="32"/>
  <c r="P1636" i="32"/>
  <c r="P1637" i="32"/>
  <c r="P1638" i="32"/>
  <c r="P1639" i="32"/>
  <c r="P1640" i="32"/>
  <c r="P1641" i="32"/>
  <c r="P1642" i="32"/>
  <c r="P1643" i="32"/>
  <c r="P1644" i="32"/>
  <c r="P1645" i="32"/>
  <c r="P1646" i="32"/>
  <c r="P1647" i="32"/>
  <c r="P1648" i="32"/>
  <c r="P1649" i="32"/>
  <c r="P1650" i="32"/>
  <c r="P1651" i="32"/>
  <c r="P1652" i="32"/>
  <c r="P1653" i="32"/>
  <c r="P1654" i="32"/>
  <c r="P1655" i="32"/>
  <c r="P1656" i="32"/>
  <c r="P1657" i="32"/>
  <c r="P1658" i="32"/>
  <c r="P1659" i="32"/>
  <c r="P1660" i="32"/>
  <c r="P1661" i="32"/>
  <c r="P1662" i="32"/>
  <c r="P1663" i="32"/>
  <c r="P1664" i="32"/>
  <c r="P1665" i="32"/>
  <c r="P1666" i="32"/>
  <c r="P1667" i="32"/>
  <c r="P1668" i="32"/>
  <c r="P1669" i="32"/>
  <c r="P1670" i="32"/>
  <c r="P1671" i="32"/>
  <c r="P1672" i="32"/>
  <c r="P1673" i="32"/>
  <c r="P1674" i="32"/>
  <c r="P1675" i="32"/>
  <c r="P1676" i="32"/>
  <c r="P1677" i="32"/>
  <c r="P1678" i="32"/>
  <c r="P1679" i="32"/>
  <c r="P1680" i="32"/>
  <c r="P1681" i="32"/>
  <c r="P1682" i="32"/>
  <c r="P1683" i="32"/>
  <c r="P1684" i="32"/>
  <c r="P1685" i="32"/>
  <c r="P1686" i="32"/>
  <c r="P1687" i="32"/>
  <c r="P1688" i="32"/>
  <c r="P1689" i="32"/>
  <c r="P1690" i="32"/>
  <c r="P1691" i="32"/>
  <c r="P1692" i="32"/>
  <c r="P1693" i="32"/>
  <c r="P1694" i="32"/>
  <c r="P1695" i="32"/>
  <c r="P1696" i="32"/>
  <c r="P1697" i="32"/>
  <c r="P1698" i="32"/>
  <c r="P1699" i="32"/>
  <c r="P1700" i="32"/>
  <c r="P1701" i="32"/>
  <c r="P1702" i="32"/>
  <c r="P1703" i="32"/>
  <c r="P1704" i="32"/>
  <c r="P1705" i="32"/>
  <c r="P1706" i="32"/>
  <c r="P1707" i="32"/>
  <c r="P1708" i="32"/>
  <c r="P1709" i="32"/>
  <c r="P1710" i="32"/>
  <c r="P1711" i="32"/>
  <c r="P1712" i="32"/>
  <c r="P1713" i="32"/>
  <c r="P1714" i="32"/>
  <c r="P1715" i="32"/>
  <c r="P1716" i="32"/>
  <c r="P1717" i="32"/>
  <c r="P1718" i="32"/>
  <c r="P1719" i="32"/>
  <c r="P1720" i="32"/>
  <c r="P1721" i="32"/>
  <c r="P1722" i="32"/>
  <c r="P1723" i="32"/>
  <c r="P1724" i="32"/>
  <c r="P1725" i="32"/>
  <c r="P1726" i="32"/>
  <c r="P1727" i="32"/>
  <c r="P1728" i="32"/>
  <c r="P1729" i="32"/>
  <c r="P1730" i="32"/>
  <c r="P1731" i="32"/>
  <c r="P1732" i="32"/>
  <c r="P1733" i="32"/>
  <c r="P1734" i="32"/>
  <c r="P1735" i="32"/>
  <c r="P1736" i="32"/>
  <c r="P1737" i="32"/>
  <c r="P1738" i="32"/>
  <c r="P1739" i="32"/>
  <c r="P1740" i="32"/>
  <c r="P1741" i="32"/>
  <c r="P1742" i="32"/>
  <c r="P1743" i="32"/>
  <c r="P1744" i="32"/>
  <c r="P1745" i="32"/>
  <c r="P1746" i="32"/>
  <c r="P1747" i="32"/>
  <c r="P1748" i="32"/>
  <c r="P1749" i="32"/>
  <c r="P1750" i="32"/>
  <c r="P1751" i="32"/>
  <c r="P1752" i="32"/>
  <c r="P1753" i="32"/>
  <c r="P1754" i="32"/>
  <c r="P1755" i="32"/>
  <c r="P1756" i="32"/>
  <c r="P1757" i="32"/>
  <c r="P1758" i="32"/>
  <c r="P1759" i="32"/>
  <c r="P1760" i="32"/>
  <c r="P1761" i="32"/>
  <c r="P1762" i="32"/>
  <c r="P1763" i="32"/>
  <c r="P1764" i="32"/>
  <c r="P1765" i="32"/>
  <c r="P1766" i="32"/>
  <c r="P1767" i="32"/>
  <c r="P1768" i="32"/>
  <c r="P1769" i="32"/>
  <c r="P1770" i="32"/>
  <c r="P1771" i="32"/>
  <c r="P1772" i="32"/>
  <c r="P1773" i="32"/>
  <c r="P1774" i="32"/>
  <c r="P1775" i="32"/>
  <c r="P1776" i="32"/>
  <c r="P1777" i="32"/>
  <c r="P1778" i="32"/>
  <c r="P1779" i="32"/>
  <c r="P1780" i="32"/>
  <c r="P1781" i="32"/>
  <c r="P1782" i="32"/>
  <c r="P1783" i="32"/>
  <c r="P1784" i="32"/>
  <c r="P1785" i="32"/>
  <c r="P1786" i="32"/>
  <c r="P1787" i="32"/>
  <c r="P1788" i="32"/>
  <c r="P1789" i="32"/>
  <c r="P1790" i="32"/>
  <c r="P1791" i="32"/>
  <c r="P1792" i="32"/>
  <c r="P1793" i="32"/>
  <c r="P1794" i="32"/>
  <c r="P1795" i="32"/>
  <c r="P1796" i="32"/>
  <c r="P1797" i="32"/>
  <c r="P1798" i="32"/>
  <c r="P1799" i="32"/>
  <c r="P1800" i="32"/>
  <c r="P1801" i="32"/>
  <c r="P1802" i="32"/>
  <c r="P1803" i="32"/>
  <c r="P1804" i="32"/>
  <c r="P1805" i="32"/>
  <c r="P1806" i="32"/>
  <c r="P1807" i="32"/>
  <c r="P1808" i="32"/>
  <c r="P1809" i="32"/>
  <c r="P1810" i="32"/>
  <c r="P1811" i="32"/>
  <c r="P1812" i="32"/>
  <c r="P1813" i="32"/>
  <c r="P1814" i="32"/>
  <c r="P1815" i="32"/>
  <c r="P1816" i="32"/>
  <c r="P1817" i="32"/>
  <c r="P1818" i="32"/>
  <c r="P1819" i="32"/>
  <c r="P1820" i="32"/>
  <c r="P1821" i="32"/>
  <c r="P1822" i="32"/>
  <c r="P1823" i="32"/>
  <c r="P1824" i="32"/>
  <c r="P1825" i="32"/>
  <c r="P1826" i="32"/>
  <c r="P1827" i="32"/>
  <c r="P1828" i="32"/>
  <c r="P1829" i="32"/>
  <c r="P1830" i="32"/>
  <c r="P1831" i="32"/>
  <c r="P1832" i="32"/>
  <c r="P1833" i="32"/>
  <c r="P1834" i="32"/>
  <c r="P1835" i="32"/>
  <c r="P1836" i="32"/>
  <c r="P1837" i="32"/>
  <c r="P1838" i="32"/>
  <c r="P1839" i="32"/>
  <c r="P1840" i="32"/>
  <c r="P1841" i="32"/>
  <c r="P1842" i="32"/>
  <c r="P1843" i="32"/>
  <c r="P1844" i="32"/>
  <c r="P1845" i="32"/>
  <c r="P1846" i="32"/>
  <c r="P1847" i="32"/>
  <c r="P1848" i="32"/>
  <c r="P1849" i="32"/>
  <c r="P1850" i="32"/>
  <c r="P1851" i="32"/>
  <c r="P1852" i="32"/>
  <c r="P1853" i="32"/>
  <c r="P1854" i="32"/>
  <c r="P1855" i="32"/>
  <c r="P1856" i="32"/>
  <c r="P1857" i="32"/>
  <c r="P1858" i="32"/>
  <c r="P1859" i="32"/>
  <c r="P1860" i="32"/>
  <c r="P1861" i="32"/>
  <c r="P1862" i="32"/>
  <c r="P1863" i="32"/>
  <c r="P1864" i="32"/>
  <c r="P1865" i="32"/>
  <c r="P1866" i="32"/>
  <c r="P1867" i="32"/>
  <c r="P1868" i="32"/>
  <c r="P1869" i="32"/>
  <c r="P1870" i="32"/>
  <c r="P1871" i="32"/>
  <c r="P1872" i="32"/>
  <c r="P1873" i="32"/>
  <c r="P1874" i="32"/>
  <c r="P1875" i="32"/>
  <c r="P1876" i="32"/>
  <c r="P1877" i="32"/>
  <c r="P1878" i="32"/>
  <c r="P1879" i="32"/>
  <c r="P1880" i="32"/>
  <c r="P1881" i="32"/>
  <c r="P1882" i="32"/>
  <c r="P1883" i="32"/>
  <c r="P1884" i="32"/>
  <c r="P1885" i="32"/>
  <c r="P1886" i="32"/>
  <c r="P1887" i="32"/>
  <c r="P1888" i="32"/>
  <c r="P1889" i="32"/>
  <c r="P1890" i="32"/>
  <c r="P1891" i="32"/>
  <c r="P1892" i="32"/>
  <c r="P1893" i="32"/>
  <c r="P1894" i="32"/>
  <c r="P1895" i="32"/>
  <c r="P1896" i="32"/>
  <c r="P1897" i="32"/>
  <c r="P1898" i="32"/>
  <c r="P1899" i="32"/>
  <c r="P1900" i="32"/>
  <c r="P1901" i="32"/>
  <c r="P1902" i="32"/>
  <c r="P1903" i="32"/>
  <c r="P1904" i="32"/>
  <c r="P1905" i="32"/>
  <c r="P1906" i="32"/>
  <c r="P1907" i="32"/>
  <c r="P1908" i="32"/>
  <c r="P1909" i="32"/>
  <c r="P1910" i="32"/>
  <c r="P1911" i="32"/>
  <c r="P1912" i="32"/>
  <c r="P1913" i="32"/>
  <c r="P1914" i="32"/>
  <c r="P1915" i="32"/>
  <c r="P1916" i="32"/>
  <c r="P1917" i="32"/>
  <c r="P1918" i="32"/>
  <c r="P1919" i="32"/>
  <c r="P1920" i="32"/>
  <c r="P1921" i="32"/>
  <c r="P1922" i="32"/>
  <c r="P1923" i="32"/>
  <c r="P1924" i="32"/>
  <c r="P1925" i="32"/>
  <c r="P1926" i="32"/>
  <c r="P1927" i="32"/>
  <c r="P1928" i="32"/>
  <c r="P1929" i="32"/>
  <c r="P1930" i="32"/>
  <c r="H58" i="23" l="1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G6" i="23"/>
  <c r="D18" i="31" l="1"/>
  <c r="H5" i="34"/>
  <c r="B7" i="34"/>
  <c r="B8" i="34" s="1"/>
  <c r="B9" i="34" s="1"/>
  <c r="B10" i="34" s="1"/>
  <c r="B11" i="34" s="1"/>
  <c r="B12" i="34" s="1"/>
  <c r="Z26" i="5"/>
  <c r="Z27" i="5"/>
  <c r="Z28" i="5"/>
  <c r="Z29" i="5"/>
  <c r="Z30" i="5"/>
  <c r="Z31" i="5"/>
  <c r="O106" i="27"/>
  <c r="O107" i="27"/>
  <c r="O108" i="27"/>
  <c r="O109" i="27"/>
  <c r="O110" i="27"/>
  <c r="E106" i="27"/>
  <c r="E107" i="27"/>
  <c r="E108" i="27"/>
  <c r="E109" i="27"/>
  <c r="E110" i="27"/>
  <c r="E105" i="27"/>
  <c r="O100" i="27"/>
  <c r="O101" i="27"/>
  <c r="O102" i="27"/>
  <c r="O103" i="27"/>
  <c r="O104" i="27"/>
  <c r="O105" i="27"/>
  <c r="E100" i="27"/>
  <c r="E101" i="27"/>
  <c r="E102" i="27"/>
  <c r="E103" i="27"/>
  <c r="E104" i="27"/>
  <c r="O91" i="27"/>
  <c r="O92" i="27"/>
  <c r="O93" i="27"/>
  <c r="O94" i="27"/>
  <c r="O95" i="27"/>
  <c r="E91" i="27"/>
  <c r="E92" i="27"/>
  <c r="E93" i="27"/>
  <c r="E94" i="27"/>
  <c r="E95" i="27"/>
  <c r="O85" i="27"/>
  <c r="O86" i="27"/>
  <c r="O87" i="27"/>
  <c r="O88" i="27"/>
  <c r="O89" i="27"/>
  <c r="O90" i="27"/>
  <c r="E86" i="27"/>
  <c r="E87" i="27"/>
  <c r="E88" i="27"/>
  <c r="E89" i="27"/>
  <c r="E90" i="27"/>
  <c r="E85" i="27"/>
  <c r="E76" i="27"/>
  <c r="E77" i="27"/>
  <c r="E78" i="27"/>
  <c r="O76" i="27"/>
  <c r="O77" i="27"/>
  <c r="O78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9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60" i="27"/>
  <c r="E60" i="27"/>
  <c r="O59" i="27"/>
  <c r="E59" i="27"/>
  <c r="O58" i="27"/>
  <c r="E58" i="27"/>
  <c r="E38" i="27"/>
  <c r="E39" i="27"/>
  <c r="E40" i="27"/>
  <c r="E20" i="27"/>
  <c r="E21" i="27"/>
  <c r="E22" i="27"/>
  <c r="Y27" i="7"/>
  <c r="Z27" i="7" s="1"/>
  <c r="Y28" i="7"/>
  <c r="Z28" i="7" s="1"/>
  <c r="Y29" i="7"/>
  <c r="Z29" i="7" s="1"/>
  <c r="Y30" i="7"/>
  <c r="Z30" i="7" s="1"/>
  <c r="Y31" i="7"/>
  <c r="Z31" i="7" s="1"/>
  <c r="Y32" i="7"/>
  <c r="Z32" i="7" s="1"/>
  <c r="Y33" i="7"/>
  <c r="Z33" i="7" s="1"/>
  <c r="Y34" i="7"/>
  <c r="Z34" i="7" s="1"/>
  <c r="Y35" i="7"/>
  <c r="Z35" i="7" s="1"/>
  <c r="Y36" i="7"/>
  <c r="Z36" i="7" s="1"/>
  <c r="Y37" i="7"/>
  <c r="Z37" i="7" s="1"/>
  <c r="AF71" i="4"/>
  <c r="AG71" i="4" s="1"/>
  <c r="AF72" i="4"/>
  <c r="AG72" i="4" s="1"/>
  <c r="AF73" i="4"/>
  <c r="AG73" i="4" s="1"/>
  <c r="AF74" i="4"/>
  <c r="AG74" i="4" s="1"/>
  <c r="AF75" i="4"/>
  <c r="AG75" i="4" s="1"/>
  <c r="AF76" i="4"/>
  <c r="AG76" i="4" s="1"/>
  <c r="AF77" i="4"/>
  <c r="AG77" i="4" s="1"/>
  <c r="AF78" i="4"/>
  <c r="AG78" i="4" s="1"/>
  <c r="AF125" i="4"/>
  <c r="AG125" i="4" s="1"/>
  <c r="AF126" i="4"/>
  <c r="AG126" i="4" s="1"/>
  <c r="AF127" i="4"/>
  <c r="AG127" i="4" s="1"/>
  <c r="AF128" i="4"/>
  <c r="AG128" i="4" s="1"/>
  <c r="AF129" i="4"/>
  <c r="AG129" i="4" s="1"/>
  <c r="AF130" i="4"/>
  <c r="AG130" i="4" s="1"/>
  <c r="AF131" i="4"/>
  <c r="AG131" i="4" s="1"/>
  <c r="AF132" i="4"/>
  <c r="AG132" i="4" s="1"/>
  <c r="AF71" i="2"/>
  <c r="AG71" i="2" s="1"/>
  <c r="AF72" i="2"/>
  <c r="AG72" i="2" s="1"/>
  <c r="AF73" i="2"/>
  <c r="AG73" i="2" s="1"/>
  <c r="AF74" i="2"/>
  <c r="AG74" i="2" s="1"/>
  <c r="AF75" i="2"/>
  <c r="AG75" i="2" s="1"/>
  <c r="AF76" i="2"/>
  <c r="AG76" i="2" s="1"/>
  <c r="AF77" i="2"/>
  <c r="AG77" i="2" s="1"/>
  <c r="AF78" i="2"/>
  <c r="AG78" i="2" s="1"/>
  <c r="AF125" i="2"/>
  <c r="AG125" i="2" s="1"/>
  <c r="AF126" i="2"/>
  <c r="AG126" i="2" s="1"/>
  <c r="AF127" i="2"/>
  <c r="AG127" i="2" s="1"/>
  <c r="AF128" i="2"/>
  <c r="AG128" i="2" s="1"/>
  <c r="AF129" i="2"/>
  <c r="AG129" i="2" s="1"/>
  <c r="AF130" i="2"/>
  <c r="AG130" i="2" s="1"/>
  <c r="AF131" i="2"/>
  <c r="AG131" i="2" s="1"/>
  <c r="AF132" i="2"/>
  <c r="AG132" i="2" s="1"/>
  <c r="D5" i="33"/>
  <c r="D16" i="33"/>
  <c r="C16" i="33"/>
  <c r="I49" i="1"/>
  <c r="I48" i="1"/>
  <c r="I47" i="1"/>
  <c r="P93" i="27" a="1"/>
  <c r="F106" i="27" a="1"/>
  <c r="F95" i="27" a="1"/>
  <c r="P95" i="27" a="1"/>
  <c r="P104" i="27" a="1"/>
  <c r="F109" i="27" a="1"/>
  <c r="P85" i="27" a="1"/>
  <c r="F88" i="27" a="1"/>
  <c r="P105" i="27" a="1"/>
  <c r="F89" i="27" a="1"/>
  <c r="F58" i="27" a="1"/>
  <c r="P40" i="27" a="1"/>
  <c r="F60" i="27" a="1"/>
  <c r="F40" i="27" a="1"/>
  <c r="P102" i="27" a="1"/>
  <c r="P88" i="27" a="1"/>
  <c r="P106" i="27" a="1"/>
  <c r="P78" i="27" a="1"/>
  <c r="F20" i="27" a="1"/>
  <c r="F94" i="27" a="1"/>
  <c r="P22" i="27" a="1"/>
  <c r="F87" i="27" a="1"/>
  <c r="F59" i="27" a="1"/>
  <c r="P110" i="27" a="1"/>
  <c r="F77" i="27" a="1"/>
  <c r="F91" i="27" a="1"/>
  <c r="P76" i="27" a="1"/>
  <c r="P103" i="27" a="1"/>
  <c r="F78" i="27" a="1"/>
  <c r="F90" i="27" a="1"/>
  <c r="P59" i="27" a="1"/>
  <c r="P90" i="27" a="1"/>
  <c r="P109" i="27" a="1"/>
  <c r="F110" i="27" a="1"/>
  <c r="P86" i="27" a="1"/>
  <c r="P58" i="27" a="1"/>
  <c r="P20" i="27" a="1"/>
  <c r="F92" i="27" a="1"/>
  <c r="P60" i="27" a="1"/>
  <c r="P94" i="27" a="1"/>
  <c r="P38" i="27" a="1"/>
  <c r="F105" i="27" a="1"/>
  <c r="F39" i="27" a="1"/>
  <c r="F76" i="27" a="1"/>
  <c r="P108" i="27" a="1"/>
  <c r="F107" i="27" a="1"/>
  <c r="F22" i="27" a="1"/>
  <c r="P107" i="27" a="1"/>
  <c r="F85" i="27" a="1"/>
  <c r="P91" i="27" a="1"/>
  <c r="F103" i="27" a="1"/>
  <c r="P87" i="27" a="1"/>
  <c r="F93" i="27" a="1"/>
  <c r="F108" i="27" a="1"/>
  <c r="P92" i="27" a="1"/>
  <c r="F104" i="27" a="1"/>
  <c r="F38" i="27" a="1"/>
  <c r="F21" i="27" a="1"/>
  <c r="P39" i="27" a="1"/>
  <c r="F102" i="27" a="1"/>
  <c r="P77" i="27" a="1"/>
  <c r="P21" i="27" a="1"/>
  <c r="F100" i="27" a="1"/>
  <c r="P89" i="27" a="1"/>
  <c r="P101" i="27" a="1"/>
  <c r="P100" i="27" a="1"/>
  <c r="F86" i="27" a="1"/>
  <c r="F101" i="27" a="1"/>
  <c r="P110" i="27" l="1"/>
  <c r="P109" i="27"/>
  <c r="P108" i="27"/>
  <c r="P107" i="27"/>
  <c r="P106" i="27"/>
  <c r="F107" i="27"/>
  <c r="F109" i="27"/>
  <c r="F110" i="27"/>
  <c r="F108" i="27"/>
  <c r="F106" i="27"/>
  <c r="P105" i="27"/>
  <c r="P104" i="27"/>
  <c r="P103" i="27"/>
  <c r="P102" i="27"/>
  <c r="P101" i="27"/>
  <c r="P100" i="27"/>
  <c r="F101" i="27"/>
  <c r="F105" i="27"/>
  <c r="F103" i="27"/>
  <c r="F104" i="27"/>
  <c r="F102" i="27"/>
  <c r="F100" i="27"/>
  <c r="P95" i="27"/>
  <c r="P94" i="27"/>
  <c r="P93" i="27"/>
  <c r="P92" i="27"/>
  <c r="P91" i="27"/>
  <c r="F92" i="27"/>
  <c r="F95" i="27"/>
  <c r="F94" i="27"/>
  <c r="F93" i="27"/>
  <c r="F91" i="27"/>
  <c r="P90" i="27"/>
  <c r="P89" i="27"/>
  <c r="P88" i="27"/>
  <c r="P87" i="27"/>
  <c r="P86" i="27"/>
  <c r="P85" i="27"/>
  <c r="F90" i="27"/>
  <c r="F89" i="27"/>
  <c r="F88" i="27"/>
  <c r="F87" i="27"/>
  <c r="F86" i="27"/>
  <c r="F85" i="27"/>
  <c r="F78" i="27"/>
  <c r="F77" i="27"/>
  <c r="F76" i="27"/>
  <c r="P78" i="27"/>
  <c r="P77" i="27"/>
  <c r="P76" i="27"/>
  <c r="P60" i="27"/>
  <c r="P59" i="27"/>
  <c r="P58" i="27"/>
  <c r="F60" i="27"/>
  <c r="F59" i="27"/>
  <c r="F58" i="27"/>
  <c r="P40" i="27"/>
  <c r="P39" i="27"/>
  <c r="P38" i="27"/>
  <c r="F39" i="27"/>
  <c r="F38" i="27"/>
  <c r="F40" i="27"/>
  <c r="P22" i="27"/>
  <c r="P21" i="27"/>
  <c r="P20" i="27"/>
  <c r="F22" i="27"/>
  <c r="F21" i="27"/>
  <c r="F20" i="27"/>
  <c r="F3" i="33"/>
  <c r="D3" i="33"/>
  <c r="D4" i="33"/>
  <c r="D2" i="33"/>
  <c r="F12" i="33"/>
  <c r="F13" i="33"/>
  <c r="F14" i="33"/>
  <c r="F15" i="33"/>
  <c r="F7" i="33"/>
  <c r="F8" i="33"/>
  <c r="F9" i="33"/>
  <c r="F10" i="33"/>
  <c r="F4" i="33"/>
  <c r="F5" i="33"/>
  <c r="W4" i="3"/>
  <c r="X4" i="3"/>
  <c r="Y4" i="3"/>
  <c r="Z4" i="3"/>
  <c r="AA4" i="3"/>
  <c r="AB4" i="3"/>
  <c r="AC4" i="3"/>
  <c r="AD4" i="3"/>
  <c r="C13" i="33" l="1"/>
  <c r="I101" i="27"/>
  <c r="I108" i="27"/>
  <c r="J22" i="27"/>
  <c r="I106" i="27"/>
  <c r="I102" i="27"/>
  <c r="I103" i="27"/>
  <c r="I104" i="27"/>
  <c r="I107" i="27"/>
  <c r="I109" i="27"/>
  <c r="I110" i="27"/>
  <c r="I105" i="27"/>
  <c r="J106" i="27"/>
  <c r="J104" i="27"/>
  <c r="J102" i="27"/>
  <c r="J110" i="27"/>
  <c r="J105" i="27"/>
  <c r="J87" i="27"/>
  <c r="J89" i="27"/>
  <c r="J85" i="27"/>
  <c r="I100" i="27"/>
  <c r="J100" i="27"/>
  <c r="J109" i="27"/>
  <c r="J88" i="27"/>
  <c r="J90" i="27"/>
  <c r="J91" i="27"/>
  <c r="J94" i="27"/>
  <c r="J108" i="27"/>
  <c r="J93" i="27"/>
  <c r="J92" i="27"/>
  <c r="J95" i="27"/>
  <c r="J86" i="27"/>
  <c r="J103" i="27"/>
  <c r="J107" i="27"/>
  <c r="J101" i="27"/>
  <c r="J76" i="27"/>
  <c r="J77" i="27"/>
  <c r="J78" i="27"/>
  <c r="I77" i="27"/>
  <c r="I76" i="27"/>
  <c r="I78" i="27"/>
  <c r="J59" i="27"/>
  <c r="J60" i="27"/>
  <c r="J58" i="27"/>
  <c r="I40" i="27"/>
  <c r="J40" i="27"/>
  <c r="I38" i="27"/>
  <c r="J38" i="27"/>
  <c r="J39" i="27"/>
  <c r="I39" i="27"/>
  <c r="J20" i="27"/>
  <c r="J21" i="27"/>
  <c r="AA27" i="7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X36" i="5"/>
  <c r="X37" i="5" s="1"/>
  <c r="X38" i="5" s="1"/>
  <c r="X39" i="5" s="1"/>
  <c r="X26" i="5"/>
  <c r="X27" i="5" s="1"/>
  <c r="X28" i="5" s="1"/>
  <c r="X29" i="5" s="1"/>
  <c r="X30" i="5" s="1"/>
  <c r="X31" i="5" s="1"/>
  <c r="J78" i="4" l="1"/>
  <c r="M78" i="4" s="1"/>
  <c r="I78" i="4"/>
  <c r="L78" i="4" s="1"/>
  <c r="H78" i="4"/>
  <c r="K78" i="4" s="1"/>
  <c r="J77" i="4"/>
  <c r="M77" i="4" s="1"/>
  <c r="I77" i="4"/>
  <c r="L77" i="4" s="1"/>
  <c r="H77" i="4"/>
  <c r="K77" i="4" s="1"/>
  <c r="J76" i="4"/>
  <c r="M76" i="4" s="1"/>
  <c r="I76" i="4"/>
  <c r="L76" i="4" s="1"/>
  <c r="H76" i="4"/>
  <c r="K76" i="4" s="1"/>
  <c r="J75" i="4"/>
  <c r="M75" i="4" s="1"/>
  <c r="I75" i="4"/>
  <c r="L75" i="4" s="1"/>
  <c r="H75" i="4"/>
  <c r="K75" i="4" s="1"/>
  <c r="J74" i="4"/>
  <c r="M74" i="4" s="1"/>
  <c r="I74" i="4"/>
  <c r="L74" i="4" s="1"/>
  <c r="H74" i="4"/>
  <c r="K74" i="4" s="1"/>
  <c r="J73" i="4"/>
  <c r="M73" i="4" s="1"/>
  <c r="I73" i="4"/>
  <c r="L73" i="4" s="1"/>
  <c r="H73" i="4"/>
  <c r="K73" i="4" s="1"/>
  <c r="J72" i="4"/>
  <c r="M72" i="4" s="1"/>
  <c r="I72" i="4"/>
  <c r="L72" i="4" s="1"/>
  <c r="H72" i="4"/>
  <c r="K72" i="4" s="1"/>
  <c r="J71" i="4"/>
  <c r="M71" i="4" s="1"/>
  <c r="I71" i="4"/>
  <c r="L71" i="4" s="1"/>
  <c r="H71" i="4"/>
  <c r="K71" i="4" s="1"/>
  <c r="J125" i="4"/>
  <c r="M125" i="4" s="1"/>
  <c r="J126" i="4"/>
  <c r="M126" i="4" s="1"/>
  <c r="J127" i="4"/>
  <c r="M127" i="4" s="1"/>
  <c r="J128" i="4"/>
  <c r="M128" i="4" s="1"/>
  <c r="J129" i="4"/>
  <c r="M129" i="4" s="1"/>
  <c r="J130" i="4"/>
  <c r="M130" i="4" s="1"/>
  <c r="J131" i="4"/>
  <c r="M131" i="4" s="1"/>
  <c r="J132" i="4"/>
  <c r="M132" i="4" s="1"/>
  <c r="I125" i="4"/>
  <c r="L125" i="4" s="1"/>
  <c r="I126" i="4"/>
  <c r="L126" i="4" s="1"/>
  <c r="I127" i="4"/>
  <c r="L127" i="4" s="1"/>
  <c r="I128" i="4"/>
  <c r="L128" i="4" s="1"/>
  <c r="I129" i="4"/>
  <c r="L129" i="4" s="1"/>
  <c r="I130" i="4"/>
  <c r="L130" i="4" s="1"/>
  <c r="I131" i="4"/>
  <c r="L131" i="4" s="1"/>
  <c r="I132" i="4"/>
  <c r="L132" i="4" s="1"/>
  <c r="H125" i="4"/>
  <c r="K125" i="4" s="1"/>
  <c r="H126" i="4"/>
  <c r="K126" i="4" s="1"/>
  <c r="H127" i="4"/>
  <c r="K127" i="4" s="1"/>
  <c r="H128" i="4"/>
  <c r="K128" i="4" s="1"/>
  <c r="H129" i="4"/>
  <c r="K129" i="4" s="1"/>
  <c r="H130" i="4"/>
  <c r="K130" i="4" s="1"/>
  <c r="H131" i="4"/>
  <c r="K131" i="4" s="1"/>
  <c r="H132" i="4"/>
  <c r="K132" i="4" s="1"/>
  <c r="AH125" i="4"/>
  <c r="AH126" i="4" s="1"/>
  <c r="AH127" i="4" s="1"/>
  <c r="AH128" i="4" s="1"/>
  <c r="AH129" i="4" s="1"/>
  <c r="AH130" i="4" s="1"/>
  <c r="AH131" i="4" s="1"/>
  <c r="AH132" i="4" s="1"/>
  <c r="AH71" i="4"/>
  <c r="AH72" i="4" s="1"/>
  <c r="AH73" i="4" s="1"/>
  <c r="AH74" i="4" s="1"/>
  <c r="AH75" i="4" s="1"/>
  <c r="AH76" i="4" s="1"/>
  <c r="AH77" i="4" s="1"/>
  <c r="AH78" i="4" s="1"/>
  <c r="J125" i="2"/>
  <c r="M125" i="2" s="1"/>
  <c r="I125" i="2"/>
  <c r="L125" i="2" s="1"/>
  <c r="H125" i="2"/>
  <c r="K125" i="2" s="1"/>
  <c r="I126" i="2"/>
  <c r="L126" i="2" s="1"/>
  <c r="I127" i="2"/>
  <c r="L127" i="2" s="1"/>
  <c r="I128" i="2"/>
  <c r="L128" i="2" s="1"/>
  <c r="I129" i="2"/>
  <c r="L129" i="2" s="1"/>
  <c r="I130" i="2"/>
  <c r="L130" i="2" s="1"/>
  <c r="I131" i="2"/>
  <c r="L131" i="2" s="1"/>
  <c r="I132" i="2"/>
  <c r="L132" i="2" s="1"/>
  <c r="H126" i="2"/>
  <c r="K126" i="2" s="1"/>
  <c r="H127" i="2"/>
  <c r="K127" i="2" s="1"/>
  <c r="H128" i="2"/>
  <c r="K128" i="2" s="1"/>
  <c r="H129" i="2"/>
  <c r="K129" i="2" s="1"/>
  <c r="H130" i="2"/>
  <c r="K130" i="2" s="1"/>
  <c r="H131" i="2"/>
  <c r="K131" i="2" s="1"/>
  <c r="H132" i="2"/>
  <c r="K132" i="2" s="1"/>
  <c r="J71" i="2"/>
  <c r="M71" i="2" s="1"/>
  <c r="J72" i="2"/>
  <c r="M72" i="2" s="1"/>
  <c r="J73" i="2"/>
  <c r="M73" i="2" s="1"/>
  <c r="J74" i="2"/>
  <c r="M74" i="2" s="1"/>
  <c r="J75" i="2"/>
  <c r="M75" i="2" s="1"/>
  <c r="J76" i="2"/>
  <c r="M76" i="2" s="1"/>
  <c r="J77" i="2"/>
  <c r="M77" i="2" s="1"/>
  <c r="J78" i="2"/>
  <c r="M78" i="2" s="1"/>
  <c r="I71" i="2"/>
  <c r="L71" i="2" s="1"/>
  <c r="I72" i="2"/>
  <c r="L72" i="2" s="1"/>
  <c r="I73" i="2"/>
  <c r="L73" i="2" s="1"/>
  <c r="I74" i="2"/>
  <c r="L74" i="2" s="1"/>
  <c r="I75" i="2"/>
  <c r="L75" i="2" s="1"/>
  <c r="I76" i="2"/>
  <c r="L76" i="2" s="1"/>
  <c r="I77" i="2"/>
  <c r="L77" i="2" s="1"/>
  <c r="I78" i="2"/>
  <c r="L78" i="2" s="1"/>
  <c r="H71" i="2"/>
  <c r="K71" i="2" s="1"/>
  <c r="H72" i="2"/>
  <c r="K72" i="2" s="1"/>
  <c r="H73" i="2"/>
  <c r="K73" i="2" s="1"/>
  <c r="H74" i="2"/>
  <c r="K74" i="2" s="1"/>
  <c r="H75" i="2"/>
  <c r="K75" i="2" s="1"/>
  <c r="H76" i="2"/>
  <c r="K76" i="2" s="1"/>
  <c r="H77" i="2"/>
  <c r="K77" i="2" s="1"/>
  <c r="H78" i="2"/>
  <c r="K78" i="2" s="1"/>
  <c r="J126" i="2"/>
  <c r="M126" i="2" s="1"/>
  <c r="J127" i="2"/>
  <c r="M127" i="2" s="1"/>
  <c r="J128" i="2"/>
  <c r="M128" i="2" s="1"/>
  <c r="J129" i="2"/>
  <c r="M129" i="2" s="1"/>
  <c r="J130" i="2"/>
  <c r="M130" i="2" s="1"/>
  <c r="J131" i="2"/>
  <c r="M131" i="2" s="1"/>
  <c r="J132" i="2"/>
  <c r="M132" i="2" s="1"/>
  <c r="AJ73" i="4" l="1"/>
  <c r="AI73" i="4" s="1"/>
  <c r="AJ77" i="4"/>
  <c r="AI77" i="4" s="1"/>
  <c r="AJ78" i="4"/>
  <c r="AI78" i="4" s="1"/>
  <c r="AJ74" i="4"/>
  <c r="AI74" i="4" s="1"/>
  <c r="AJ71" i="4"/>
  <c r="AI71" i="4" s="1"/>
  <c r="AJ75" i="4"/>
  <c r="AI75" i="4" s="1"/>
  <c r="AJ76" i="4"/>
  <c r="AI76" i="4" s="1"/>
  <c r="AJ72" i="4"/>
  <c r="AI72" i="4" s="1"/>
  <c r="AJ131" i="4"/>
  <c r="AI131" i="4" s="1"/>
  <c r="AJ127" i="4"/>
  <c r="AI127" i="4" s="1"/>
  <c r="AJ129" i="4"/>
  <c r="AI129" i="4" s="1"/>
  <c r="AJ128" i="4"/>
  <c r="AI128" i="4" s="1"/>
  <c r="AJ130" i="4"/>
  <c r="AI130" i="4" s="1"/>
  <c r="AJ126" i="4"/>
  <c r="AI126" i="4" s="1"/>
  <c r="AJ125" i="4"/>
  <c r="AI125" i="4" s="1"/>
  <c r="AJ132" i="4"/>
  <c r="AI132" i="4" s="1"/>
  <c r="AJ73" i="2"/>
  <c r="AI73" i="2" s="1"/>
  <c r="AJ78" i="2"/>
  <c r="AI78" i="2" s="1"/>
  <c r="AJ72" i="2"/>
  <c r="AI72" i="2" s="1"/>
  <c r="AJ77" i="2"/>
  <c r="AI77" i="2" s="1"/>
  <c r="AJ76" i="2"/>
  <c r="AI76" i="2" s="1"/>
  <c r="AJ75" i="2"/>
  <c r="AI75" i="2" s="1"/>
  <c r="AJ74" i="2"/>
  <c r="AI74" i="2" s="1"/>
  <c r="AJ71" i="2"/>
  <c r="AI71" i="2" s="1"/>
  <c r="AJ130" i="2"/>
  <c r="AI130" i="2" s="1"/>
  <c r="AJ132" i="2"/>
  <c r="AI132" i="2" s="1"/>
  <c r="AJ131" i="2"/>
  <c r="AI131" i="2" s="1"/>
  <c r="AJ129" i="2"/>
  <c r="AI129" i="2" s="1"/>
  <c r="AJ128" i="2"/>
  <c r="AI128" i="2" s="1"/>
  <c r="AJ126" i="2"/>
  <c r="AI126" i="2" s="1"/>
  <c r="AJ127" i="2"/>
  <c r="AI127" i="2" s="1"/>
  <c r="AJ125" i="2"/>
  <c r="AI125" i="2" s="1"/>
  <c r="AH71" i="2"/>
  <c r="AH72" i="2" s="1"/>
  <c r="AH73" i="2" s="1"/>
  <c r="AH74" i="2" s="1"/>
  <c r="AH75" i="2" s="1"/>
  <c r="AH76" i="2" s="1"/>
  <c r="AH77" i="2" s="1"/>
  <c r="AH78" i="2" s="1"/>
  <c r="AH125" i="2"/>
  <c r="AH126" i="2" s="1"/>
  <c r="AH127" i="2" s="1"/>
  <c r="AH128" i="2" s="1"/>
  <c r="AH129" i="2" s="1"/>
  <c r="AH130" i="2" s="1"/>
  <c r="AH131" i="2" s="1"/>
  <c r="AH132" i="2" s="1"/>
  <c r="AG4" i="3"/>
  <c r="AH4" i="3"/>
  <c r="M16" i="3" l="1"/>
  <c r="S24" i="3"/>
  <c r="R24" i="3"/>
  <c r="Q24" i="3"/>
  <c r="S23" i="3"/>
  <c r="R23" i="3"/>
  <c r="Q23" i="3"/>
  <c r="S21" i="3"/>
  <c r="R21" i="3"/>
  <c r="Q21" i="3"/>
  <c r="S22" i="3"/>
  <c r="R22" i="3"/>
  <c r="Q22" i="3"/>
  <c r="F28" i="26"/>
  <c r="F21" i="24"/>
  <c r="E63" i="16"/>
  <c r="E65" i="16"/>
  <c r="E98" i="16"/>
  <c r="E97" i="16"/>
  <c r="P19" i="3" l="1"/>
  <c r="P21" i="3" s="1" a="1"/>
  <c r="P21" i="3" s="1"/>
  <c r="A2" i="30"/>
  <c r="G9" i="31" a="1"/>
  <c r="G9" i="31" s="1"/>
  <c r="P24" i="3" l="1" a="1"/>
  <c r="P24" i="3" s="1"/>
  <c r="P23" i="3" a="1"/>
  <c r="P23" i="3" s="1"/>
  <c r="P22" i="3" a="1"/>
  <c r="P22" i="3" s="1"/>
  <c r="N22" i="3" s="1"/>
  <c r="G14" i="31" a="1"/>
  <c r="G14" i="31" s="1"/>
  <c r="G13" i="31" a="1"/>
  <c r="G13" i="31" s="1"/>
  <c r="D13" i="33" s="1"/>
  <c r="G12" i="31" a="1"/>
  <c r="G12" i="31" s="1"/>
  <c r="G11" i="31" a="1"/>
  <c r="G11" i="31" s="1"/>
  <c r="G8" i="31" a="1"/>
  <c r="G8" i="31" s="1"/>
  <c r="G7" i="31" a="1"/>
  <c r="G7" i="31" s="1"/>
  <c r="G6" i="31" a="1"/>
  <c r="G6" i="31" s="1"/>
  <c r="G5" i="31" a="1"/>
  <c r="G5" i="31" s="1"/>
  <c r="N23" i="3" l="1"/>
  <c r="N24" i="3"/>
  <c r="N21" i="3"/>
  <c r="G56" i="23"/>
  <c r="G57" i="23" s="1"/>
  <c r="G58" i="23" s="1"/>
  <c r="G53" i="23"/>
  <c r="G54" i="23" s="1"/>
  <c r="G55" i="23" s="1"/>
  <c r="G50" i="23"/>
  <c r="G51" i="23" s="1"/>
  <c r="G52" i="23" s="1"/>
  <c r="G44" i="23"/>
  <c r="G45" i="23" s="1"/>
  <c r="G46" i="23" s="1"/>
  <c r="G47" i="23" s="1"/>
  <c r="G48" i="23" s="1"/>
  <c r="G49" i="23" s="1"/>
  <c r="G8" i="23"/>
  <c r="G9" i="23" s="1"/>
  <c r="G10" i="23" s="1"/>
  <c r="G11" i="23" s="1"/>
  <c r="G12" i="23" s="1"/>
  <c r="G13" i="23"/>
  <c r="G14" i="23" s="1"/>
  <c r="G15" i="23" s="1"/>
  <c r="G16" i="23" s="1"/>
  <c r="G17" i="23" s="1"/>
  <c r="G18" i="23"/>
  <c r="G19" i="23" s="1"/>
  <c r="G20" i="23" s="1"/>
  <c r="G21" i="23" s="1"/>
  <c r="G22" i="23" s="1"/>
  <c r="G23" i="23"/>
  <c r="G24" i="23" s="1"/>
  <c r="G25" i="23" s="1"/>
  <c r="G26" i="23" s="1"/>
  <c r="G27" i="23" s="1"/>
  <c r="G28" i="23"/>
  <c r="G29" i="23" s="1"/>
  <c r="G30" i="23" s="1"/>
  <c r="G31" i="23" s="1"/>
  <c r="G32" i="23"/>
  <c r="G33" i="23" s="1"/>
  <c r="G34" i="23" s="1"/>
  <c r="G35" i="23" s="1"/>
  <c r="G36" i="23"/>
  <c r="G37" i="23" s="1"/>
  <c r="G38" i="23" s="1"/>
  <c r="G39" i="23" s="1"/>
  <c r="G40" i="23"/>
  <c r="G41" i="23" s="1"/>
  <c r="G42" i="23" s="1"/>
  <c r="G43" i="23" s="1"/>
  <c r="F28" i="24"/>
  <c r="F26" i="24"/>
  <c r="J29" i="1"/>
  <c r="J28" i="1"/>
  <c r="H37" i="22"/>
  <c r="H38" i="22" s="1"/>
  <c r="H39" i="22" s="1"/>
  <c r="H40" i="22" s="1"/>
  <c r="H41" i="22" s="1"/>
  <c r="H42" i="22" s="1"/>
  <c r="H43" i="22" s="1"/>
  <c r="H44" i="22" s="1"/>
  <c r="B3" i="28"/>
  <c r="C110" i="4" l="1"/>
  <c r="C111" i="4"/>
  <c r="F111" i="4" s="1" a="1"/>
  <c r="F111" i="4" s="1"/>
  <c r="C112" i="4"/>
  <c r="F112" i="4" s="1" a="1"/>
  <c r="F112" i="4" s="1"/>
  <c r="C113" i="4"/>
  <c r="F113" i="4" s="1" a="1"/>
  <c r="F113" i="4" s="1"/>
  <c r="C114" i="4"/>
  <c r="K114" i="4" s="1" a="1"/>
  <c r="K114" i="4" s="1"/>
  <c r="C115" i="4"/>
  <c r="K115" i="4" s="1" a="1"/>
  <c r="K115" i="4" s="1"/>
  <c r="C116" i="4"/>
  <c r="E116" i="4" s="1" a="1"/>
  <c r="E116" i="4" s="1"/>
  <c r="C117" i="4"/>
  <c r="K117" i="4" s="1" a="1"/>
  <c r="K117" i="4" s="1"/>
  <c r="C118" i="4"/>
  <c r="F118" i="4" s="1" a="1"/>
  <c r="F118" i="4" s="1"/>
  <c r="C119" i="4"/>
  <c r="F119" i="4" s="1" a="1"/>
  <c r="F119" i="4" s="1"/>
  <c r="C56" i="4"/>
  <c r="E56" i="4" s="1" a="1"/>
  <c r="E56" i="4" s="1"/>
  <c r="C57" i="4"/>
  <c r="E57" i="4" s="1" a="1"/>
  <c r="E57" i="4" s="1"/>
  <c r="C58" i="4"/>
  <c r="K58" i="4" s="1" a="1"/>
  <c r="K58" i="4" s="1"/>
  <c r="C59" i="4"/>
  <c r="F59" i="4" s="1" a="1"/>
  <c r="F59" i="4" s="1"/>
  <c r="C60" i="4"/>
  <c r="F60" i="4" s="1" a="1"/>
  <c r="F60" i="4" s="1"/>
  <c r="C61" i="4"/>
  <c r="K61" i="4" s="1" a="1"/>
  <c r="K61" i="4" s="1"/>
  <c r="C62" i="4"/>
  <c r="E62" i="4" s="1" a="1"/>
  <c r="E62" i="4" s="1"/>
  <c r="C63" i="4"/>
  <c r="D63" i="4" s="1" a="1"/>
  <c r="D63" i="4" s="1"/>
  <c r="C64" i="4"/>
  <c r="K64" i="4" s="1" a="1"/>
  <c r="K64" i="4" s="1"/>
  <c r="C65" i="4"/>
  <c r="F65" i="4" s="1" a="1"/>
  <c r="F65" i="4" s="1"/>
  <c r="I56" i="2"/>
  <c r="I57" i="2"/>
  <c r="I58" i="2"/>
  <c r="I59" i="2"/>
  <c r="I60" i="2"/>
  <c r="I61" i="2"/>
  <c r="I62" i="2"/>
  <c r="I63" i="2"/>
  <c r="I64" i="2"/>
  <c r="I65" i="2"/>
  <c r="I110" i="2"/>
  <c r="I111" i="2"/>
  <c r="I112" i="2"/>
  <c r="I113" i="2"/>
  <c r="I114" i="2"/>
  <c r="I115" i="2"/>
  <c r="I116" i="2"/>
  <c r="I117" i="2"/>
  <c r="I118" i="2"/>
  <c r="I119" i="2"/>
  <c r="I56" i="4"/>
  <c r="I57" i="4"/>
  <c r="I58" i="4"/>
  <c r="I59" i="4"/>
  <c r="I60" i="4"/>
  <c r="I61" i="4"/>
  <c r="I62" i="4"/>
  <c r="I63" i="4"/>
  <c r="I64" i="4"/>
  <c r="I65" i="4"/>
  <c r="I110" i="4"/>
  <c r="I111" i="4"/>
  <c r="I112" i="4"/>
  <c r="I113" i="4"/>
  <c r="I114" i="4"/>
  <c r="I115" i="4"/>
  <c r="I116" i="4"/>
  <c r="I117" i="4"/>
  <c r="I118" i="4"/>
  <c r="I119" i="4"/>
  <c r="J56" i="4"/>
  <c r="J57" i="4"/>
  <c r="J58" i="4"/>
  <c r="J59" i="4"/>
  <c r="J60" i="4"/>
  <c r="J61" i="4"/>
  <c r="J62" i="4"/>
  <c r="J63" i="4"/>
  <c r="J64" i="4"/>
  <c r="J65" i="4"/>
  <c r="J110" i="4"/>
  <c r="J111" i="4"/>
  <c r="J112" i="4"/>
  <c r="J113" i="4"/>
  <c r="J114" i="4"/>
  <c r="J115" i="4"/>
  <c r="J116" i="4"/>
  <c r="J117" i="4"/>
  <c r="J118" i="4"/>
  <c r="J119" i="4"/>
  <c r="H110" i="4"/>
  <c r="H111" i="4"/>
  <c r="H112" i="4"/>
  <c r="H113" i="4"/>
  <c r="H114" i="4"/>
  <c r="H115" i="4"/>
  <c r="H116" i="4"/>
  <c r="H117" i="4"/>
  <c r="H118" i="4"/>
  <c r="H119" i="4"/>
  <c r="H56" i="4"/>
  <c r="H57" i="4"/>
  <c r="H58" i="4"/>
  <c r="H59" i="4"/>
  <c r="H60" i="4"/>
  <c r="H61" i="4"/>
  <c r="H62" i="4"/>
  <c r="H63" i="4"/>
  <c r="H64" i="4"/>
  <c r="H65" i="4"/>
  <c r="G110" i="4"/>
  <c r="G111" i="4"/>
  <c r="G112" i="4"/>
  <c r="G113" i="4"/>
  <c r="G114" i="4"/>
  <c r="G115" i="4"/>
  <c r="G116" i="4"/>
  <c r="G117" i="4"/>
  <c r="G118" i="4"/>
  <c r="G119" i="4"/>
  <c r="O66" i="27"/>
  <c r="O67" i="27"/>
  <c r="O68" i="27"/>
  <c r="O69" i="27"/>
  <c r="O70" i="27"/>
  <c r="O71" i="27"/>
  <c r="O72" i="27"/>
  <c r="O73" i="27"/>
  <c r="O74" i="27"/>
  <c r="O75" i="27"/>
  <c r="E66" i="27"/>
  <c r="E67" i="27"/>
  <c r="E68" i="27"/>
  <c r="E69" i="27"/>
  <c r="E70" i="27"/>
  <c r="E71" i="27"/>
  <c r="E72" i="27"/>
  <c r="E73" i="27"/>
  <c r="E74" i="27"/>
  <c r="E75" i="27"/>
  <c r="O48" i="27"/>
  <c r="O49" i="27"/>
  <c r="O50" i="27"/>
  <c r="O51" i="27"/>
  <c r="O52" i="27"/>
  <c r="O53" i="27"/>
  <c r="O54" i="27"/>
  <c r="O55" i="27"/>
  <c r="O56" i="27"/>
  <c r="O57" i="27"/>
  <c r="O47" i="27"/>
  <c r="E48" i="27"/>
  <c r="E49" i="27"/>
  <c r="E50" i="27"/>
  <c r="E51" i="27"/>
  <c r="E52" i="27"/>
  <c r="E53" i="27"/>
  <c r="E54" i="27"/>
  <c r="E55" i="27"/>
  <c r="E56" i="27"/>
  <c r="E57" i="27"/>
  <c r="E47" i="27"/>
  <c r="O65" i="27"/>
  <c r="E65" i="27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J110" i="2"/>
  <c r="M110" i="2" s="1"/>
  <c r="J111" i="2"/>
  <c r="M111" i="2" s="1"/>
  <c r="J112" i="2"/>
  <c r="M112" i="2" s="1"/>
  <c r="J113" i="2"/>
  <c r="M113" i="2" s="1"/>
  <c r="J114" i="2"/>
  <c r="M114" i="2" s="1"/>
  <c r="J115" i="2"/>
  <c r="M115" i="2" s="1"/>
  <c r="J116" i="2"/>
  <c r="M116" i="2" s="1"/>
  <c r="J117" i="2"/>
  <c r="M117" i="2" s="1"/>
  <c r="J118" i="2"/>
  <c r="M118" i="2" s="1"/>
  <c r="J119" i="2"/>
  <c r="M119" i="2" s="1"/>
  <c r="I85" i="2"/>
  <c r="M85" i="2" s="1"/>
  <c r="I86" i="2"/>
  <c r="M86" i="2" s="1"/>
  <c r="I87" i="2"/>
  <c r="M87" i="2" s="1"/>
  <c r="I88" i="2"/>
  <c r="M88" i="2" s="1"/>
  <c r="I89" i="2"/>
  <c r="M89" i="2" s="1"/>
  <c r="I90" i="2"/>
  <c r="M90" i="2" s="1"/>
  <c r="I91" i="2"/>
  <c r="M91" i="2" s="1"/>
  <c r="I92" i="2"/>
  <c r="M92" i="2" s="1"/>
  <c r="I93" i="2"/>
  <c r="M93" i="2" s="1"/>
  <c r="I94" i="2"/>
  <c r="M94" i="2" s="1"/>
  <c r="I95" i="2"/>
  <c r="M95" i="2" s="1"/>
  <c r="I96" i="2"/>
  <c r="M96" i="2" s="1"/>
  <c r="I97" i="2"/>
  <c r="M97" i="2" s="1"/>
  <c r="I98" i="2"/>
  <c r="M98" i="2" s="1"/>
  <c r="I99" i="2"/>
  <c r="M99" i="2" s="1"/>
  <c r="I100" i="2"/>
  <c r="M100" i="2" s="1"/>
  <c r="I101" i="2"/>
  <c r="M101" i="2" s="1"/>
  <c r="I102" i="2"/>
  <c r="M102" i="2" s="1"/>
  <c r="I103" i="2"/>
  <c r="M103" i="2" s="1"/>
  <c r="J56" i="2"/>
  <c r="M56" i="2" s="1"/>
  <c r="J57" i="2"/>
  <c r="M57" i="2" s="1"/>
  <c r="J58" i="2"/>
  <c r="M58" i="2" s="1"/>
  <c r="J59" i="2"/>
  <c r="M59" i="2" s="1"/>
  <c r="J60" i="2"/>
  <c r="M60" i="2" s="1"/>
  <c r="J61" i="2"/>
  <c r="M61" i="2" s="1"/>
  <c r="J62" i="2"/>
  <c r="M62" i="2" s="1"/>
  <c r="J63" i="2"/>
  <c r="M63" i="2" s="1"/>
  <c r="J64" i="2"/>
  <c r="M64" i="2" s="1"/>
  <c r="J65" i="2"/>
  <c r="M65" i="2" s="1"/>
  <c r="I31" i="2"/>
  <c r="M31" i="2" s="1"/>
  <c r="I32" i="2"/>
  <c r="M32" i="2" s="1"/>
  <c r="I33" i="2"/>
  <c r="M33" i="2" s="1"/>
  <c r="I34" i="2"/>
  <c r="M34" i="2" s="1"/>
  <c r="I35" i="2"/>
  <c r="M35" i="2" s="1"/>
  <c r="I36" i="2"/>
  <c r="M36" i="2" s="1"/>
  <c r="I37" i="2"/>
  <c r="M37" i="2" s="1"/>
  <c r="I38" i="2"/>
  <c r="M38" i="2" s="1"/>
  <c r="I39" i="2"/>
  <c r="M39" i="2" s="1"/>
  <c r="I40" i="2"/>
  <c r="M40" i="2" s="1"/>
  <c r="I41" i="2"/>
  <c r="M41" i="2" s="1"/>
  <c r="I42" i="2"/>
  <c r="M42" i="2" s="1"/>
  <c r="I43" i="2"/>
  <c r="M43" i="2" s="1"/>
  <c r="I44" i="2"/>
  <c r="M44" i="2" s="1"/>
  <c r="I45" i="2"/>
  <c r="M45" i="2" s="1"/>
  <c r="I46" i="2"/>
  <c r="M46" i="2" s="1"/>
  <c r="I47" i="2"/>
  <c r="M47" i="2" s="1"/>
  <c r="I48" i="2"/>
  <c r="M48" i="2" s="1"/>
  <c r="I49" i="2"/>
  <c r="M49" i="2" s="1"/>
  <c r="F85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I85" i="4"/>
  <c r="M85" i="4" s="1"/>
  <c r="I86" i="4"/>
  <c r="M86" i="4" s="1"/>
  <c r="I87" i="4"/>
  <c r="M87" i="4" s="1"/>
  <c r="I88" i="4"/>
  <c r="M88" i="4" s="1"/>
  <c r="I89" i="4"/>
  <c r="M89" i="4" s="1"/>
  <c r="I90" i="4"/>
  <c r="M90" i="4" s="1"/>
  <c r="I91" i="4"/>
  <c r="M91" i="4" s="1"/>
  <c r="I92" i="4"/>
  <c r="M92" i="4" s="1"/>
  <c r="I93" i="4"/>
  <c r="M93" i="4" s="1"/>
  <c r="I94" i="4"/>
  <c r="M94" i="4" s="1"/>
  <c r="I95" i="4"/>
  <c r="M95" i="4" s="1"/>
  <c r="I96" i="4"/>
  <c r="M96" i="4" s="1"/>
  <c r="I97" i="4"/>
  <c r="M97" i="4" s="1"/>
  <c r="I98" i="4"/>
  <c r="M98" i="4" s="1"/>
  <c r="I99" i="4"/>
  <c r="M99" i="4" s="1"/>
  <c r="I100" i="4"/>
  <c r="M100" i="4" s="1"/>
  <c r="I101" i="4"/>
  <c r="M101" i="4" s="1"/>
  <c r="I102" i="4"/>
  <c r="M102" i="4" s="1"/>
  <c r="I103" i="4"/>
  <c r="M103" i="4" s="1"/>
  <c r="I31" i="4"/>
  <c r="M31" i="4" s="1"/>
  <c r="I32" i="4"/>
  <c r="M32" i="4" s="1"/>
  <c r="I33" i="4"/>
  <c r="M33" i="4" s="1"/>
  <c r="I34" i="4"/>
  <c r="M34" i="4" s="1"/>
  <c r="I35" i="4"/>
  <c r="M35" i="4" s="1"/>
  <c r="I36" i="4"/>
  <c r="M36" i="4" s="1"/>
  <c r="I37" i="4"/>
  <c r="M37" i="4" s="1"/>
  <c r="I38" i="4"/>
  <c r="M38" i="4" s="1"/>
  <c r="I39" i="4"/>
  <c r="M39" i="4" s="1"/>
  <c r="I40" i="4"/>
  <c r="M40" i="4" s="1"/>
  <c r="I41" i="4"/>
  <c r="M41" i="4" s="1"/>
  <c r="I42" i="4"/>
  <c r="M42" i="4" s="1"/>
  <c r="I43" i="4"/>
  <c r="M43" i="4" s="1"/>
  <c r="I44" i="4"/>
  <c r="M44" i="4" s="1"/>
  <c r="I45" i="4"/>
  <c r="M45" i="4" s="1"/>
  <c r="I46" i="4"/>
  <c r="M46" i="4" s="1"/>
  <c r="I47" i="4"/>
  <c r="M47" i="4" s="1"/>
  <c r="I48" i="4"/>
  <c r="M48" i="4" s="1"/>
  <c r="I49" i="4"/>
  <c r="M49" i="4" s="1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28" i="27"/>
  <c r="E29" i="27"/>
  <c r="E30" i="27"/>
  <c r="E31" i="27"/>
  <c r="E32" i="27"/>
  <c r="E33" i="27"/>
  <c r="E34" i="27"/>
  <c r="E35" i="27"/>
  <c r="E36" i="27"/>
  <c r="E37" i="27"/>
  <c r="E27" i="27"/>
  <c r="E10" i="27"/>
  <c r="E11" i="27"/>
  <c r="E12" i="27"/>
  <c r="E13" i="27"/>
  <c r="E14" i="27"/>
  <c r="E15" i="27"/>
  <c r="E16" i="27"/>
  <c r="E17" i="27"/>
  <c r="E18" i="27"/>
  <c r="E19" i="27"/>
  <c r="E9" i="27"/>
  <c r="F68" i="27" a="1"/>
  <c r="Q50" i="23"/>
  <c r="T54" i="23"/>
  <c r="P21" i="23"/>
  <c r="L52" i="23"/>
  <c r="X44" i="23"/>
  <c r="Z22" i="23"/>
  <c r="K37" i="23"/>
  <c r="H21" i="23"/>
  <c r="R43" i="23"/>
  <c r="W33" i="23"/>
  <c r="W39" i="23"/>
  <c r="O45" i="23"/>
  <c r="J25" i="23"/>
  <c r="L33" i="23"/>
  <c r="AA42" i="23"/>
  <c r="J34" i="23"/>
  <c r="M20" i="23"/>
  <c r="Y38" i="23"/>
  <c r="O52" i="23"/>
  <c r="P36" i="23"/>
  <c r="H10" i="23"/>
  <c r="M14" i="23"/>
  <c r="O41" i="23"/>
  <c r="U22" i="23"/>
  <c r="T18" i="23"/>
  <c r="L45" i="23"/>
  <c r="P38" i="23"/>
  <c r="R47" i="23"/>
  <c r="K20" i="23"/>
  <c r="W30" i="23"/>
  <c r="AA8" i="23"/>
  <c r="U52" i="23"/>
  <c r="T27" i="23"/>
  <c r="J30" i="23"/>
  <c r="K53" i="23"/>
  <c r="J53" i="23"/>
  <c r="Y14" i="23"/>
  <c r="X33" i="23"/>
  <c r="N33" i="23"/>
  <c r="S38" i="23"/>
  <c r="K47" i="23"/>
  <c r="K44" i="23"/>
  <c r="J42" i="23"/>
  <c r="Q22" i="23"/>
  <c r="Z55" i="23"/>
  <c r="T22" i="23"/>
  <c r="T11" i="23"/>
  <c r="P44" i="23"/>
  <c r="P52" i="23"/>
  <c r="I44" i="23"/>
  <c r="O9" i="23"/>
  <c r="I54" i="23"/>
  <c r="O38" i="23"/>
  <c r="M9" i="23"/>
  <c r="AA27" i="23"/>
  <c r="J26" i="23"/>
  <c r="Y9" i="23"/>
  <c r="P34" i="27" a="1"/>
  <c r="L21" i="23"/>
  <c r="J16" i="23"/>
  <c r="H31" i="23"/>
  <c r="Q44" i="23"/>
  <c r="Y40" i="23"/>
  <c r="N38" i="23"/>
  <c r="Q49" i="23"/>
  <c r="P16" i="23"/>
  <c r="T50" i="23"/>
  <c r="I41" i="23"/>
  <c r="U17" i="23"/>
  <c r="Q41" i="23"/>
  <c r="P17" i="27" a="1"/>
  <c r="Z34" i="23"/>
  <c r="O23" i="23"/>
  <c r="AA9" i="23"/>
  <c r="V29" i="23"/>
  <c r="K33" i="23"/>
  <c r="U28" i="23"/>
  <c r="T24" i="23"/>
  <c r="Y41" i="23"/>
  <c r="U51" i="23"/>
  <c r="K39" i="23"/>
  <c r="M23" i="23"/>
  <c r="X46" i="23"/>
  <c r="P19" i="27" a="1"/>
  <c r="N10" i="23"/>
  <c r="P30" i="27" a="1"/>
  <c r="V47" i="23"/>
  <c r="Y52" i="23"/>
  <c r="S40" i="23"/>
  <c r="I43" i="23"/>
  <c r="X30" i="23"/>
  <c r="O11" i="23"/>
  <c r="U32" i="23"/>
  <c r="Y29" i="23"/>
  <c r="N44" i="23"/>
  <c r="T33" i="23"/>
  <c r="I27" i="23"/>
  <c r="Y34" i="23"/>
  <c r="M36" i="23"/>
  <c r="Z44" i="23"/>
  <c r="P49" i="27" a="1"/>
  <c r="M29" i="23"/>
  <c r="R49" i="23"/>
  <c r="N18" i="23"/>
  <c r="S55" i="23"/>
  <c r="P32" i="27" a="1"/>
  <c r="S10" i="23"/>
  <c r="I17" i="23"/>
  <c r="Q26" i="23"/>
  <c r="M25" i="23"/>
  <c r="M34" i="23"/>
  <c r="W28" i="23"/>
  <c r="V18" i="23"/>
  <c r="L20" i="23"/>
  <c r="AA10" i="23"/>
  <c r="R55" i="23"/>
  <c r="N48" i="23"/>
  <c r="U14" i="23"/>
  <c r="K52" i="23"/>
  <c r="M27" i="23"/>
  <c r="S25" i="23"/>
  <c r="L55" i="23"/>
  <c r="M46" i="23"/>
  <c r="S21" i="23"/>
  <c r="F9" i="27" a="1"/>
  <c r="Z40" i="23"/>
  <c r="O33" i="23"/>
  <c r="AA36" i="23"/>
  <c r="J52" i="23"/>
  <c r="O14" i="23"/>
  <c r="S42" i="23"/>
  <c r="R20" i="23"/>
  <c r="S47" i="23"/>
  <c r="O49" i="23"/>
  <c r="AA44" i="23"/>
  <c r="Y21" i="23"/>
  <c r="H33" i="23"/>
  <c r="R42" i="23"/>
  <c r="W34" i="23"/>
  <c r="L11" i="23"/>
  <c r="P36" i="27" a="1"/>
  <c r="H37" i="23"/>
  <c r="J35" i="23"/>
  <c r="Q14" i="23"/>
  <c r="H43" i="23"/>
  <c r="L19" i="23"/>
  <c r="R40" i="23"/>
  <c r="K42" i="23"/>
  <c r="V52" i="23"/>
  <c r="V38" i="23"/>
  <c r="AA19" i="23"/>
  <c r="S16" i="23"/>
  <c r="P54" i="27" a="1"/>
  <c r="O42" i="23"/>
  <c r="Q37" i="23"/>
  <c r="U46" i="23"/>
  <c r="AA29" i="23"/>
  <c r="K16" i="23"/>
  <c r="T13" i="23"/>
  <c r="Y43" i="23"/>
  <c r="X43" i="23"/>
  <c r="J50" i="23"/>
  <c r="M52" i="23"/>
  <c r="T40" i="23"/>
  <c r="N46" i="23"/>
  <c r="Z13" i="23"/>
  <c r="O48" i="23"/>
  <c r="J11" i="23"/>
  <c r="V45" i="23"/>
  <c r="J29" i="23"/>
  <c r="W53" i="23"/>
  <c r="L54" i="23"/>
  <c r="K32" i="23"/>
  <c r="AA54" i="23"/>
  <c r="P28" i="27" a="1"/>
  <c r="R54" i="23"/>
  <c r="H27" i="23"/>
  <c r="O28" i="23"/>
  <c r="P52" i="27" a="1"/>
  <c r="P31" i="27" a="1"/>
  <c r="X27" i="23"/>
  <c r="L38" i="23"/>
  <c r="P20" i="23"/>
  <c r="L50" i="23"/>
  <c r="P32" i="23"/>
  <c r="H54" i="23"/>
  <c r="M44" i="23"/>
  <c r="N26" i="23"/>
  <c r="R13" i="23"/>
  <c r="W37" i="23"/>
  <c r="W49" i="23"/>
  <c r="K50" i="23"/>
  <c r="Z38" i="23"/>
  <c r="P57" i="27" a="1"/>
  <c r="O29" i="23"/>
  <c r="Z43" i="23"/>
  <c r="X8" i="23"/>
  <c r="Z8" i="23"/>
  <c r="W25" i="23"/>
  <c r="M38" i="23"/>
  <c r="V26" i="23"/>
  <c r="N51" i="23"/>
  <c r="AA28" i="23"/>
  <c r="R19" i="23"/>
  <c r="S8" i="23"/>
  <c r="Y50" i="23"/>
  <c r="R44" i="23"/>
  <c r="Q42" i="23"/>
  <c r="P48" i="23"/>
  <c r="L26" i="23"/>
  <c r="T44" i="23"/>
  <c r="Q13" i="23"/>
  <c r="AA47" i="23"/>
  <c r="M17" i="23"/>
  <c r="T8" i="23"/>
  <c r="F29" i="27" a="1"/>
  <c r="Z47" i="23"/>
  <c r="Z39" i="23"/>
  <c r="X20" i="23"/>
  <c r="M33" i="23"/>
  <c r="F12" i="27" a="1"/>
  <c r="P51" i="27" a="1"/>
  <c r="N8" i="23"/>
  <c r="Z28" i="23"/>
  <c r="N12" i="23"/>
  <c r="F75" i="27" a="1"/>
  <c r="J40" i="23"/>
  <c r="S22" i="23"/>
  <c r="J46" i="23"/>
  <c r="X32" i="23"/>
  <c r="AA12" i="23"/>
  <c r="Z10" i="23"/>
  <c r="W50" i="23"/>
  <c r="K34" i="23"/>
  <c r="Z53" i="23"/>
  <c r="F30" i="27" a="1"/>
  <c r="P70" i="27" a="1"/>
  <c r="K45" i="23"/>
  <c r="F36" i="27" a="1"/>
  <c r="U31" i="23"/>
  <c r="Y17" i="23"/>
  <c r="O35" i="23"/>
  <c r="R34" i="23"/>
  <c r="V50" i="23"/>
  <c r="V22" i="23"/>
  <c r="K22" i="23"/>
  <c r="I38" i="23"/>
  <c r="N24" i="23"/>
  <c r="Q47" i="23"/>
  <c r="F13" i="27" a="1"/>
  <c r="I28" i="23"/>
  <c r="L44" i="23"/>
  <c r="I36" i="23"/>
  <c r="T19" i="23"/>
  <c r="X19" i="23"/>
  <c r="Y26" i="23"/>
  <c r="Z35" i="23"/>
  <c r="X26" i="23"/>
  <c r="N20" i="23"/>
  <c r="O27" i="23"/>
  <c r="P12" i="23"/>
  <c r="O40" i="23"/>
  <c r="AA14" i="23"/>
  <c r="I53" i="23"/>
  <c r="H19" i="23"/>
  <c r="S20" i="23"/>
  <c r="U25" i="23"/>
  <c r="T34" i="23"/>
  <c r="T32" i="23"/>
  <c r="P40" i="23"/>
  <c r="P45" i="23"/>
  <c r="U16" i="23"/>
  <c r="I12" i="23"/>
  <c r="M21" i="23"/>
  <c r="T10" i="23"/>
  <c r="U55" i="23"/>
  <c r="S43" i="23"/>
  <c r="Q19" i="23"/>
  <c r="Q29" i="23"/>
  <c r="W20" i="23"/>
  <c r="J19" i="23"/>
  <c r="V51" i="23"/>
  <c r="Q54" i="23"/>
  <c r="M42" i="23"/>
  <c r="Z29" i="23"/>
  <c r="Y42" i="23"/>
  <c r="Z21" i="23"/>
  <c r="U19" i="23"/>
  <c r="Q36" i="23"/>
  <c r="H42" i="23"/>
  <c r="W13" i="23"/>
  <c r="L41" i="23"/>
  <c r="F14" i="27" a="1"/>
  <c r="W10" i="23"/>
  <c r="U30" i="23"/>
  <c r="I30" i="23"/>
  <c r="S23" i="23"/>
  <c r="O43" i="23"/>
  <c r="Z20" i="23"/>
  <c r="Z9" i="23"/>
  <c r="X21" i="23"/>
  <c r="S35" i="23"/>
  <c r="X22" i="23"/>
  <c r="O36" i="23"/>
  <c r="W29" i="23"/>
  <c r="M37" i="23"/>
  <c r="U45" i="23"/>
  <c r="F50" i="27" a="1"/>
  <c r="L53" i="23"/>
  <c r="V16" i="23"/>
  <c r="X16" i="23"/>
  <c r="J28" i="23"/>
  <c r="AA50" i="23"/>
  <c r="U44" i="23"/>
  <c r="S39" i="23"/>
  <c r="J44" i="23"/>
  <c r="H39" i="23"/>
  <c r="M51" i="23"/>
  <c r="M19" i="23"/>
  <c r="R12" i="23"/>
  <c r="AA38" i="23"/>
  <c r="Q40" i="23"/>
  <c r="T23" i="23"/>
  <c r="Z27" i="23"/>
  <c r="J21" i="23"/>
  <c r="X50" i="23"/>
  <c r="AA22" i="23"/>
  <c r="AA31" i="23"/>
  <c r="P37" i="23"/>
  <c r="F49" i="27" a="1"/>
  <c r="L25" i="23"/>
  <c r="V23" i="23"/>
  <c r="U39" i="23"/>
  <c r="S26" i="23"/>
  <c r="J32" i="23"/>
  <c r="L27" i="23"/>
  <c r="V19" i="23"/>
  <c r="F70" i="27" a="1"/>
  <c r="Y25" i="23"/>
  <c r="P35" i="23"/>
  <c r="X31" i="23"/>
  <c r="L16" i="23"/>
  <c r="M35" i="23"/>
  <c r="J41" i="23"/>
  <c r="AA11" i="23"/>
  <c r="K54" i="23"/>
  <c r="T29" i="23"/>
  <c r="F69" i="27" a="1"/>
  <c r="F37" i="27" a="1"/>
  <c r="F52" i="27" a="1"/>
  <c r="K36" i="23"/>
  <c r="X18" i="23"/>
  <c r="L23" i="23"/>
  <c r="Y8" i="23"/>
  <c r="P27" i="27" a="1"/>
  <c r="P31" i="23"/>
  <c r="Y28" i="23"/>
  <c r="M53" i="23"/>
  <c r="X24" i="23"/>
  <c r="V54" i="23"/>
  <c r="Z42" i="23"/>
  <c r="F35" i="27" a="1"/>
  <c r="M24" i="23"/>
  <c r="P11" i="27" a="1"/>
  <c r="P66" i="27" a="1"/>
  <c r="J38" i="23"/>
  <c r="U21" i="23"/>
  <c r="V24" i="23"/>
  <c r="T31" i="23"/>
  <c r="U20" i="23"/>
  <c r="N55" i="23"/>
  <c r="K31" i="23"/>
  <c r="I29" i="23"/>
  <c r="F31" i="27" a="1"/>
  <c r="W52" i="23"/>
  <c r="F51" i="27" a="1"/>
  <c r="J55" i="23"/>
  <c r="M10" i="23"/>
  <c r="P26" i="23"/>
  <c r="Z15" i="23"/>
  <c r="Q12" i="23"/>
  <c r="Z30" i="23"/>
  <c r="Y24" i="23"/>
  <c r="F56" i="27" a="1"/>
  <c r="S37" i="23"/>
  <c r="H52" i="23"/>
  <c r="P28" i="23"/>
  <c r="M55" i="23"/>
  <c r="O37" i="23"/>
  <c r="O21" i="23"/>
  <c r="Z50" i="23"/>
  <c r="S34" i="23"/>
  <c r="S12" i="23"/>
  <c r="H41" i="23"/>
  <c r="P75" i="27" a="1"/>
  <c r="S49" i="23"/>
  <c r="J48" i="23"/>
  <c r="L48" i="23"/>
  <c r="O13" i="23"/>
  <c r="K18" i="23"/>
  <c r="X39" i="23"/>
  <c r="N39" i="23"/>
  <c r="F17" i="27" a="1"/>
  <c r="R8" i="23"/>
  <c r="N37" i="23"/>
  <c r="H40" i="23"/>
  <c r="K24" i="23"/>
  <c r="W11" i="23"/>
  <c r="I45" i="23"/>
  <c r="X23" i="23"/>
  <c r="M12" i="23"/>
  <c r="R41" i="23"/>
  <c r="H20" i="23"/>
  <c r="Y10" i="23"/>
  <c r="Y18" i="23"/>
  <c r="R48" i="23"/>
  <c r="P37" i="27" a="1"/>
  <c r="M16" i="23"/>
  <c r="R50" i="23"/>
  <c r="Z18" i="23"/>
  <c r="K49" i="23"/>
  <c r="Z51" i="23"/>
  <c r="H22" i="23"/>
  <c r="Q38" i="23"/>
  <c r="T38" i="23"/>
  <c r="P48" i="27" a="1"/>
  <c r="H16" i="23"/>
  <c r="Y54" i="23"/>
  <c r="N45" i="23"/>
  <c r="U37" i="23"/>
  <c r="K41" i="23"/>
  <c r="T20" i="23"/>
  <c r="P46" i="23"/>
  <c r="Q23" i="23"/>
  <c r="P56" i="27" a="1"/>
  <c r="Q27" i="23"/>
  <c r="N23" i="23"/>
  <c r="O22" i="23"/>
  <c r="W38" i="23"/>
  <c r="S53" i="23"/>
  <c r="K12" i="23"/>
  <c r="S13" i="23"/>
  <c r="AA51" i="23"/>
  <c r="Q20" i="23"/>
  <c r="R10" i="23"/>
  <c r="L15" i="23"/>
  <c r="J37" i="23"/>
  <c r="N28" i="23"/>
  <c r="L37" i="23"/>
  <c r="F53" i="27" a="1"/>
  <c r="W22" i="23"/>
  <c r="N31" i="23"/>
  <c r="Q31" i="23"/>
  <c r="N25" i="23"/>
  <c r="R39" i="23"/>
  <c r="H53" i="23"/>
  <c r="T49" i="23"/>
  <c r="AA35" i="23"/>
  <c r="O30" i="23"/>
  <c r="S27" i="23"/>
  <c r="L12" i="23"/>
  <c r="P10" i="27" a="1"/>
  <c r="S18" i="23"/>
  <c r="U49" i="23"/>
  <c r="L36" i="23"/>
  <c r="P54" i="23"/>
  <c r="P43" i="23"/>
  <c r="K48" i="23"/>
  <c r="V17" i="23"/>
  <c r="L31" i="23"/>
  <c r="K46" i="23"/>
  <c r="R35" i="23"/>
  <c r="N29" i="23"/>
  <c r="F47" i="27" a="1"/>
  <c r="P33" i="23"/>
  <c r="P67" i="27" a="1"/>
  <c r="U27" i="23"/>
  <c r="R17" i="23"/>
  <c r="P18" i="27" a="1"/>
  <c r="R38" i="23"/>
  <c r="W43" i="23"/>
  <c r="H18" i="23"/>
  <c r="K43" i="23"/>
  <c r="AA53" i="23"/>
  <c r="T47" i="23"/>
  <c r="U50" i="23"/>
  <c r="J22" i="23"/>
  <c r="N30" i="23"/>
  <c r="Q43" i="23"/>
  <c r="I37" i="23"/>
  <c r="Y16" i="23"/>
  <c r="AA26" i="23"/>
  <c r="AA21" i="23"/>
  <c r="I31" i="23"/>
  <c r="W55" i="23"/>
  <c r="H44" i="23"/>
  <c r="X45" i="23"/>
  <c r="I21" i="23"/>
  <c r="P30" i="23"/>
  <c r="Q24" i="23"/>
  <c r="H17" i="23"/>
  <c r="Z25" i="23"/>
  <c r="O54" i="23"/>
  <c r="U43" i="23"/>
  <c r="P13" i="27" a="1"/>
  <c r="P11" i="23"/>
  <c r="Q39" i="23"/>
  <c r="K51" i="23"/>
  <c r="AA39" i="23"/>
  <c r="U33" i="23"/>
  <c r="Z49" i="23"/>
  <c r="W14" i="23"/>
  <c r="R18" i="23"/>
  <c r="X35" i="23"/>
  <c r="X13" i="23"/>
  <c r="T36" i="23"/>
  <c r="X10" i="23"/>
  <c r="N21" i="23"/>
  <c r="X53" i="23"/>
  <c r="Y15" i="23"/>
  <c r="S46" i="23"/>
  <c r="X40" i="23"/>
  <c r="O55" i="23"/>
  <c r="T42" i="23"/>
  <c r="S50" i="23"/>
  <c r="K17" i="23"/>
  <c r="Q18" i="23"/>
  <c r="X34" i="23"/>
  <c r="AA33" i="23"/>
  <c r="V48" i="23"/>
  <c r="J51" i="23"/>
  <c r="V44" i="23"/>
  <c r="Z23" i="23"/>
  <c r="M47" i="23"/>
  <c r="M40" i="23"/>
  <c r="J54" i="23"/>
  <c r="I18" i="23"/>
  <c r="Q52" i="23"/>
  <c r="X9" i="23"/>
  <c r="X54" i="23"/>
  <c r="L40" i="23"/>
  <c r="K55" i="23"/>
  <c r="K11" i="23"/>
  <c r="L10" i="23"/>
  <c r="I24" i="23"/>
  <c r="M32" i="23"/>
  <c r="N14" i="23"/>
  <c r="S24" i="23"/>
  <c r="T45" i="23"/>
  <c r="H55" i="23"/>
  <c r="F66" i="27" a="1"/>
  <c r="I55" i="23"/>
  <c r="W47" i="23"/>
  <c r="S48" i="23"/>
  <c r="S17" i="23"/>
  <c r="H32" i="23"/>
  <c r="H47" i="23"/>
  <c r="I23" i="23"/>
  <c r="S52" i="23"/>
  <c r="Y51" i="23"/>
  <c r="O24" i="23"/>
  <c r="O51" i="23"/>
  <c r="T39" i="23"/>
  <c r="Z37" i="23"/>
  <c r="F71" i="27" a="1"/>
  <c r="AA55" i="23"/>
  <c r="S36" i="23"/>
  <c r="Q21" i="23"/>
  <c r="I34" i="23"/>
  <c r="J43" i="23"/>
  <c r="I19" i="23"/>
  <c r="Y23" i="23"/>
  <c r="X42" i="23"/>
  <c r="W24" i="23"/>
  <c r="P69" i="27" a="1"/>
  <c r="S33" i="23"/>
  <c r="Z45" i="23"/>
  <c r="F67" i="27" a="1"/>
  <c r="M8" i="23"/>
  <c r="W21" i="23"/>
  <c r="P55" i="23"/>
  <c r="H12" i="23"/>
  <c r="X25" i="23"/>
  <c r="I35" i="23"/>
  <c r="L29" i="23"/>
  <c r="Z17" i="23"/>
  <c r="M26" i="23"/>
  <c r="M18" i="23"/>
  <c r="L32" i="23"/>
  <c r="W46" i="23"/>
  <c r="S15" i="23"/>
  <c r="T41" i="23"/>
  <c r="R31" i="23"/>
  <c r="U54" i="23"/>
  <c r="J17" i="23"/>
  <c r="R21" i="23"/>
  <c r="AA16" i="23"/>
  <c r="W18" i="23"/>
  <c r="Q33" i="23"/>
  <c r="F11" i="27" a="1"/>
  <c r="X38" i="23"/>
  <c r="J20" i="23"/>
  <c r="U26" i="23"/>
  <c r="U47" i="23"/>
  <c r="T12" i="23"/>
  <c r="F57" i="27" a="1"/>
  <c r="V20" i="23"/>
  <c r="F10" i="27" a="1"/>
  <c r="AA52" i="23"/>
  <c r="M43" i="23"/>
  <c r="T46" i="23"/>
  <c r="O44" i="23"/>
  <c r="S44" i="23"/>
  <c r="K28" i="23"/>
  <c r="V31" i="23"/>
  <c r="F54" i="27" a="1"/>
  <c r="P39" i="23"/>
  <c r="N22" i="23"/>
  <c r="S51" i="23"/>
  <c r="R14" i="23"/>
  <c r="Z46" i="23"/>
  <c r="Z31" i="23"/>
  <c r="N9" i="23"/>
  <c r="T55" i="23"/>
  <c r="P55" i="27" a="1"/>
  <c r="R30" i="23"/>
  <c r="S31" i="23"/>
  <c r="Y35" i="23"/>
  <c r="N15" i="23"/>
  <c r="P50" i="23"/>
  <c r="AA20" i="23"/>
  <c r="Q28" i="23"/>
  <c r="R16" i="23"/>
  <c r="M11" i="23"/>
  <c r="AA24" i="23"/>
  <c r="X17" i="23"/>
  <c r="P42" i="23"/>
  <c r="Z48" i="23"/>
  <c r="P68" i="27" a="1"/>
  <c r="Q30" i="23"/>
  <c r="U34" i="23"/>
  <c r="W35" i="23"/>
  <c r="Y48" i="23"/>
  <c r="W36" i="23"/>
  <c r="H46" i="23"/>
  <c r="Y11" i="23"/>
  <c r="P19" i="23"/>
  <c r="O17" i="23"/>
  <c r="AA17" i="23"/>
  <c r="R53" i="23"/>
  <c r="U53" i="23"/>
  <c r="Q51" i="23"/>
  <c r="R32" i="23"/>
  <c r="Z19" i="23"/>
  <c r="X49" i="23"/>
  <c r="O20" i="23"/>
  <c r="P27" i="23"/>
  <c r="Q15" i="23"/>
  <c r="P9" i="27" a="1"/>
  <c r="U38" i="23"/>
  <c r="J47" i="23"/>
  <c r="Z26" i="23"/>
  <c r="V28" i="23"/>
  <c r="O46" i="23"/>
  <c r="Q53" i="23"/>
  <c r="U40" i="23"/>
  <c r="J18" i="23"/>
  <c r="M15" i="23"/>
  <c r="S32" i="23"/>
  <c r="O34" i="23"/>
  <c r="I11" i="23"/>
  <c r="P51" i="23"/>
  <c r="P53" i="27" a="1"/>
  <c r="N36" i="23"/>
  <c r="X37" i="23"/>
  <c r="AA48" i="23"/>
  <c r="W51" i="23"/>
  <c r="J12" i="23"/>
  <c r="V21" i="23"/>
  <c r="O15" i="23"/>
  <c r="U36" i="23"/>
  <c r="X47" i="23"/>
  <c r="R29" i="23"/>
  <c r="S9" i="23"/>
  <c r="X51" i="23"/>
  <c r="O47" i="23"/>
  <c r="F27" i="27" a="1"/>
  <c r="U10" i="23"/>
  <c r="Q17" i="23"/>
  <c r="Y45" i="23"/>
  <c r="N49" i="23"/>
  <c r="X15" i="23"/>
  <c r="I42" i="23"/>
  <c r="N41" i="23"/>
  <c r="Y27" i="23"/>
  <c r="H30" i="23"/>
  <c r="V42" i="23"/>
  <c r="Y22" i="23"/>
  <c r="H45" i="23"/>
  <c r="U48" i="23"/>
  <c r="AA15" i="23"/>
  <c r="W32" i="23"/>
  <c r="K35" i="23"/>
  <c r="W42" i="23"/>
  <c r="H26" i="23"/>
  <c r="W27" i="23"/>
  <c r="Q55" i="23"/>
  <c r="I51" i="23"/>
  <c r="S54" i="23"/>
  <c r="P22" i="23"/>
  <c r="P53" i="23"/>
  <c r="L22" i="23"/>
  <c r="K21" i="23"/>
  <c r="S14" i="23"/>
  <c r="H49" i="23"/>
  <c r="P16" i="27" a="1"/>
  <c r="P12" i="27" a="1"/>
  <c r="I46" i="23"/>
  <c r="W15" i="23"/>
  <c r="Z24" i="23"/>
  <c r="P29" i="27" a="1"/>
  <c r="T16" i="23"/>
  <c r="O8" i="23"/>
  <c r="V39" i="23"/>
  <c r="K26" i="23"/>
  <c r="O50" i="23"/>
  <c r="W44" i="23"/>
  <c r="S30" i="23"/>
  <c r="O10" i="23"/>
  <c r="T51" i="23"/>
  <c r="K30" i="23"/>
  <c r="O31" i="23"/>
  <c r="P50" i="27" a="1"/>
  <c r="AA23" i="23"/>
  <c r="H38" i="23"/>
  <c r="I33" i="23"/>
  <c r="V41" i="23"/>
  <c r="P29" i="23"/>
  <c r="Z33" i="23"/>
  <c r="U18" i="23"/>
  <c r="AA25" i="23"/>
  <c r="U11" i="23"/>
  <c r="Z52" i="23"/>
  <c r="W31" i="23"/>
  <c r="Y13" i="23"/>
  <c r="K38" i="23"/>
  <c r="M48" i="23"/>
  <c r="AA32" i="23"/>
  <c r="T37" i="23"/>
  <c r="Z32" i="23"/>
  <c r="L42" i="23"/>
  <c r="S29" i="23"/>
  <c r="H28" i="23"/>
  <c r="F72" i="27" a="1"/>
  <c r="Z11" i="23"/>
  <c r="Y39" i="23"/>
  <c r="P14" i="27" a="1"/>
  <c r="V43" i="23"/>
  <c r="R45" i="23"/>
  <c r="V36" i="23"/>
  <c r="N34" i="23"/>
  <c r="M41" i="23"/>
  <c r="K40" i="23"/>
  <c r="AA45" i="23"/>
  <c r="P71" i="27" a="1"/>
  <c r="M39" i="23"/>
  <c r="I52" i="23"/>
  <c r="N52" i="23"/>
  <c r="L39" i="23"/>
  <c r="U42" i="23"/>
  <c r="W41" i="23"/>
  <c r="T15" i="23"/>
  <c r="AA41" i="23"/>
  <c r="P35" i="27" a="1"/>
  <c r="X41" i="23"/>
  <c r="P49" i="23"/>
  <c r="Y19" i="23"/>
  <c r="J45" i="23"/>
  <c r="L24" i="23"/>
  <c r="M45" i="23"/>
  <c r="T52" i="23"/>
  <c r="AA13" i="23"/>
  <c r="X36" i="23"/>
  <c r="N50" i="23"/>
  <c r="S41" i="23"/>
  <c r="W48" i="23"/>
  <c r="Q25" i="23"/>
  <c r="L34" i="23"/>
  <c r="P73" i="27" a="1"/>
  <c r="F55" i="27" a="1"/>
  <c r="U12" i="23"/>
  <c r="O18" i="23"/>
  <c r="Y36" i="23"/>
  <c r="I40" i="23"/>
  <c r="X52" i="23"/>
  <c r="Q48" i="23"/>
  <c r="R24" i="23"/>
  <c r="N16" i="23"/>
  <c r="W54" i="23"/>
  <c r="V35" i="23"/>
  <c r="K29" i="23"/>
  <c r="X11" i="23"/>
  <c r="N32" i="23"/>
  <c r="V46" i="23"/>
  <c r="O19" i="23"/>
  <c r="N54" i="23"/>
  <c r="Z54" i="23"/>
  <c r="Q34" i="23"/>
  <c r="R37" i="23"/>
  <c r="V33" i="23"/>
  <c r="V37" i="23"/>
  <c r="R26" i="23"/>
  <c r="H35" i="23"/>
  <c r="U41" i="23"/>
  <c r="N47" i="23"/>
  <c r="AA49" i="23"/>
  <c r="Q46" i="23"/>
  <c r="L8" i="23"/>
  <c r="L28" i="23"/>
  <c r="T48" i="23"/>
  <c r="R9" i="23"/>
  <c r="P17" i="23"/>
  <c r="Z12" i="23"/>
  <c r="J49" i="23"/>
  <c r="T21" i="23"/>
  <c r="V25" i="23"/>
  <c r="U15" i="23"/>
  <c r="W19" i="23"/>
  <c r="Y44" i="23"/>
  <c r="H11" i="23"/>
  <c r="U13" i="23"/>
  <c r="Z41" i="23"/>
  <c r="N11" i="23"/>
  <c r="R52" i="23"/>
  <c r="Z16" i="23"/>
  <c r="M22" i="23"/>
  <c r="R33" i="23"/>
  <c r="T43" i="23"/>
  <c r="L14" i="23"/>
  <c r="L17" i="23"/>
  <c r="O39" i="23"/>
  <c r="Y20" i="23"/>
  <c r="H50" i="23"/>
  <c r="R15" i="23"/>
  <c r="W40" i="23"/>
  <c r="T26" i="23"/>
  <c r="H29" i="23"/>
  <c r="V53" i="23"/>
  <c r="L35" i="23"/>
  <c r="R36" i="23"/>
  <c r="J31" i="23"/>
  <c r="Y49" i="23"/>
  <c r="M30" i="23"/>
  <c r="J39" i="23"/>
  <c r="Y30" i="23"/>
  <c r="Q16" i="23"/>
  <c r="I48" i="23"/>
  <c r="AA37" i="23"/>
  <c r="AA43" i="23"/>
  <c r="F32" i="27" a="1"/>
  <c r="T53" i="23"/>
  <c r="V55" i="23"/>
  <c r="T9" i="23"/>
  <c r="AA18" i="23"/>
  <c r="J27" i="23"/>
  <c r="I39" i="23"/>
  <c r="F15" i="27" a="1"/>
  <c r="I20" i="23"/>
  <c r="F18" i="27" a="1"/>
  <c r="N42" i="23"/>
  <c r="V30" i="23"/>
  <c r="S19" i="23"/>
  <c r="M28" i="23"/>
  <c r="N17" i="23"/>
  <c r="X29" i="23"/>
  <c r="R11" i="23"/>
  <c r="N13" i="23"/>
  <c r="U24" i="23"/>
  <c r="Y53" i="23"/>
  <c r="R46" i="23"/>
  <c r="L49" i="23"/>
  <c r="R28" i="23"/>
  <c r="V11" i="23"/>
  <c r="X48" i="23"/>
  <c r="L51" i="23"/>
  <c r="I22" i="23"/>
  <c r="L18" i="23"/>
  <c r="J33" i="23"/>
  <c r="R22" i="23"/>
  <c r="Y33" i="23"/>
  <c r="N43" i="23"/>
  <c r="I49" i="23"/>
  <c r="X12" i="23"/>
  <c r="W12" i="23"/>
  <c r="P18" i="23"/>
  <c r="F19" i="27" a="1"/>
  <c r="N53" i="23"/>
  <c r="O12" i="23"/>
  <c r="M13" i="23"/>
  <c r="Y12" i="23"/>
  <c r="V32" i="23"/>
  <c r="P33" i="27" a="1"/>
  <c r="R23" i="23"/>
  <c r="Y55" i="23"/>
  <c r="M54" i="23"/>
  <c r="V12" i="23"/>
  <c r="J36" i="23"/>
  <c r="T28" i="23"/>
  <c r="O25" i="23"/>
  <c r="K23" i="23"/>
  <c r="O26" i="23"/>
  <c r="I25" i="23"/>
  <c r="P74" i="27" a="1"/>
  <c r="L47" i="23"/>
  <c r="X55" i="23"/>
  <c r="Q32" i="23"/>
  <c r="Q45" i="23"/>
  <c r="Z14" i="23"/>
  <c r="P47" i="23"/>
  <c r="X28" i="23"/>
  <c r="W23" i="23"/>
  <c r="H36" i="23"/>
  <c r="K25" i="23"/>
  <c r="P15" i="27" a="1"/>
  <c r="T25" i="23"/>
  <c r="N19" i="23"/>
  <c r="R51" i="23"/>
  <c r="K19" i="23"/>
  <c r="P41" i="23"/>
  <c r="H48" i="23"/>
  <c r="K27" i="23"/>
  <c r="I26" i="23"/>
  <c r="L9" i="23"/>
  <c r="F73" i="27" a="1"/>
  <c r="H34" i="23"/>
  <c r="S28" i="23"/>
  <c r="U23" i="23"/>
  <c r="M31" i="23"/>
  <c r="Q35" i="23"/>
  <c r="T14" i="23"/>
  <c r="AA40" i="23"/>
  <c r="S11" i="23"/>
  <c r="P34" i="23"/>
  <c r="O16" i="23"/>
  <c r="W17" i="23"/>
  <c r="AA46" i="23"/>
  <c r="Y47" i="23"/>
  <c r="W16" i="23"/>
  <c r="Y31" i="23"/>
  <c r="I47" i="23"/>
  <c r="Q11" i="23"/>
  <c r="N27" i="23"/>
  <c r="AA30" i="23"/>
  <c r="AA34" i="23"/>
  <c r="S45" i="23"/>
  <c r="U35" i="23"/>
  <c r="R27" i="23"/>
  <c r="T35" i="23"/>
  <c r="O32" i="23"/>
  <c r="Y32" i="23"/>
  <c r="L30" i="23"/>
  <c r="W45" i="23"/>
  <c r="T30" i="23"/>
  <c r="F65" i="27" a="1"/>
  <c r="M49" i="23"/>
  <c r="F48" i="27" a="1"/>
  <c r="F28" i="27" a="1"/>
  <c r="H51" i="23"/>
  <c r="U29" i="23"/>
  <c r="Y46" i="23"/>
  <c r="V49" i="23"/>
  <c r="T17" i="23"/>
  <c r="M50" i="23"/>
  <c r="O53" i="23"/>
  <c r="N35" i="23"/>
  <c r="W26" i="23"/>
  <c r="V34" i="23"/>
  <c r="Z36" i="23"/>
  <c r="X14" i="23"/>
  <c r="L13" i="23"/>
  <c r="F34" i="27" a="1"/>
  <c r="L46" i="23"/>
  <c r="I16" i="23"/>
  <c r="Y37" i="23"/>
  <c r="I50" i="23"/>
  <c r="R25" i="23"/>
  <c r="V40" i="23"/>
  <c r="N40" i="23"/>
  <c r="L43" i="23"/>
  <c r="V27" i="23"/>
  <c r="F16" i="27" a="1"/>
  <c r="P47" i="27" a="1"/>
  <c r="F74" i="27" a="1"/>
  <c r="P65" i="27" a="1"/>
  <c r="F33" i="27" a="1"/>
  <c r="P72" i="27" a="1"/>
  <c r="L6" i="23" l="1"/>
  <c r="X6" i="23"/>
  <c r="M6" i="23"/>
  <c r="R6" i="23"/>
  <c r="S6" i="23"/>
  <c r="Y6" i="23"/>
  <c r="N6" i="23"/>
  <c r="AA6" i="23"/>
  <c r="Z6" i="23"/>
  <c r="T6" i="23"/>
  <c r="O6" i="23"/>
  <c r="K113" i="4" a="1"/>
  <c r="K113" i="4" s="1"/>
  <c r="K65" i="4" a="1"/>
  <c r="K65" i="4" s="1"/>
  <c r="K62" i="4" a="1"/>
  <c r="K62" i="4" s="1"/>
  <c r="K112" i="4" a="1"/>
  <c r="K112" i="4" s="1"/>
  <c r="K57" i="4" a="1"/>
  <c r="K57" i="4" s="1"/>
  <c r="K116" i="4" a="1"/>
  <c r="K116" i="4" s="1"/>
  <c r="E61" i="4" a="1"/>
  <c r="E61" i="4" s="1"/>
  <c r="K60" i="4" a="1"/>
  <c r="K60" i="4" s="1"/>
  <c r="K59" i="4" a="1"/>
  <c r="K59" i="4" s="1"/>
  <c r="F61" i="4" a="1"/>
  <c r="F61" i="4" s="1"/>
  <c r="F56" i="4" a="1"/>
  <c r="F56" i="4" s="1"/>
  <c r="K56" i="4" s="1" a="1"/>
  <c r="K56" i="4" s="1"/>
  <c r="D62" i="4" a="1"/>
  <c r="D62" i="4" s="1"/>
  <c r="F57" i="4" a="1"/>
  <c r="F57" i="4" s="1"/>
  <c r="F63" i="4" a="1"/>
  <c r="F63" i="4" s="1"/>
  <c r="D61" i="4" a="1"/>
  <c r="D61" i="4" s="1"/>
  <c r="F62" i="4" a="1"/>
  <c r="F62" i="4" s="1"/>
  <c r="D60" i="4" a="1"/>
  <c r="D60" i="4" s="1"/>
  <c r="E60" i="4" a="1"/>
  <c r="E60" i="4" s="1"/>
  <c r="D59" i="4" a="1"/>
  <c r="D59" i="4" s="1"/>
  <c r="E59" i="4" a="1"/>
  <c r="E59" i="4" s="1"/>
  <c r="E63" i="4" a="1"/>
  <c r="E63" i="4" s="1"/>
  <c r="D58" i="4" a="1"/>
  <c r="D58" i="4" s="1"/>
  <c r="E58" i="4" a="1"/>
  <c r="E58" i="4" s="1"/>
  <c r="D57" i="4" a="1"/>
  <c r="D57" i="4" s="1"/>
  <c r="D65" i="4" a="1"/>
  <c r="D65" i="4" s="1"/>
  <c r="D56" i="4" a="1"/>
  <c r="D56" i="4" s="1"/>
  <c r="F58" i="4" a="1"/>
  <c r="F58" i="4" s="1"/>
  <c r="D64" i="4" a="1"/>
  <c r="D64" i="4" s="1"/>
  <c r="E65" i="4" a="1"/>
  <c r="E65" i="4" s="1"/>
  <c r="K63" i="4" a="1"/>
  <c r="K63" i="4" s="1"/>
  <c r="E64" i="4" a="1"/>
  <c r="E64" i="4" s="1"/>
  <c r="F64" i="4" a="1"/>
  <c r="F64" i="4" s="1"/>
  <c r="K119" i="4" a="1"/>
  <c r="K119" i="4" s="1"/>
  <c r="K118" i="4" a="1"/>
  <c r="K118" i="4" s="1"/>
  <c r="D116" i="4" a="1"/>
  <c r="D116" i="4" s="1"/>
  <c r="F116" i="4" a="1"/>
  <c r="F116" i="4" s="1"/>
  <c r="D114" i="4" a="1"/>
  <c r="D114" i="4" s="1"/>
  <c r="F110" i="4" a="1"/>
  <c r="F110" i="4" s="1"/>
  <c r="F117" i="4" a="1"/>
  <c r="F117" i="4" s="1"/>
  <c r="D115" i="4" a="1"/>
  <c r="D115" i="4" s="1"/>
  <c r="E115" i="4" a="1"/>
  <c r="E115" i="4" s="1"/>
  <c r="D113" i="4" a="1"/>
  <c r="D113" i="4" s="1"/>
  <c r="E114" i="4" a="1"/>
  <c r="E114" i="4" s="1"/>
  <c r="D112" i="4" a="1"/>
  <c r="D112" i="4" s="1"/>
  <c r="E113" i="4" a="1"/>
  <c r="E113" i="4" s="1"/>
  <c r="F115" i="4" a="1"/>
  <c r="F115" i="4" s="1"/>
  <c r="K111" i="4" a="1"/>
  <c r="K111" i="4" s="1"/>
  <c r="D111" i="4" a="1"/>
  <c r="D111" i="4" s="1"/>
  <c r="E112" i="4" a="1"/>
  <c r="E112" i="4" s="1"/>
  <c r="F114" i="4" a="1"/>
  <c r="F114" i="4" s="1"/>
  <c r="D110" i="4" a="1"/>
  <c r="D110" i="4" s="1"/>
  <c r="E110" i="4" a="1"/>
  <c r="E110" i="4" s="1"/>
  <c r="E111" i="4" a="1"/>
  <c r="E111" i="4" s="1"/>
  <c r="D119" i="4" a="1"/>
  <c r="D119" i="4" s="1"/>
  <c r="E119" i="4" a="1"/>
  <c r="E119" i="4" s="1"/>
  <c r="D118" i="4" a="1"/>
  <c r="D118" i="4" s="1"/>
  <c r="E118" i="4" a="1"/>
  <c r="E118" i="4" s="1"/>
  <c r="D117" i="4" a="1"/>
  <c r="D117" i="4" s="1"/>
  <c r="E117" i="4" a="1"/>
  <c r="E117" i="4" s="1"/>
  <c r="P72" i="27"/>
  <c r="P73" i="27"/>
  <c r="P71" i="27"/>
  <c r="P70" i="27"/>
  <c r="P75" i="27"/>
  <c r="P69" i="27"/>
  <c r="P74" i="27"/>
  <c r="P68" i="27"/>
  <c r="P67" i="27"/>
  <c r="P66" i="27"/>
  <c r="P65" i="27"/>
  <c r="F71" i="27"/>
  <c r="F70" i="27"/>
  <c r="F75" i="27"/>
  <c r="F69" i="27"/>
  <c r="F74" i="27"/>
  <c r="F68" i="27"/>
  <c r="F73" i="27"/>
  <c r="F67" i="27"/>
  <c r="F72" i="27"/>
  <c r="F66" i="27"/>
  <c r="F65" i="27"/>
  <c r="P54" i="27"/>
  <c r="P53" i="27"/>
  <c r="P52" i="27"/>
  <c r="P51" i="27"/>
  <c r="P56" i="27"/>
  <c r="P50" i="27"/>
  <c r="P55" i="27"/>
  <c r="P49" i="27"/>
  <c r="P57" i="27"/>
  <c r="P48" i="27"/>
  <c r="F53" i="27"/>
  <c r="F52" i="27"/>
  <c r="F51" i="27"/>
  <c r="F56" i="27"/>
  <c r="F50" i="27"/>
  <c r="F54" i="27"/>
  <c r="F57" i="27"/>
  <c r="F48" i="27"/>
  <c r="F55" i="27"/>
  <c r="F49" i="27"/>
  <c r="P47" i="27"/>
  <c r="F47" i="27"/>
  <c r="P33" i="27"/>
  <c r="P32" i="27"/>
  <c r="P31" i="27"/>
  <c r="P37" i="27"/>
  <c r="P36" i="27"/>
  <c r="P30" i="27"/>
  <c r="P35" i="27"/>
  <c r="P29" i="27"/>
  <c r="P34" i="27"/>
  <c r="P28" i="27"/>
  <c r="P27" i="27"/>
  <c r="F29" i="27"/>
  <c r="F34" i="27"/>
  <c r="F28" i="27"/>
  <c r="F33" i="27"/>
  <c r="F31" i="27"/>
  <c r="F35" i="27"/>
  <c r="F32" i="27"/>
  <c r="F37" i="27"/>
  <c r="F36" i="27"/>
  <c r="F30" i="27"/>
  <c r="F27" i="27"/>
  <c r="P14" i="27"/>
  <c r="P12" i="27"/>
  <c r="P17" i="27"/>
  <c r="P19" i="27"/>
  <c r="P13" i="27"/>
  <c r="P15" i="27"/>
  <c r="P18" i="27"/>
  <c r="P11" i="27"/>
  <c r="P16" i="27"/>
  <c r="P10" i="27"/>
  <c r="P9" i="27"/>
  <c r="F9" i="27"/>
  <c r="F16" i="27"/>
  <c r="F10" i="27"/>
  <c r="F15" i="27"/>
  <c r="F11" i="27"/>
  <c r="F14" i="27"/>
  <c r="F19" i="27"/>
  <c r="F13" i="27"/>
  <c r="F17" i="27"/>
  <c r="F18" i="27"/>
  <c r="F12" i="27"/>
  <c r="J49" i="27" l="1"/>
  <c r="J55" i="27"/>
  <c r="J48" i="27"/>
  <c r="J51" i="27"/>
  <c r="J52" i="27"/>
  <c r="J53" i="27"/>
  <c r="J50" i="27"/>
  <c r="J56" i="27"/>
  <c r="J57" i="27"/>
  <c r="J54" i="27"/>
  <c r="K110" i="4" a="1"/>
  <c r="K110" i="4" s="1"/>
  <c r="I75" i="27"/>
  <c r="I69" i="27"/>
  <c r="I37" i="27"/>
  <c r="I32" i="27"/>
  <c r="I36" i="27"/>
  <c r="I74" i="27"/>
  <c r="I28" i="27"/>
  <c r="I70" i="27"/>
  <c r="I34" i="27"/>
  <c r="I73" i="27"/>
  <c r="I71" i="27"/>
  <c r="I67" i="27"/>
  <c r="I66" i="27"/>
  <c r="I72" i="27"/>
  <c r="I68" i="27"/>
  <c r="I65" i="27"/>
  <c r="I31" i="27"/>
  <c r="I33" i="27"/>
  <c r="I35" i="27"/>
  <c r="I29" i="27"/>
  <c r="I30" i="27"/>
  <c r="I27" i="27"/>
  <c r="J69" i="27"/>
  <c r="J65" i="27"/>
  <c r="J67" i="27"/>
  <c r="J75" i="27"/>
  <c r="J74" i="27"/>
  <c r="J68" i="27"/>
  <c r="J73" i="27"/>
  <c r="J72" i="27"/>
  <c r="J70" i="27"/>
  <c r="J71" i="27"/>
  <c r="J66" i="27"/>
  <c r="J30" i="27"/>
  <c r="J36" i="27"/>
  <c r="J37" i="27"/>
  <c r="J27" i="27"/>
  <c r="J32" i="27"/>
  <c r="J35" i="27"/>
  <c r="J31" i="27"/>
  <c r="J33" i="27"/>
  <c r="J28" i="27"/>
  <c r="J34" i="27"/>
  <c r="J29" i="27"/>
  <c r="J9" i="27"/>
  <c r="J15" i="27"/>
  <c r="J19" i="27"/>
  <c r="J13" i="27"/>
  <c r="J16" i="27"/>
  <c r="J47" i="27"/>
  <c r="J14" i="27"/>
  <c r="J10" i="27"/>
  <c r="J12" i="27"/>
  <c r="J17" i="27"/>
  <c r="J11" i="27"/>
  <c r="J18" i="27"/>
  <c r="L111" i="2" l="1"/>
  <c r="L112" i="2"/>
  <c r="L113" i="2"/>
  <c r="L114" i="2"/>
  <c r="L115" i="2"/>
  <c r="L116" i="2"/>
  <c r="L117" i="2"/>
  <c r="L118" i="2"/>
  <c r="L119" i="2"/>
  <c r="H110" i="2"/>
  <c r="H111" i="2"/>
  <c r="H112" i="2"/>
  <c r="H113" i="2"/>
  <c r="H114" i="2"/>
  <c r="H115" i="2"/>
  <c r="H116" i="2"/>
  <c r="H117" i="2"/>
  <c r="H118" i="2"/>
  <c r="H119" i="2"/>
  <c r="G110" i="2"/>
  <c r="G111" i="2"/>
  <c r="G112" i="2"/>
  <c r="G113" i="2"/>
  <c r="G114" i="2"/>
  <c r="G115" i="2"/>
  <c r="G116" i="2"/>
  <c r="G117" i="2"/>
  <c r="G118" i="2"/>
  <c r="G119" i="2"/>
  <c r="C11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C56" i="2"/>
  <c r="C57" i="2"/>
  <c r="C58" i="2"/>
  <c r="C59" i="2"/>
  <c r="C60" i="2"/>
  <c r="C61" i="2"/>
  <c r="C62" i="2"/>
  <c r="C63" i="2"/>
  <c r="C64" i="2"/>
  <c r="C65" i="2"/>
  <c r="U4" i="6"/>
  <c r="U5" i="6"/>
  <c r="U6" i="6"/>
  <c r="U7" i="6"/>
  <c r="U8" i="6"/>
  <c r="U9" i="6"/>
  <c r="U10" i="6"/>
  <c r="U11" i="6"/>
  <c r="U12" i="6"/>
  <c r="U13" i="6"/>
  <c r="U14" i="6"/>
  <c r="U15" i="6"/>
  <c r="F65" i="2" l="1" a="1"/>
  <c r="F65" i="2" s="1"/>
  <c r="E65" i="2" a="1"/>
  <c r="E65" i="2" s="1"/>
  <c r="D65" i="2" a="1"/>
  <c r="D65" i="2" s="1"/>
  <c r="K65" i="2" s="1" a="1"/>
  <c r="K65" i="2" s="1"/>
  <c r="F64" i="2" a="1"/>
  <c r="F64" i="2" s="1"/>
  <c r="E64" i="2" a="1"/>
  <c r="E64" i="2" s="1"/>
  <c r="D64" i="2" a="1"/>
  <c r="D64" i="2" s="1"/>
  <c r="K64" i="2" s="1" a="1"/>
  <c r="K64" i="2" s="1"/>
  <c r="F63" i="2" a="1"/>
  <c r="F63" i="2" s="1"/>
  <c r="E63" i="2" a="1"/>
  <c r="E63" i="2" s="1"/>
  <c r="D63" i="2" a="1"/>
  <c r="D63" i="2" s="1"/>
  <c r="K63" i="2" s="1" a="1"/>
  <c r="K63" i="2" s="1"/>
  <c r="F62" i="2" a="1"/>
  <c r="F62" i="2" s="1"/>
  <c r="E62" i="2" a="1"/>
  <c r="E62" i="2" s="1"/>
  <c r="D62" i="2" a="1"/>
  <c r="D62" i="2" s="1"/>
  <c r="K62" i="2" s="1" a="1"/>
  <c r="K62" i="2" s="1"/>
  <c r="E61" i="2" a="1"/>
  <c r="E61" i="2" s="1"/>
  <c r="F61" i="2" a="1"/>
  <c r="F61" i="2" s="1"/>
  <c r="D61" i="2" a="1"/>
  <c r="D61" i="2" s="1"/>
  <c r="K61" i="2" s="1" a="1"/>
  <c r="K61" i="2" s="1"/>
  <c r="E60" i="2" a="1"/>
  <c r="E60" i="2" s="1"/>
  <c r="F60" i="2" a="1"/>
  <c r="F60" i="2" s="1"/>
  <c r="D60" i="2" a="1"/>
  <c r="D60" i="2" s="1"/>
  <c r="K60" i="2" s="1" a="1"/>
  <c r="K60" i="2" s="1"/>
  <c r="F110" i="2" a="1"/>
  <c r="F110" i="2" s="1"/>
  <c r="E110" i="2" a="1"/>
  <c r="E110" i="2" s="1"/>
  <c r="D110" i="2" a="1"/>
  <c r="D110" i="2" s="1"/>
  <c r="E59" i="2" a="1"/>
  <c r="E59" i="2" s="1"/>
  <c r="F59" i="2" a="1"/>
  <c r="F59" i="2" s="1"/>
  <c r="K59" i="2" a="1"/>
  <c r="K59" i="2" s="1"/>
  <c r="D59" i="2" a="1"/>
  <c r="D59" i="2" s="1"/>
  <c r="F58" i="2" a="1"/>
  <c r="F58" i="2" s="1"/>
  <c r="E58" i="2" a="1"/>
  <c r="E58" i="2" s="1"/>
  <c r="D58" i="2" a="1"/>
  <c r="D58" i="2" s="1"/>
  <c r="K58" i="2" s="1" a="1"/>
  <c r="K58" i="2" s="1"/>
  <c r="F57" i="2" a="1"/>
  <c r="F57" i="2" s="1"/>
  <c r="E57" i="2" a="1"/>
  <c r="E57" i="2" s="1"/>
  <c r="K57" i="2" s="1" a="1"/>
  <c r="K57" i="2" s="1"/>
  <c r="D57" i="2" a="1"/>
  <c r="D57" i="2" s="1"/>
  <c r="F56" i="2" a="1"/>
  <c r="F56" i="2" s="1"/>
  <c r="E56" i="2" a="1"/>
  <c r="E56" i="2" s="1"/>
  <c r="D56" i="2" a="1"/>
  <c r="D56" i="2" s="1"/>
  <c r="G85" i="4" a="1"/>
  <c r="G85" i="4" s="1"/>
  <c r="G86" i="4" a="1"/>
  <c r="G86" i="4" s="1"/>
  <c r="G87" i="4" a="1"/>
  <c r="G87" i="4" s="1"/>
  <c r="G88" i="4" a="1"/>
  <c r="G88" i="4" s="1"/>
  <c r="G89" i="4" a="1"/>
  <c r="G89" i="4" s="1"/>
  <c r="G90" i="4" a="1"/>
  <c r="G90" i="4" s="1"/>
  <c r="G91" i="4" a="1"/>
  <c r="G91" i="4" s="1"/>
  <c r="G92" i="4" a="1"/>
  <c r="G92" i="4" s="1"/>
  <c r="G93" i="4" a="1"/>
  <c r="G93" i="4" s="1"/>
  <c r="G94" i="4" a="1"/>
  <c r="G94" i="4" s="1"/>
  <c r="G95" i="4" a="1"/>
  <c r="G95" i="4" s="1"/>
  <c r="G96" i="4" a="1"/>
  <c r="G96" i="4" s="1"/>
  <c r="G97" i="4" a="1"/>
  <c r="G97" i="4" s="1"/>
  <c r="G98" i="4" a="1"/>
  <c r="G98" i="4" s="1"/>
  <c r="G99" i="4" a="1"/>
  <c r="G99" i="4" s="1"/>
  <c r="G100" i="4" a="1"/>
  <c r="G100" i="4" s="1"/>
  <c r="G101" i="4" a="1"/>
  <c r="G101" i="4" s="1"/>
  <c r="G102" i="4" a="1"/>
  <c r="G102" i="4" s="1"/>
  <c r="G103" i="4" a="1"/>
  <c r="G103" i="4" s="1"/>
  <c r="G31" i="4" a="1"/>
  <c r="G31" i="4" s="1"/>
  <c r="J31" i="4" s="1"/>
  <c r="G32" i="4" a="1"/>
  <c r="G32" i="4" s="1"/>
  <c r="G33" i="4" a="1"/>
  <c r="G33" i="4" s="1"/>
  <c r="G34" i="4" a="1"/>
  <c r="G34" i="4" s="1"/>
  <c r="G35" i="4" a="1"/>
  <c r="G35" i="4" s="1"/>
  <c r="G36" i="4" a="1"/>
  <c r="G36" i="4" s="1"/>
  <c r="G37" i="4" a="1"/>
  <c r="G37" i="4" s="1"/>
  <c r="G38" i="4" a="1"/>
  <c r="G38" i="4" s="1"/>
  <c r="G39" i="4" a="1"/>
  <c r="G39" i="4" s="1"/>
  <c r="G40" i="4" a="1"/>
  <c r="G40" i="4" s="1"/>
  <c r="G41" i="4" a="1"/>
  <c r="G41" i="4" s="1"/>
  <c r="G42" i="4" a="1"/>
  <c r="G42" i="4" s="1"/>
  <c r="G43" i="4" a="1"/>
  <c r="G43" i="4" s="1"/>
  <c r="G44" i="4" a="1"/>
  <c r="G44" i="4" s="1"/>
  <c r="G45" i="4" a="1"/>
  <c r="G45" i="4" s="1"/>
  <c r="G46" i="4" a="1"/>
  <c r="G46" i="4" s="1"/>
  <c r="G47" i="4" a="1"/>
  <c r="G47" i="4" s="1"/>
  <c r="G48" i="4" a="1"/>
  <c r="G48" i="4" s="1"/>
  <c r="G49" i="4" a="1"/>
  <c r="G49" i="4" s="1"/>
  <c r="AH85" i="4"/>
  <c r="G85" i="2" a="1"/>
  <c r="G85" i="2" s="1"/>
  <c r="G86" i="2" a="1"/>
  <c r="G86" i="2" s="1"/>
  <c r="G87" i="2" a="1"/>
  <c r="G87" i="2" s="1"/>
  <c r="G88" i="2" a="1"/>
  <c r="G88" i="2" s="1"/>
  <c r="G89" i="2" a="1"/>
  <c r="G89" i="2" s="1"/>
  <c r="G90" i="2" a="1"/>
  <c r="G90" i="2" s="1"/>
  <c r="G91" i="2" a="1"/>
  <c r="G91" i="2" s="1"/>
  <c r="G92" i="2" a="1"/>
  <c r="G92" i="2" s="1"/>
  <c r="G93" i="2" a="1"/>
  <c r="G93" i="2" s="1"/>
  <c r="G94" i="2" a="1"/>
  <c r="G94" i="2" s="1"/>
  <c r="G95" i="2" a="1"/>
  <c r="G95" i="2" s="1"/>
  <c r="G96" i="2" a="1"/>
  <c r="G96" i="2" s="1"/>
  <c r="G97" i="2" a="1"/>
  <c r="G97" i="2" s="1"/>
  <c r="G98" i="2" a="1"/>
  <c r="G98" i="2" s="1"/>
  <c r="G99" i="2" a="1"/>
  <c r="G99" i="2" s="1"/>
  <c r="G100" i="2" a="1"/>
  <c r="G100" i="2" s="1"/>
  <c r="G101" i="2" a="1"/>
  <c r="G101" i="2" s="1"/>
  <c r="G102" i="2" a="1"/>
  <c r="G102" i="2" s="1"/>
  <c r="G103" i="2" a="1"/>
  <c r="G103" i="2" s="1"/>
  <c r="G31" i="2" a="1"/>
  <c r="G31" i="2" s="1"/>
  <c r="G32" i="2" a="1"/>
  <c r="G32" i="2" s="1"/>
  <c r="G33" i="2" a="1"/>
  <c r="G33" i="2" s="1"/>
  <c r="G34" i="2" a="1"/>
  <c r="G34" i="2" s="1"/>
  <c r="G35" i="2" a="1"/>
  <c r="G35" i="2" s="1"/>
  <c r="G36" i="2" a="1"/>
  <c r="G36" i="2" s="1"/>
  <c r="G37" i="2" a="1"/>
  <c r="G37" i="2" s="1"/>
  <c r="G38" i="2" a="1"/>
  <c r="G38" i="2" s="1"/>
  <c r="G39" i="2" a="1"/>
  <c r="G39" i="2" s="1"/>
  <c r="G40" i="2" a="1"/>
  <c r="G40" i="2" s="1"/>
  <c r="G41" i="2" a="1"/>
  <c r="G41" i="2" s="1"/>
  <c r="G42" i="2" a="1"/>
  <c r="G42" i="2" s="1"/>
  <c r="G43" i="2" a="1"/>
  <c r="G43" i="2" s="1"/>
  <c r="G44" i="2" a="1"/>
  <c r="G44" i="2" s="1"/>
  <c r="G45" i="2" a="1"/>
  <c r="G45" i="2" s="1"/>
  <c r="G46" i="2" a="1"/>
  <c r="G46" i="2" s="1"/>
  <c r="G47" i="2" a="1"/>
  <c r="G47" i="2" s="1"/>
  <c r="G48" i="2" a="1"/>
  <c r="G48" i="2" s="1"/>
  <c r="G49" i="2" a="1"/>
  <c r="G49" i="2" s="1"/>
  <c r="AW4" i="22"/>
  <c r="AW5" i="22"/>
  <c r="AW6" i="22"/>
  <c r="AW7" i="22"/>
  <c r="AW8" i="22"/>
  <c r="AW9" i="22"/>
  <c r="AW10" i="22"/>
  <c r="AW11" i="22"/>
  <c r="AW12" i="22"/>
  <c r="AW13" i="22"/>
  <c r="AW14" i="22"/>
  <c r="AW15" i="22"/>
  <c r="AW16" i="22"/>
  <c r="AW17" i="22"/>
  <c r="AW18" i="22"/>
  <c r="AW19" i="22"/>
  <c r="AW20" i="22"/>
  <c r="N41" i="3"/>
  <c r="BG4" i="3" s="1"/>
  <c r="N40" i="3"/>
  <c r="BF4" i="3" s="1"/>
  <c r="M40" i="3"/>
  <c r="M41" i="3" s="1"/>
  <c r="K110" i="2" l="1" a="1"/>
  <c r="K110" i="2" s="1"/>
  <c r="K56" i="2" a="1"/>
  <c r="K56" i="2" s="1"/>
  <c r="J99" i="4"/>
  <c r="K99" i="4"/>
  <c r="J87" i="4"/>
  <c r="K87" i="4"/>
  <c r="J97" i="4"/>
  <c r="K97" i="4"/>
  <c r="J85" i="4"/>
  <c r="K85" i="4"/>
  <c r="J100" i="4"/>
  <c r="K100" i="4"/>
  <c r="J96" i="4"/>
  <c r="K96" i="4"/>
  <c r="J95" i="4"/>
  <c r="K95" i="4"/>
  <c r="K98" i="4"/>
  <c r="J98" i="4"/>
  <c r="K94" i="4"/>
  <c r="J94" i="4"/>
  <c r="K88" i="4"/>
  <c r="J88" i="4"/>
  <c r="K93" i="4"/>
  <c r="J93" i="4"/>
  <c r="J92" i="4"/>
  <c r="K92" i="4"/>
  <c r="J86" i="4"/>
  <c r="K86" i="4"/>
  <c r="K103" i="4"/>
  <c r="J103" i="4"/>
  <c r="J91" i="4"/>
  <c r="K91" i="4"/>
  <c r="K102" i="4"/>
  <c r="J102" i="4"/>
  <c r="J90" i="4"/>
  <c r="K90" i="4"/>
  <c r="K101" i="4"/>
  <c r="J101" i="4"/>
  <c r="J89" i="4"/>
  <c r="K89" i="4"/>
  <c r="AM11" i="6"/>
  <c r="AM6" i="6"/>
  <c r="I32" i="23"/>
  <c r="J23" i="23"/>
  <c r="J24" i="23"/>
  <c r="P23" i="23"/>
  <c r="H24" i="23"/>
  <c r="H23" i="23"/>
  <c r="P24" i="23"/>
  <c r="K29" i="1" l="1"/>
  <c r="K28" i="1"/>
  <c r="F24" i="24"/>
  <c r="V13" i="24"/>
  <c r="V14" i="24"/>
  <c r="V15" i="24"/>
  <c r="V16" i="24"/>
  <c r="V17" i="24"/>
  <c r="V18" i="24"/>
  <c r="V19" i="24"/>
  <c r="V20" i="24"/>
  <c r="V21" i="24"/>
  <c r="V22" i="24"/>
  <c r="V23" i="24"/>
  <c r="V24" i="24"/>
  <c r="V25" i="24"/>
  <c r="V26" i="24"/>
  <c r="V27" i="24"/>
  <c r="V28" i="24"/>
  <c r="V29" i="24"/>
  <c r="V30" i="24"/>
  <c r="V31" i="24"/>
  <c r="V32" i="24"/>
  <c r="V33" i="24"/>
  <c r="V34" i="24"/>
  <c r="V35" i="24"/>
  <c r="F18" i="24"/>
  <c r="L13" i="24"/>
  <c r="L14" i="24" s="1"/>
  <c r="L15" i="24" s="1"/>
  <c r="L16" i="24" s="1"/>
  <c r="L17" i="24" s="1"/>
  <c r="L18" i="24" s="1"/>
  <c r="L19" i="24" s="1"/>
  <c r="L20" i="24" s="1"/>
  <c r="L21" i="24" s="1"/>
  <c r="L22" i="24" s="1"/>
  <c r="L23" i="24" s="1"/>
  <c r="L24" i="24" s="1"/>
  <c r="L25" i="24" s="1"/>
  <c r="L26" i="24" s="1"/>
  <c r="L27" i="24" s="1"/>
  <c r="L28" i="24" s="1"/>
  <c r="L29" i="24" s="1"/>
  <c r="L30" i="24" s="1"/>
  <c r="L31" i="24" s="1"/>
  <c r="L32" i="24" s="1"/>
  <c r="L33" i="24" s="1"/>
  <c r="L34" i="24" s="1"/>
  <c r="L35" i="24" s="1"/>
  <c r="W30" i="24" l="1"/>
  <c r="X30" i="24" s="1"/>
  <c r="W31" i="24"/>
  <c r="X31" i="24" s="1"/>
  <c r="W13" i="24"/>
  <c r="X13" i="24" s="1"/>
  <c r="W14" i="24"/>
  <c r="W15" i="24"/>
  <c r="W16" i="24"/>
  <c r="X16" i="24" s="1"/>
  <c r="W17" i="24"/>
  <c r="W18" i="24"/>
  <c r="Y18" i="24" s="1"/>
  <c r="W19" i="24"/>
  <c r="Y19" i="24" s="1"/>
  <c r="W20" i="24"/>
  <c r="W21" i="24"/>
  <c r="X21" i="24" s="1"/>
  <c r="W22" i="24"/>
  <c r="Y22" i="24" s="1"/>
  <c r="W23" i="24"/>
  <c r="X23" i="24" s="1"/>
  <c r="W24" i="24"/>
  <c r="X24" i="24" s="1"/>
  <c r="W25" i="24"/>
  <c r="X25" i="24" s="1"/>
  <c r="W26" i="24"/>
  <c r="X26" i="24" s="1"/>
  <c r="W27" i="24"/>
  <c r="X27" i="24" s="1"/>
  <c r="W28" i="24"/>
  <c r="Y28" i="24" s="1"/>
  <c r="W29" i="24"/>
  <c r="W32" i="24"/>
  <c r="Y32" i="24" s="1"/>
  <c r="W33" i="24"/>
  <c r="Y33" i="24" s="1"/>
  <c r="W34" i="24"/>
  <c r="X34" i="24" s="1"/>
  <c r="W35" i="24"/>
  <c r="X35" i="24" s="1"/>
  <c r="C24" i="3"/>
  <c r="B13" i="1"/>
  <c r="J21" i="1"/>
  <c r="L21" i="1"/>
  <c r="U2" i="3"/>
  <c r="V2" i="3" s="1"/>
  <c r="W2" i="3" s="1"/>
  <c r="X2" i="3" s="1"/>
  <c r="Y2" i="3" s="1"/>
  <c r="Z2" i="3" s="1"/>
  <c r="AA2" i="3" s="1"/>
  <c r="AB2" i="3" s="1"/>
  <c r="AC2" i="3" s="1"/>
  <c r="AD2" i="3" s="1"/>
  <c r="AE2" i="3" s="1"/>
  <c r="AF2" i="3" s="1"/>
  <c r="AG2" i="3" s="1"/>
  <c r="AE4" i="3"/>
  <c r="AF4" i="3"/>
  <c r="AH2" i="3" l="1"/>
  <c r="AI2" i="3" s="1"/>
  <c r="AJ2" i="3" s="1"/>
  <c r="AK2" i="3" s="1"/>
  <c r="AL2" i="3" s="1"/>
  <c r="AM2" i="3" s="1"/>
  <c r="AN2" i="3" s="1"/>
  <c r="AO2" i="3" s="1"/>
  <c r="AP2" i="3" s="1"/>
  <c r="AQ2" i="3" s="1"/>
  <c r="AR2" i="3" s="1"/>
  <c r="AS2" i="3" s="1"/>
  <c r="AT2" i="3" s="1"/>
  <c r="AU2" i="3" s="1"/>
  <c r="AV2" i="3" s="1"/>
  <c r="AW2" i="3" s="1"/>
  <c r="AX2" i="3" s="1"/>
  <c r="AY2" i="3" s="1"/>
  <c r="AZ2" i="3" s="1"/>
  <c r="BA2" i="3" s="1"/>
  <c r="BB2" i="3" s="1"/>
  <c r="BC2" i="3" s="1"/>
  <c r="BD2" i="3" s="1"/>
  <c r="BE2" i="3" s="1"/>
  <c r="BF2" i="3" s="1"/>
  <c r="BG2" i="3" s="1"/>
  <c r="BH2" i="3" s="1"/>
  <c r="BI2" i="3" s="1"/>
  <c r="BJ2" i="3" s="1"/>
  <c r="BK2" i="3" s="1"/>
  <c r="BL2" i="3" s="1"/>
  <c r="BM2" i="3" s="1"/>
  <c r="BN2" i="3" s="1"/>
  <c r="BO2" i="3" s="1"/>
  <c r="BP2" i="3" s="1"/>
  <c r="BQ2" i="3" s="1"/>
  <c r="BR2" i="3" s="1"/>
  <c r="BS2" i="3" s="1"/>
  <c r="BT2" i="3" s="1"/>
  <c r="BU2" i="3" s="1"/>
  <c r="BV2" i="3" s="1"/>
  <c r="BW2" i="3" s="1"/>
  <c r="BX2" i="3" s="1"/>
  <c r="BY2" i="3" s="1"/>
  <c r="X14" i="24"/>
  <c r="X20" i="24"/>
  <c r="X15" i="24"/>
  <c r="X33" i="24"/>
  <c r="X32" i="24"/>
  <c r="X22" i="24"/>
  <c r="X19" i="24"/>
  <c r="Y29" i="24"/>
  <c r="Y17" i="24"/>
  <c r="Y16" i="24"/>
  <c r="X18" i="24"/>
  <c r="Y27" i="24"/>
  <c r="Y15" i="24"/>
  <c r="X29" i="24"/>
  <c r="X17" i="24"/>
  <c r="Y26" i="24"/>
  <c r="Y14" i="24"/>
  <c r="X28" i="24"/>
  <c r="Y25" i="24"/>
  <c r="Y13" i="24"/>
  <c r="Y24" i="24"/>
  <c r="Y23" i="24"/>
  <c r="Y31" i="24"/>
  <c r="Y21" i="24"/>
  <c r="Y35" i="24"/>
  <c r="Y30" i="24"/>
  <c r="Y34" i="24"/>
  <c r="Y20" i="24"/>
  <c r="CB6" i="3"/>
  <c r="CB7" i="3" s="1"/>
  <c r="CB8" i="3" s="1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B21" i="3" s="1"/>
  <c r="CB22" i="3" s="1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B35" i="3" s="1"/>
  <c r="CB36" i="3" s="1"/>
  <c r="M53" i="3"/>
  <c r="AH110" i="4"/>
  <c r="AH111" i="4" s="1"/>
  <c r="AH112" i="4" s="1"/>
  <c r="AH113" i="4" s="1"/>
  <c r="AH114" i="4" s="1"/>
  <c r="AH115" i="4" s="1"/>
  <c r="AH116" i="4" s="1"/>
  <c r="AH117" i="4" s="1"/>
  <c r="AH118" i="4" s="1"/>
  <c r="AH119" i="4" s="1"/>
  <c r="AH86" i="4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56" i="4"/>
  <c r="AH57" i="4" s="1"/>
  <c r="AH58" i="4" s="1"/>
  <c r="AH59" i="4" s="1"/>
  <c r="AH60" i="4" s="1"/>
  <c r="AH61" i="4" s="1"/>
  <c r="AH62" i="4" s="1"/>
  <c r="AH63" i="4" s="1"/>
  <c r="AH64" i="4" s="1"/>
  <c r="AH65" i="4" s="1"/>
  <c r="AH31" i="4"/>
  <c r="AH32" i="4" s="1"/>
  <c r="AH33" i="4" s="1"/>
  <c r="AH34" i="4" s="1"/>
  <c r="AH35" i="4" s="1"/>
  <c r="AH36" i="4" s="1"/>
  <c r="AH37" i="4" s="1"/>
  <c r="AH38" i="4" s="1"/>
  <c r="AH39" i="4" s="1"/>
  <c r="AH40" i="4" s="1"/>
  <c r="AH41" i="4" s="1"/>
  <c r="AH42" i="4" s="1"/>
  <c r="AH43" i="4" s="1"/>
  <c r="AH44" i="4" s="1"/>
  <c r="AH45" i="4" s="1"/>
  <c r="AH46" i="4" s="1"/>
  <c r="AH47" i="4" s="1"/>
  <c r="AH48" i="4" s="1"/>
  <c r="AH49" i="4" s="1"/>
  <c r="AH110" i="2"/>
  <c r="AH111" i="2" s="1"/>
  <c r="AH112" i="2" s="1"/>
  <c r="AH113" i="2" s="1"/>
  <c r="AH114" i="2" s="1"/>
  <c r="AH115" i="2" s="1"/>
  <c r="AH116" i="2" s="1"/>
  <c r="AH117" i="2" s="1"/>
  <c r="AH118" i="2" s="1"/>
  <c r="AH119" i="2" s="1"/>
  <c r="AH85" i="2"/>
  <c r="AH86" i="2" s="1"/>
  <c r="AH87" i="2" s="1"/>
  <c r="AH88" i="2" s="1"/>
  <c r="AH89" i="2" s="1"/>
  <c r="AH90" i="2" s="1"/>
  <c r="AH91" i="2" s="1"/>
  <c r="AH92" i="2" s="1"/>
  <c r="AH93" i="2" s="1"/>
  <c r="AH94" i="2" s="1"/>
  <c r="AH95" i="2" s="1"/>
  <c r="AH96" i="2" s="1"/>
  <c r="AH97" i="2" s="1"/>
  <c r="AH98" i="2" s="1"/>
  <c r="AH99" i="2" s="1"/>
  <c r="AH100" i="2" s="1"/>
  <c r="AH101" i="2" s="1"/>
  <c r="AH102" i="2" s="1"/>
  <c r="AH103" i="2" s="1"/>
  <c r="AH56" i="2"/>
  <c r="AH57" i="2" s="1"/>
  <c r="AH58" i="2" s="1"/>
  <c r="AH59" i="2" s="1"/>
  <c r="AH60" i="2" s="1"/>
  <c r="AH61" i="2" s="1"/>
  <c r="AH62" i="2" s="1"/>
  <c r="AH63" i="2" s="1"/>
  <c r="AH64" i="2" s="1"/>
  <c r="AH65" i="2" s="1"/>
  <c r="AH31" i="2"/>
  <c r="AH32" i="2" s="1"/>
  <c r="AH33" i="2" s="1"/>
  <c r="AH34" i="2" s="1"/>
  <c r="AH35" i="2" s="1"/>
  <c r="AH36" i="2" s="1"/>
  <c r="AH37" i="2" s="1"/>
  <c r="AH38" i="2" s="1"/>
  <c r="AH39" i="2" s="1"/>
  <c r="AH40" i="2" s="1"/>
  <c r="AH41" i="2" s="1"/>
  <c r="AH42" i="2" s="1"/>
  <c r="AH43" i="2" s="1"/>
  <c r="AH44" i="2" s="1"/>
  <c r="AH45" i="2" s="1"/>
  <c r="AH46" i="2" s="1"/>
  <c r="AH47" i="2" s="1"/>
  <c r="AH48" i="2" s="1"/>
  <c r="AH49" i="2" s="1"/>
  <c r="F30" i="26"/>
  <c r="F31" i="26"/>
  <c r="F32" i="26"/>
  <c r="F33" i="26"/>
  <c r="F34" i="26"/>
  <c r="F25" i="26"/>
  <c r="F26" i="26"/>
  <c r="F27" i="26"/>
  <c r="F19" i="26"/>
  <c r="F20" i="26"/>
  <c r="F21" i="26"/>
  <c r="F22" i="26"/>
  <c r="F23" i="26"/>
  <c r="F14" i="26"/>
  <c r="F15" i="26"/>
  <c r="F15" i="24"/>
  <c r="F16" i="24"/>
  <c r="E20" i="17"/>
  <c r="V34" i="1"/>
  <c r="W34" i="1"/>
  <c r="X34" i="1"/>
  <c r="Y34" i="1"/>
  <c r="AM7" i="22"/>
  <c r="F27" i="24"/>
  <c r="F29" i="24"/>
  <c r="F23" i="24"/>
  <c r="F25" i="24"/>
  <c r="F22" i="24"/>
  <c r="F20" i="24"/>
  <c r="F19" i="24"/>
  <c r="E20" i="25"/>
  <c r="DR23" i="21"/>
  <c r="DQ23" i="21"/>
  <c r="DN23" i="21"/>
  <c r="DL23" i="21" s="1"/>
  <c r="DR22" i="21"/>
  <c r="DQ22" i="21"/>
  <c r="DN22" i="21"/>
  <c r="DM22" i="21" s="1"/>
  <c r="DR21" i="21"/>
  <c r="DQ21" i="21"/>
  <c r="DN21" i="21"/>
  <c r="DL21" i="21" s="1"/>
  <c r="DR20" i="21"/>
  <c r="DQ20" i="21"/>
  <c r="DN20" i="21"/>
  <c r="DK20" i="21" s="1"/>
  <c r="DR19" i="21"/>
  <c r="DQ19" i="21"/>
  <c r="DN19" i="21"/>
  <c r="DM19" i="21" s="1"/>
  <c r="DR18" i="21"/>
  <c r="DQ18" i="21"/>
  <c r="DN18" i="21"/>
  <c r="DL18" i="21" s="1"/>
  <c r="DR17" i="21"/>
  <c r="DQ17" i="21"/>
  <c r="DN17" i="21"/>
  <c r="DH17" i="21" s="1"/>
  <c r="DR16" i="21"/>
  <c r="DQ16" i="21"/>
  <c r="DN16" i="21"/>
  <c r="DH16" i="21" s="1"/>
  <c r="DR15" i="21"/>
  <c r="DQ15" i="21"/>
  <c r="DN15" i="21"/>
  <c r="DK15" i="21" s="1"/>
  <c r="DR14" i="21"/>
  <c r="DQ14" i="21"/>
  <c r="DN14" i="21"/>
  <c r="DL14" i="21" s="1"/>
  <c r="DR13" i="21"/>
  <c r="DQ13" i="21"/>
  <c r="DN13" i="21"/>
  <c r="DL13" i="21" s="1"/>
  <c r="EE16" i="21"/>
  <c r="EE15" i="21"/>
  <c r="EE14" i="21"/>
  <c r="EE13" i="21"/>
  <c r="EP18" i="21"/>
  <c r="EM18" i="21"/>
  <c r="EL18" i="21"/>
  <c r="EE18" i="21"/>
  <c r="EI18" i="21" s="1"/>
  <c r="EP17" i="21"/>
  <c r="EM17" i="21"/>
  <c r="EL17" i="21"/>
  <c r="EE17" i="21"/>
  <c r="EI17" i="21" s="1"/>
  <c r="EP16" i="21"/>
  <c r="EM16" i="21"/>
  <c r="EL16" i="21"/>
  <c r="EP15" i="21"/>
  <c r="EM15" i="21"/>
  <c r="EL15" i="21"/>
  <c r="EP14" i="21"/>
  <c r="EM14" i="21"/>
  <c r="EL14" i="21"/>
  <c r="EP13" i="21"/>
  <c r="EM13" i="21"/>
  <c r="EL13" i="21"/>
  <c r="F35" i="26" l="1"/>
  <c r="F14" i="24"/>
  <c r="F13" i="24"/>
  <c r="F16" i="26"/>
  <c r="DI13" i="21"/>
  <c r="DM13" i="21"/>
  <c r="EO15" i="21"/>
  <c r="EO14" i="21"/>
  <c r="EN16" i="21"/>
  <c r="DL15" i="21"/>
  <c r="EO13" i="21"/>
  <c r="DH13" i="21"/>
  <c r="DM18" i="21"/>
  <c r="DM14" i="21"/>
  <c r="DJ17" i="21"/>
  <c r="DL17" i="21"/>
  <c r="DI23" i="21"/>
  <c r="EO17" i="21"/>
  <c r="DM23" i="21"/>
  <c r="EO18" i="21"/>
  <c r="DH15" i="21"/>
  <c r="DK17" i="21"/>
  <c r="DH14" i="21"/>
  <c r="DM15" i="21"/>
  <c r="DM17" i="21"/>
  <c r="DI14" i="21"/>
  <c r="DJ14" i="21"/>
  <c r="DK14" i="21"/>
  <c r="DI16" i="21"/>
  <c r="DJ16" i="21"/>
  <c r="DI15" i="21"/>
  <c r="DJ15" i="21"/>
  <c r="DL16" i="21"/>
  <c r="DL20" i="21"/>
  <c r="DM21" i="21"/>
  <c r="DK16" i="21"/>
  <c r="DM16" i="21"/>
  <c r="DM20" i="21"/>
  <c r="DJ13" i="21"/>
  <c r="DK13" i="21"/>
  <c r="DI17" i="21"/>
  <c r="DH23" i="21"/>
  <c r="DH22" i="21"/>
  <c r="DH21" i="21"/>
  <c r="DI22" i="21"/>
  <c r="DJ23" i="21"/>
  <c r="DH20" i="21"/>
  <c r="DI21" i="21"/>
  <c r="DJ22" i="21"/>
  <c r="DK23" i="21"/>
  <c r="DH19" i="21"/>
  <c r="DI20" i="21"/>
  <c r="DJ21" i="21"/>
  <c r="DK22" i="21"/>
  <c r="DH18" i="21"/>
  <c r="DI19" i="21"/>
  <c r="DJ20" i="21"/>
  <c r="DK21" i="21"/>
  <c r="DL22" i="21"/>
  <c r="DI18" i="21"/>
  <c r="DJ19" i="21"/>
  <c r="DJ18" i="21"/>
  <c r="DK19" i="21"/>
  <c r="DK18" i="21"/>
  <c r="DL19" i="21"/>
  <c r="EK17" i="21"/>
  <c r="EJ18" i="21"/>
  <c r="EK18" i="21"/>
  <c r="EI16" i="21"/>
  <c r="EK16" i="21"/>
  <c r="EJ16" i="21"/>
  <c r="EI13" i="21"/>
  <c r="EK13" i="21"/>
  <c r="EJ13" i="21"/>
  <c r="EI15" i="21"/>
  <c r="EK15" i="21"/>
  <c r="EJ15" i="21"/>
  <c r="EI14" i="21"/>
  <c r="EK14" i="21"/>
  <c r="EJ14" i="21"/>
  <c r="EJ17" i="21"/>
  <c r="EN15" i="21"/>
  <c r="EN17" i="21"/>
  <c r="EF14" i="21"/>
  <c r="EF17" i="21"/>
  <c r="EG13" i="21"/>
  <c r="EG14" i="21"/>
  <c r="EG15" i="21"/>
  <c r="EG16" i="21"/>
  <c r="EG17" i="21"/>
  <c r="EG18" i="21"/>
  <c r="EN14" i="21"/>
  <c r="EN18" i="21"/>
  <c r="EO16" i="21"/>
  <c r="EF13" i="21"/>
  <c r="EF18" i="21"/>
  <c r="EH13" i="21"/>
  <c r="EH14" i="21"/>
  <c r="EH15" i="21"/>
  <c r="EH16" i="21"/>
  <c r="EH17" i="21"/>
  <c r="EH18" i="21"/>
  <c r="EN13" i="21"/>
  <c r="EF15" i="21"/>
  <c r="EF16" i="21"/>
  <c r="Y54" i="22"/>
  <c r="Y55" i="22" s="1"/>
  <c r="Y56" i="22" s="1"/>
  <c r="Y57" i="22" s="1"/>
  <c r="AQ4" i="22"/>
  <c r="AQ5" i="22" s="1"/>
  <c r="AM16" i="22"/>
  <c r="AM15" i="22"/>
  <c r="AM14" i="22"/>
  <c r="AM13" i="22"/>
  <c r="AM12" i="22"/>
  <c r="AM11" i="22"/>
  <c r="AM10" i="22"/>
  <c r="AM9" i="22"/>
  <c r="AM8" i="22"/>
  <c r="AM6" i="22"/>
  <c r="AM5" i="22"/>
  <c r="AF5" i="22"/>
  <c r="AF6" i="22" s="1"/>
  <c r="N73" i="22"/>
  <c r="N74" i="22" s="1"/>
  <c r="N75" i="22" s="1"/>
  <c r="N76" i="22" s="1"/>
  <c r="Y5" i="22"/>
  <c r="Y6" i="22" s="1"/>
  <c r="Y7" i="22" s="1"/>
  <c r="Y8" i="22" s="1"/>
  <c r="Y9" i="22" s="1"/>
  <c r="Y10" i="22" s="1"/>
  <c r="Y11" i="22" s="1"/>
  <c r="Y12" i="22" s="1"/>
  <c r="Y13" i="22" s="1"/>
  <c r="Y14" i="22" s="1"/>
  <c r="Y15" i="22" s="1"/>
  <c r="Y16" i="22" s="1"/>
  <c r="Y17" i="22" s="1"/>
  <c r="Y18" i="22" s="1"/>
  <c r="Y19" i="22" s="1"/>
  <c r="Y20" i="22" s="1"/>
  <c r="Y21" i="22" s="1"/>
  <c r="Y22" i="22" s="1"/>
  <c r="Y23" i="22" s="1"/>
  <c r="Y24" i="22" s="1"/>
  <c r="Y25" i="22" s="1"/>
  <c r="Y26" i="22" s="1"/>
  <c r="Y27" i="22" s="1"/>
  <c r="Y28" i="22" s="1"/>
  <c r="Y29" i="22" s="1"/>
  <c r="Y30" i="22" s="1"/>
  <c r="Y31" i="22" s="1"/>
  <c r="Y32" i="22" s="1"/>
  <c r="Y33" i="22" s="1"/>
  <c r="Y34" i="22" s="1"/>
  <c r="Y35" i="22" s="1"/>
  <c r="Y36" i="22" s="1"/>
  <c r="Y37" i="22" s="1"/>
  <c r="Y38" i="22" s="1"/>
  <c r="Y39" i="22" s="1"/>
  <c r="Y40" i="22" s="1"/>
  <c r="Y41" i="22" s="1"/>
  <c r="Y42" i="22" s="1"/>
  <c r="Y43" i="22" s="1"/>
  <c r="T18" i="22"/>
  <c r="T19" i="22" s="1"/>
  <c r="T20" i="22" s="1"/>
  <c r="T12" i="22"/>
  <c r="T13" i="22" s="1"/>
  <c r="T5" i="22"/>
  <c r="T6" i="22" s="1"/>
  <c r="T7" i="22" s="1"/>
  <c r="N60" i="22"/>
  <c r="N61" i="22" s="1"/>
  <c r="N62" i="22" s="1"/>
  <c r="N63" i="22" s="1"/>
  <c r="N53" i="22"/>
  <c r="N54" i="22" s="1"/>
  <c r="N55" i="22" s="1"/>
  <c r="N27" i="22"/>
  <c r="N28" i="22" s="1"/>
  <c r="N29" i="22" s="1"/>
  <c r="H5" i="22"/>
  <c r="H6" i="22" s="1"/>
  <c r="H7" i="22" s="1"/>
  <c r="H8" i="22" s="1"/>
  <c r="N34" i="22"/>
  <c r="N35" i="22" s="1"/>
  <c r="N36" i="22" s="1"/>
  <c r="N37" i="22" s="1"/>
  <c r="N67" i="22"/>
  <c r="N68" i="22" s="1"/>
  <c r="N42" i="22"/>
  <c r="N43" i="22" s="1"/>
  <c r="N44" i="22" s="1"/>
  <c r="N45" i="22" s="1"/>
  <c r="N46" i="22" s="1"/>
  <c r="N47" i="22" s="1"/>
  <c r="N48" i="22" s="1"/>
  <c r="N5" i="22"/>
  <c r="N6" i="22" s="1"/>
  <c r="N7" i="22" s="1"/>
  <c r="N8" i="22" s="1"/>
  <c r="N9" i="22" s="1"/>
  <c r="N10" i="22" s="1"/>
  <c r="N11" i="22" s="1"/>
  <c r="N12" i="22" s="1"/>
  <c r="N13" i="22" s="1"/>
  <c r="N14" i="22" s="1"/>
  <c r="N15" i="22" s="1"/>
  <c r="N16" i="22" s="1"/>
  <c r="N17" i="22" s="1"/>
  <c r="N18" i="22" s="1"/>
  <c r="N19" i="22" s="1"/>
  <c r="N20" i="22" s="1"/>
  <c r="N21" i="22" s="1"/>
  <c r="N22" i="22" s="1"/>
  <c r="B5" i="22"/>
  <c r="B6" i="22" s="1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CJ37" i="21"/>
  <c r="CJ38" i="21" s="1"/>
  <c r="CJ39" i="21" s="1"/>
  <c r="CJ29" i="21"/>
  <c r="CJ30" i="21" s="1"/>
  <c r="CJ13" i="21"/>
  <c r="CJ21" i="21"/>
  <c r="CJ22" i="21" s="1"/>
  <c r="BU52" i="21"/>
  <c r="BU51" i="21"/>
  <c r="BU50" i="21"/>
  <c r="BU49" i="21"/>
  <c r="BU48" i="21"/>
  <c r="BU47" i="21"/>
  <c r="BU46" i="21"/>
  <c r="BU45" i="21"/>
  <c r="BU44" i="21"/>
  <c r="BU43" i="21"/>
  <c r="AV43" i="21"/>
  <c r="BY43" i="21" s="1"/>
  <c r="BU42" i="21"/>
  <c r="BU41" i="21"/>
  <c r="BU40" i="21"/>
  <c r="BU39" i="21"/>
  <c r="BU38" i="21"/>
  <c r="BU37" i="21"/>
  <c r="BU36" i="21"/>
  <c r="BU35" i="21"/>
  <c r="BU34" i="21"/>
  <c r="BU33" i="21"/>
  <c r="AV33" i="21"/>
  <c r="BY33" i="21" s="1"/>
  <c r="AV13" i="21"/>
  <c r="BY13" i="21" s="1"/>
  <c r="AV23" i="21"/>
  <c r="BY23" i="21" s="1"/>
  <c r="BU23" i="21"/>
  <c r="BU24" i="21"/>
  <c r="BU25" i="21"/>
  <c r="BU26" i="21"/>
  <c r="BU27" i="21"/>
  <c r="BU28" i="21"/>
  <c r="BU29" i="21"/>
  <c r="BU30" i="21"/>
  <c r="BU31" i="21"/>
  <c r="BU32" i="21"/>
  <c r="BU13" i="21"/>
  <c r="BU14" i="21"/>
  <c r="BU15" i="21"/>
  <c r="BU16" i="21"/>
  <c r="BU17" i="21"/>
  <c r="BU18" i="21"/>
  <c r="BU19" i="21"/>
  <c r="BU20" i="21"/>
  <c r="BU21" i="21"/>
  <c r="BU22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H70" i="21"/>
  <c r="H51" i="21"/>
  <c r="AK51" i="21" s="1"/>
  <c r="H32" i="21"/>
  <c r="AK32" i="21" s="1"/>
  <c r="H13" i="21"/>
  <c r="AK13" i="21" s="1"/>
  <c r="AM40" i="6"/>
  <c r="AM41" i="6"/>
  <c r="AM42" i="6"/>
  <c r="AM43" i="6"/>
  <c r="AM44" i="6"/>
  <c r="AM45" i="6"/>
  <c r="AM46" i="6"/>
  <c r="AM47" i="6"/>
  <c r="AM48" i="6"/>
  <c r="AM49" i="6"/>
  <c r="AM50" i="6"/>
  <c r="AM51" i="6"/>
  <c r="AM5" i="6"/>
  <c r="AM4" i="6"/>
  <c r="AM7" i="6"/>
  <c r="AM8" i="6"/>
  <c r="AM9" i="6"/>
  <c r="AM10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N56" i="3" l="1"/>
  <c r="BV4" i="3" s="1"/>
  <c r="CK39" i="21"/>
  <c r="CL39" i="21"/>
  <c r="CM39" i="21"/>
  <c r="CP39" i="21" s="1"/>
  <c r="CN39" i="21"/>
  <c r="CQ39" i="21" s="1"/>
  <c r="CO39" i="21"/>
  <c r="CR39" i="21" s="1"/>
  <c r="CJ40" i="21"/>
  <c r="CJ31" i="21"/>
  <c r="CJ23" i="21"/>
  <c r="CJ14" i="21"/>
  <c r="AO70" i="21"/>
  <c r="AK70" i="21"/>
  <c r="CC13" i="21"/>
  <c r="CB33" i="21"/>
  <c r="CC33" i="21"/>
  <c r="CB23" i="21"/>
  <c r="CC23" i="21"/>
  <c r="CB43" i="21"/>
  <c r="CC43" i="21"/>
  <c r="CB13" i="21"/>
  <c r="CA13" i="21"/>
  <c r="BZ43" i="21"/>
  <c r="CA43" i="21"/>
  <c r="BZ23" i="21"/>
  <c r="CA23" i="21"/>
  <c r="BZ33" i="21"/>
  <c r="CA33" i="21"/>
  <c r="BZ13" i="21"/>
  <c r="AV24" i="21"/>
  <c r="AV44" i="21"/>
  <c r="AV34" i="21"/>
  <c r="BY34" i="21" s="1"/>
  <c r="AV14" i="21"/>
  <c r="AO13" i="21"/>
  <c r="AN32" i="21"/>
  <c r="AO32" i="21"/>
  <c r="AN51" i="21"/>
  <c r="AO51" i="21"/>
  <c r="AN13" i="21"/>
  <c r="AM70" i="21"/>
  <c r="AN70" i="21"/>
  <c r="AM13" i="21"/>
  <c r="AL51" i="21"/>
  <c r="AM51" i="21"/>
  <c r="AL32" i="21"/>
  <c r="AM32" i="21"/>
  <c r="AL13" i="21"/>
  <c r="AL70" i="21"/>
  <c r="I32" i="21"/>
  <c r="I51" i="21"/>
  <c r="V13" i="21" a="1"/>
  <c r="V13" i="21" s="1"/>
  <c r="F33" i="24"/>
  <c r="AF7" i="22"/>
  <c r="AF8" i="22" s="1"/>
  <c r="AF9" i="22" s="1"/>
  <c r="AF10" i="22" s="1"/>
  <c r="AF11" i="22" s="1"/>
  <c r="AF12" i="22" s="1"/>
  <c r="AF13" i="22" s="1"/>
  <c r="AF14" i="22" s="1"/>
  <c r="AF15" i="22" s="1"/>
  <c r="AF16" i="22" s="1"/>
  <c r="AQ6" i="22"/>
  <c r="AQ7" i="22" s="1"/>
  <c r="AQ8" i="22" s="1"/>
  <c r="AQ9" i="22" s="1"/>
  <c r="F36" i="26"/>
  <c r="CO29" i="21"/>
  <c r="CR29" i="21" s="1"/>
  <c r="CO21" i="21"/>
  <c r="CR21" i="21" s="1"/>
  <c r="CO38" i="21"/>
  <c r="CR38" i="21" s="1"/>
  <c r="CO37" i="21"/>
  <c r="CR37" i="21" s="1"/>
  <c r="CO30" i="21"/>
  <c r="CR30" i="21" s="1"/>
  <c r="CO22" i="21"/>
  <c r="CR22" i="21" s="1"/>
  <c r="CO13" i="21"/>
  <c r="CR13" i="21" s="1"/>
  <c r="CN21" i="21"/>
  <c r="CQ21" i="21" s="1"/>
  <c r="CN38" i="21"/>
  <c r="CQ38" i="21" s="1"/>
  <c r="CN37" i="21"/>
  <c r="CQ37" i="21" s="1"/>
  <c r="CN30" i="21"/>
  <c r="CQ30" i="21" s="1"/>
  <c r="CN29" i="21"/>
  <c r="CQ29" i="21" s="1"/>
  <c r="CN22" i="21"/>
  <c r="CQ22" i="21" s="1"/>
  <c r="CN13" i="21"/>
  <c r="CQ13" i="21" s="1"/>
  <c r="CM37" i="21"/>
  <c r="CP37" i="21" s="1"/>
  <c r="CM38" i="21"/>
  <c r="CP38" i="21" s="1"/>
  <c r="CM30" i="21"/>
  <c r="CP30" i="21" s="1"/>
  <c r="CM29" i="21"/>
  <c r="CP29" i="21" s="1"/>
  <c r="CM22" i="21"/>
  <c r="CP22" i="21" s="1"/>
  <c r="CM21" i="21"/>
  <c r="CP21" i="21" s="1"/>
  <c r="CM13" i="21"/>
  <c r="CP13" i="21" s="1"/>
  <c r="CL38" i="21"/>
  <c r="CL37" i="21"/>
  <c r="CL30" i="21"/>
  <c r="CL29" i="21"/>
  <c r="CL22" i="21"/>
  <c r="CL21" i="21"/>
  <c r="CL13" i="21"/>
  <c r="CK38" i="21"/>
  <c r="CK29" i="21"/>
  <c r="CK37" i="21"/>
  <c r="CK30" i="21"/>
  <c r="CK22" i="21"/>
  <c r="CK21" i="21"/>
  <c r="CK13" i="21"/>
  <c r="BC43" i="21"/>
  <c r="BC23" i="21"/>
  <c r="BC33" i="21"/>
  <c r="BC13" i="21"/>
  <c r="BK43" i="21"/>
  <c r="BX43" i="21" s="1"/>
  <c r="BG13" i="21"/>
  <c r="BK13" i="21"/>
  <c r="BX13" i="21" s="1"/>
  <c r="BK23" i="21"/>
  <c r="BX23" i="21" s="1"/>
  <c r="BK33" i="21"/>
  <c r="BX33" i="21" s="1"/>
  <c r="BJ23" i="21"/>
  <c r="BJ33" i="21"/>
  <c r="BJ43" i="21"/>
  <c r="BJ13" i="21"/>
  <c r="BI23" i="21"/>
  <c r="BI33" i="21"/>
  <c r="BI43" i="21"/>
  <c r="BI13" i="21"/>
  <c r="BF23" i="21"/>
  <c r="BF33" i="21"/>
  <c r="BF43" i="21"/>
  <c r="BF13" i="21"/>
  <c r="BE43" i="21"/>
  <c r="BE33" i="21"/>
  <c r="BE23" i="21"/>
  <c r="BE13" i="21"/>
  <c r="BD23" i="21"/>
  <c r="BL23" i="21" s="1"/>
  <c r="BO23" i="21" s="1"/>
  <c r="BD33" i="21"/>
  <c r="BL33" i="21" s="1"/>
  <c r="BO33" i="21" s="1"/>
  <c r="BD43" i="21"/>
  <c r="BL43" i="21" s="1"/>
  <c r="BO43" i="21" s="1"/>
  <c r="BD13" i="21"/>
  <c r="BL13" i="21" s="1"/>
  <c r="BH23" i="21"/>
  <c r="BH33" i="21"/>
  <c r="BH43" i="21"/>
  <c r="BH13" i="21"/>
  <c r="BG23" i="21"/>
  <c r="BG33" i="21"/>
  <c r="BG43" i="21"/>
  <c r="BB13" i="21"/>
  <c r="BB23" i="21"/>
  <c r="BB33" i="21"/>
  <c r="BB43" i="21"/>
  <c r="BA13" i="21"/>
  <c r="BA23" i="21"/>
  <c r="BA33" i="21"/>
  <c r="BA43" i="21"/>
  <c r="AZ13" i="21"/>
  <c r="AZ23" i="21"/>
  <c r="AZ33" i="21"/>
  <c r="AZ43" i="21"/>
  <c r="AY23" i="21"/>
  <c r="AY33" i="21"/>
  <c r="AY43" i="21"/>
  <c r="AY13" i="21"/>
  <c r="AX23" i="21"/>
  <c r="AX33" i="21"/>
  <c r="AX43" i="21"/>
  <c r="AX13" i="21"/>
  <c r="AW43" i="21"/>
  <c r="AW23" i="21"/>
  <c r="AW13" i="21"/>
  <c r="AW33" i="21"/>
  <c r="H9" i="22"/>
  <c r="H10" i="22" s="1"/>
  <c r="I70" i="21"/>
  <c r="O13" i="21" a="1"/>
  <c r="O13" i="21" s="1"/>
  <c r="U13" i="21" a="1"/>
  <c r="U13" i="21" s="1"/>
  <c r="U70" i="21" a="1"/>
  <c r="U70" i="21" s="1"/>
  <c r="U51" i="21" a="1"/>
  <c r="U51" i="21" s="1"/>
  <c r="U32" i="21" a="1"/>
  <c r="U32" i="21" s="1"/>
  <c r="V32" i="21" a="1"/>
  <c r="V32" i="21" s="1"/>
  <c r="V70" i="21" a="1"/>
  <c r="V70" i="21" s="1"/>
  <c r="V51" i="21" a="1"/>
  <c r="V51" i="21" s="1"/>
  <c r="W70" i="21" a="1"/>
  <c r="W70" i="21" s="1"/>
  <c r="W32" i="21" a="1"/>
  <c r="W32" i="21" s="1"/>
  <c r="W51" i="21" a="1"/>
  <c r="W51" i="21" s="1"/>
  <c r="W13" i="21" a="1"/>
  <c r="W13" i="21" s="1"/>
  <c r="I13" i="21"/>
  <c r="T32" i="21"/>
  <c r="T70" i="21"/>
  <c r="T51" i="21"/>
  <c r="T13" i="21"/>
  <c r="S70" i="21"/>
  <c r="S32" i="21"/>
  <c r="S51" i="21"/>
  <c r="S13" i="21"/>
  <c r="R70" i="21"/>
  <c r="AA70" i="21" s="1"/>
  <c r="R32" i="21"/>
  <c r="AA32" i="21" s="1"/>
  <c r="R51" i="21"/>
  <c r="AA51" i="21" s="1"/>
  <c r="R13" i="21"/>
  <c r="Q70" i="21" a="1"/>
  <c r="Q70" i="21" s="1"/>
  <c r="Q32" i="21" a="1"/>
  <c r="Q32" i="21" s="1"/>
  <c r="Q51" i="21" a="1"/>
  <c r="Q51" i="21" s="1"/>
  <c r="Q13" i="21" a="1"/>
  <c r="Q13" i="21" s="1"/>
  <c r="P13" i="21" a="1"/>
  <c r="P13" i="21" s="1"/>
  <c r="P70" i="21" a="1"/>
  <c r="P70" i="21" s="1"/>
  <c r="P51" i="21" a="1"/>
  <c r="P51" i="21" s="1"/>
  <c r="P32" i="21" a="1"/>
  <c r="P32" i="21" s="1"/>
  <c r="O32" i="21" a="1"/>
  <c r="O32" i="21" s="1"/>
  <c r="O70" i="21" a="1"/>
  <c r="O70" i="21" s="1"/>
  <c r="O51" i="21" a="1"/>
  <c r="O51" i="21" s="1"/>
  <c r="N51" i="21"/>
  <c r="N70" i="21"/>
  <c r="N32" i="21"/>
  <c r="N13" i="21"/>
  <c r="M70" i="21"/>
  <c r="M32" i="21"/>
  <c r="M51" i="21"/>
  <c r="M13" i="21"/>
  <c r="L51" i="21"/>
  <c r="L32" i="21"/>
  <c r="K32" i="21"/>
  <c r="L70" i="21"/>
  <c r="L13" i="21"/>
  <c r="K70" i="21"/>
  <c r="K51" i="21"/>
  <c r="K13" i="21"/>
  <c r="J13" i="21"/>
  <c r="J70" i="21"/>
  <c r="J32" i="21"/>
  <c r="J51" i="21"/>
  <c r="H71" i="21"/>
  <c r="AK71" i="21" s="1"/>
  <c r="H52" i="21"/>
  <c r="AK52" i="21" s="1"/>
  <c r="H14" i="21"/>
  <c r="AK14" i="21" s="1"/>
  <c r="H33" i="21"/>
  <c r="AK33" i="21" s="1"/>
  <c r="N57" i="3" l="1"/>
  <c r="BW4" i="3" s="1"/>
  <c r="F32" i="24"/>
  <c r="N55" i="3" s="1"/>
  <c r="BU4" i="3" s="1"/>
  <c r="N54" i="3"/>
  <c r="BT4" i="3" s="1"/>
  <c r="AC32" i="21"/>
  <c r="AC70" i="21"/>
  <c r="AJ13" i="21"/>
  <c r="AJ51" i="21"/>
  <c r="AJ70" i="21"/>
  <c r="AJ32" i="21"/>
  <c r="CM40" i="21"/>
  <c r="CP40" i="21" s="1"/>
  <c r="CN40" i="21"/>
  <c r="CQ40" i="21" s="1"/>
  <c r="CO40" i="21"/>
  <c r="CR40" i="21" s="1"/>
  <c r="CK40" i="21"/>
  <c r="CL40" i="21"/>
  <c r="CJ41" i="21"/>
  <c r="CJ32" i="21"/>
  <c r="CM31" i="21"/>
  <c r="CP31" i="21" s="1"/>
  <c r="CO31" i="21"/>
  <c r="CR31" i="21" s="1"/>
  <c r="CL31" i="21"/>
  <c r="CN31" i="21"/>
  <c r="CQ31" i="21" s="1"/>
  <c r="CK31" i="21"/>
  <c r="CJ24" i="21"/>
  <c r="CO23" i="21"/>
  <c r="CR23" i="21" s="1"/>
  <c r="CL23" i="21"/>
  <c r="CN23" i="21"/>
  <c r="CQ23" i="21" s="1"/>
  <c r="CK23" i="21"/>
  <c r="CM23" i="21"/>
  <c r="CP23" i="21" s="1"/>
  <c r="CM14" i="21"/>
  <c r="CP14" i="21" s="1"/>
  <c r="CO14" i="21"/>
  <c r="CR14" i="21" s="1"/>
  <c r="CK14" i="21"/>
  <c r="CJ15" i="21"/>
  <c r="CN14" i="21"/>
  <c r="CQ14" i="21" s="1"/>
  <c r="CL14" i="21"/>
  <c r="CC14" i="21"/>
  <c r="BY14" i="21"/>
  <c r="BA44" i="21"/>
  <c r="BY44" i="21"/>
  <c r="AW24" i="21"/>
  <c r="BY24" i="21"/>
  <c r="BB34" i="21"/>
  <c r="BS34" i="21" s="1"/>
  <c r="CC34" i="21"/>
  <c r="CB44" i="21"/>
  <c r="CC44" i="21"/>
  <c r="CB24" i="21"/>
  <c r="CC24" i="21"/>
  <c r="BH34" i="21"/>
  <c r="AW14" i="21"/>
  <c r="CB14" i="21"/>
  <c r="CA34" i="21"/>
  <c r="CB34" i="21"/>
  <c r="BH44" i="21"/>
  <c r="CA44" i="21"/>
  <c r="AW44" i="21"/>
  <c r="BG24" i="21"/>
  <c r="CA24" i="21"/>
  <c r="BI44" i="21"/>
  <c r="BJ14" i="21"/>
  <c r="CA14" i="21"/>
  <c r="BK14" i="21"/>
  <c r="BX14" i="21" s="1"/>
  <c r="AX24" i="21"/>
  <c r="BA24" i="21"/>
  <c r="BK24" i="21"/>
  <c r="BX24" i="21" s="1"/>
  <c r="AX14" i="21"/>
  <c r="BH24" i="21"/>
  <c r="BJ44" i="21"/>
  <c r="BD14" i="21"/>
  <c r="BL14" i="21" s="1"/>
  <c r="BN14" i="21" s="1"/>
  <c r="BA14" i="21"/>
  <c r="AY14" i="21"/>
  <c r="AZ24" i="21"/>
  <c r="BF24" i="21"/>
  <c r="BD24" i="21"/>
  <c r="BL24" i="21" s="1"/>
  <c r="BO24" i="21" s="1"/>
  <c r="BC14" i="21"/>
  <c r="BZ14" i="21"/>
  <c r="BI14" i="21"/>
  <c r="BF34" i="21"/>
  <c r="BZ34" i="21"/>
  <c r="BB14" i="21"/>
  <c r="BS14" i="21" s="1"/>
  <c r="BC44" i="21"/>
  <c r="BZ44" i="21"/>
  <c r="BC24" i="21"/>
  <c r="BZ24" i="21"/>
  <c r="BJ34" i="21"/>
  <c r="AZ34" i="21"/>
  <c r="BD34" i="21"/>
  <c r="BL34" i="21" s="1"/>
  <c r="BO34" i="21" s="1"/>
  <c r="AX34" i="21"/>
  <c r="BE34" i="21"/>
  <c r="AW34" i="21"/>
  <c r="BI34" i="21"/>
  <c r="AY34" i="21"/>
  <c r="BA34" i="21"/>
  <c r="BG34" i="21"/>
  <c r="BB44" i="21"/>
  <c r="BS44" i="21" s="1"/>
  <c r="BE44" i="21"/>
  <c r="AY44" i="21"/>
  <c r="BD44" i="21"/>
  <c r="BL44" i="21" s="1"/>
  <c r="BO44" i="21" s="1"/>
  <c r="BK44" i="21"/>
  <c r="BX44" i="21" s="1"/>
  <c r="BF14" i="21"/>
  <c r="AX44" i="21"/>
  <c r="AY24" i="21"/>
  <c r="BB24" i="21"/>
  <c r="BS24" i="21" s="1"/>
  <c r="BF44" i="21"/>
  <c r="BJ24" i="21"/>
  <c r="AZ14" i="21"/>
  <c r="BG14" i="21"/>
  <c r="BH14" i="21"/>
  <c r="BE14" i="21"/>
  <c r="AZ44" i="21"/>
  <c r="BG44" i="21"/>
  <c r="BE24" i="21"/>
  <c r="BI24" i="21"/>
  <c r="BK34" i="21"/>
  <c r="BX34" i="21" s="1"/>
  <c r="BC34" i="21"/>
  <c r="AV15" i="21"/>
  <c r="BY15" i="21" s="1"/>
  <c r="AV35" i="21"/>
  <c r="BY35" i="21" s="1"/>
  <c r="AV45" i="21"/>
  <c r="BY45" i="21" s="1"/>
  <c r="AV25" i="21"/>
  <c r="BY25" i="21" s="1"/>
  <c r="AO14" i="21"/>
  <c r="AN33" i="21"/>
  <c r="AO33" i="21"/>
  <c r="AN71" i="21"/>
  <c r="AO71" i="21"/>
  <c r="AN52" i="21"/>
  <c r="AO52" i="21"/>
  <c r="AM14" i="21"/>
  <c r="AN14" i="21"/>
  <c r="AL33" i="21"/>
  <c r="AM33" i="21"/>
  <c r="AL52" i="21"/>
  <c r="AM52" i="21"/>
  <c r="AL71" i="21"/>
  <c r="AM71" i="21"/>
  <c r="AL14" i="21"/>
  <c r="U33" i="21" a="1"/>
  <c r="U33" i="21" s="1"/>
  <c r="U71" i="21" a="1"/>
  <c r="U71" i="21" s="1"/>
  <c r="U52" i="21" a="1"/>
  <c r="U52" i="21" s="1"/>
  <c r="BQ23" i="21"/>
  <c r="BN23" i="21"/>
  <c r="BQ33" i="21"/>
  <c r="BQ43" i="21"/>
  <c r="BM23" i="21"/>
  <c r="BQ13" i="21"/>
  <c r="BM43" i="21"/>
  <c r="BN43" i="21"/>
  <c r="BN33" i="21"/>
  <c r="BM33" i="21"/>
  <c r="BM13" i="21"/>
  <c r="BO13" i="21"/>
  <c r="BN13" i="21"/>
  <c r="BP13" i="21"/>
  <c r="BS13" i="21"/>
  <c r="BW13" i="21" s="1"/>
  <c r="BS33" i="21"/>
  <c r="BW33" i="21" s="1"/>
  <c r="BP33" i="21"/>
  <c r="BS23" i="21"/>
  <c r="BW23" i="21" s="1"/>
  <c r="BP23" i="21"/>
  <c r="BP43" i="21"/>
  <c r="BS43" i="21"/>
  <c r="BW43" i="21" s="1"/>
  <c r="H11" i="22"/>
  <c r="H12" i="22" s="1"/>
  <c r="U14" i="21" a="1"/>
  <c r="U14" i="21" s="1"/>
  <c r="W14" i="21" a="1"/>
  <c r="W14" i="21" s="1"/>
  <c r="V14" i="21" a="1"/>
  <c r="V14" i="21" s="1"/>
  <c r="W52" i="21" a="1"/>
  <c r="W52" i="21" s="1"/>
  <c r="V52" i="21" a="1"/>
  <c r="V52" i="21" s="1"/>
  <c r="W33" i="21" a="1"/>
  <c r="W33" i="21" s="1"/>
  <c r="V33" i="21" a="1"/>
  <c r="V33" i="21" s="1"/>
  <c r="W71" i="21" a="1"/>
  <c r="W71" i="21" s="1"/>
  <c r="V71" i="21" a="1"/>
  <c r="V71" i="21" s="1"/>
  <c r="AI32" i="21"/>
  <c r="AI51" i="21"/>
  <c r="AI70" i="21"/>
  <c r="I52" i="21"/>
  <c r="I33" i="21"/>
  <c r="I14" i="21"/>
  <c r="I71" i="21"/>
  <c r="Z32" i="21"/>
  <c r="S71" i="21"/>
  <c r="T71" i="21"/>
  <c r="S14" i="21"/>
  <c r="T14" i="21"/>
  <c r="S52" i="21"/>
  <c r="T52" i="21"/>
  <c r="AC52" i="21" s="1"/>
  <c r="S33" i="21"/>
  <c r="T33" i="21"/>
  <c r="Z51" i="21"/>
  <c r="Z70" i="21"/>
  <c r="Q33" i="21" a="1"/>
  <c r="Q33" i="21" s="1"/>
  <c r="R33" i="21"/>
  <c r="AA33" i="21" s="1"/>
  <c r="Q14" i="21" a="1"/>
  <c r="Q14" i="21" s="1"/>
  <c r="R14" i="21"/>
  <c r="Q52" i="21" a="1"/>
  <c r="Q52" i="21" s="1"/>
  <c r="R52" i="21"/>
  <c r="AA52" i="21" s="1"/>
  <c r="Q71" i="21" a="1"/>
  <c r="Q71" i="21" s="1"/>
  <c r="R71" i="21"/>
  <c r="AA71" i="21" s="1"/>
  <c r="Y70" i="21"/>
  <c r="Y32" i="21"/>
  <c r="O71" i="21" a="1"/>
  <c r="O71" i="21" s="1"/>
  <c r="P71" i="21" a="1"/>
  <c r="P71" i="21" s="1"/>
  <c r="Y51" i="21"/>
  <c r="O33" i="21" a="1"/>
  <c r="O33" i="21" s="1"/>
  <c r="P33" i="21" a="1"/>
  <c r="P33" i="21" s="1"/>
  <c r="O14" i="21" a="1"/>
  <c r="O14" i="21" s="1"/>
  <c r="P14" i="21" a="1"/>
  <c r="P14" i="21" s="1"/>
  <c r="O52" i="21" a="1"/>
  <c r="O52" i="21" s="1"/>
  <c r="P52" i="21" a="1"/>
  <c r="P52" i="21" s="1"/>
  <c r="N14" i="21"/>
  <c r="AB51" i="21" a="1"/>
  <c r="AB51" i="21" s="1"/>
  <c r="AF51" i="21" s="1"/>
  <c r="M52" i="21"/>
  <c r="N52" i="21"/>
  <c r="M33" i="21"/>
  <c r="N33" i="21"/>
  <c r="M71" i="21"/>
  <c r="N71" i="21"/>
  <c r="L14" i="21"/>
  <c r="M14" i="21"/>
  <c r="AB32" i="21" a="1"/>
  <c r="AB32" i="21" s="1"/>
  <c r="AF32" i="21" s="1"/>
  <c r="K52" i="21"/>
  <c r="L52" i="21"/>
  <c r="K71" i="21"/>
  <c r="L71" i="21"/>
  <c r="K33" i="21"/>
  <c r="L33" i="21"/>
  <c r="AB70" i="21" a="1"/>
  <c r="AB70" i="21" s="1"/>
  <c r="AF70" i="21" s="1"/>
  <c r="J14" i="21"/>
  <c r="K14" i="21"/>
  <c r="X32" i="21"/>
  <c r="X51" i="21"/>
  <c r="X70" i="21"/>
  <c r="J33" i="21"/>
  <c r="J52" i="21"/>
  <c r="J71" i="21"/>
  <c r="AB13" i="21" a="1"/>
  <c r="AB13" i="21" s="1"/>
  <c r="Y13" i="21"/>
  <c r="Z13" i="21"/>
  <c r="AI13" i="21"/>
  <c r="X13" i="21"/>
  <c r="H15" i="21"/>
  <c r="H53" i="21"/>
  <c r="AK53" i="21" s="1"/>
  <c r="H72" i="21"/>
  <c r="AK72" i="21" s="1"/>
  <c r="H34" i="21"/>
  <c r="AK34" i="21" s="1"/>
  <c r="Y4" i="6"/>
  <c r="Y5" i="6" s="1"/>
  <c r="Y6" i="6" s="1"/>
  <c r="Y7" i="6" s="1"/>
  <c r="Y8" i="6" s="1"/>
  <c r="Y9" i="6" s="1"/>
  <c r="Y10" i="6" s="1"/>
  <c r="Y11" i="6" s="1"/>
  <c r="Y12" i="6" s="1"/>
  <c r="U35" i="1"/>
  <c r="I35" i="1" s="1"/>
  <c r="U36" i="1"/>
  <c r="I36" i="1" s="1"/>
  <c r="U37" i="1"/>
  <c r="I37" i="1" s="1"/>
  <c r="U38" i="1"/>
  <c r="I38" i="1" s="1"/>
  <c r="CV34" i="3"/>
  <c r="CV33" i="3"/>
  <c r="CW32" i="3"/>
  <c r="CV32" i="3"/>
  <c r="CU32" i="3"/>
  <c r="CW31" i="3"/>
  <c r="CV31" i="3"/>
  <c r="CU31" i="3"/>
  <c r="CO6" i="3"/>
  <c r="CO7" i="3" s="1"/>
  <c r="CO8" i="3" s="1"/>
  <c r="CO9" i="3" s="1"/>
  <c r="CO10" i="3" s="1"/>
  <c r="CO11" i="3" s="1"/>
  <c r="CO12" i="3" s="1"/>
  <c r="CO13" i="3" s="1"/>
  <c r="CO14" i="3" s="1"/>
  <c r="CO15" i="3" s="1"/>
  <c r="CO16" i="3" s="1"/>
  <c r="CO17" i="3" s="1"/>
  <c r="CO18" i="3" s="1"/>
  <c r="CO19" i="3" s="1"/>
  <c r="CO20" i="3" s="1"/>
  <c r="CO21" i="3" s="1"/>
  <c r="CO22" i="3" s="1"/>
  <c r="CO23" i="3" s="1"/>
  <c r="CO24" i="3" s="1"/>
  <c r="CO25" i="3" s="1"/>
  <c r="CO26" i="3" s="1"/>
  <c r="CO27" i="3" s="1"/>
  <c r="CO28" i="3" s="1"/>
  <c r="CO29" i="3" s="1"/>
  <c r="CO30" i="3" s="1"/>
  <c r="CO31" i="3" s="1"/>
  <c r="CO32" i="3" s="1"/>
  <c r="CO33" i="3" s="1"/>
  <c r="CO34" i="3" s="1"/>
  <c r="CO35" i="3" s="1"/>
  <c r="CO36" i="3" s="1"/>
  <c r="CQ36" i="3"/>
  <c r="CP36" i="3"/>
  <c r="CQ35" i="3"/>
  <c r="CP35" i="3"/>
  <c r="CQ34" i="3"/>
  <c r="CP34" i="3"/>
  <c r="CQ33" i="3"/>
  <c r="CP33" i="3"/>
  <c r="CQ32" i="3"/>
  <c r="CP32" i="3"/>
  <c r="CQ31" i="3"/>
  <c r="CP31" i="3"/>
  <c r="CQ30" i="3"/>
  <c r="CP30" i="3"/>
  <c r="CQ29" i="3"/>
  <c r="CP29" i="3"/>
  <c r="CQ28" i="3"/>
  <c r="CP28" i="3"/>
  <c r="CQ27" i="3"/>
  <c r="CP27" i="3"/>
  <c r="CQ26" i="3"/>
  <c r="CP26" i="3"/>
  <c r="CQ25" i="3"/>
  <c r="CP25" i="3"/>
  <c r="CQ24" i="3"/>
  <c r="CP24" i="3"/>
  <c r="CQ23" i="3"/>
  <c r="CP23" i="3"/>
  <c r="CQ22" i="3"/>
  <c r="CP22" i="3"/>
  <c r="CQ21" i="3"/>
  <c r="CP21" i="3"/>
  <c r="CQ20" i="3"/>
  <c r="CP20" i="3"/>
  <c r="CQ19" i="3"/>
  <c r="CP19" i="3"/>
  <c r="CQ18" i="3"/>
  <c r="CP18" i="3"/>
  <c r="CQ17" i="3"/>
  <c r="CP17" i="3"/>
  <c r="CQ16" i="3"/>
  <c r="CP16" i="3"/>
  <c r="CQ15" i="3"/>
  <c r="CP15" i="3"/>
  <c r="CQ14" i="3"/>
  <c r="CP14" i="3"/>
  <c r="CQ13" i="3"/>
  <c r="CP13" i="3"/>
  <c r="CQ12" i="3"/>
  <c r="CP12" i="3"/>
  <c r="CQ11" i="3"/>
  <c r="CP11" i="3"/>
  <c r="CQ10" i="3"/>
  <c r="CP10" i="3"/>
  <c r="CQ9" i="3"/>
  <c r="CP9" i="3"/>
  <c r="CQ8" i="3"/>
  <c r="CP8" i="3"/>
  <c r="CQ7" i="3"/>
  <c r="CP7" i="3"/>
  <c r="CQ6" i="3"/>
  <c r="CP6" i="3"/>
  <c r="CH6" i="3"/>
  <c r="CH7" i="3" s="1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H21" i="3" s="1"/>
  <c r="CH22" i="3" s="1"/>
  <c r="CH23" i="3" s="1"/>
  <c r="CH24" i="3" s="1"/>
  <c r="CH25" i="3" s="1"/>
  <c r="CH26" i="3" s="1"/>
  <c r="CH27" i="3" s="1"/>
  <c r="CH28" i="3" s="1"/>
  <c r="CH29" i="3" s="1"/>
  <c r="CH30" i="3" s="1"/>
  <c r="CH31" i="3" s="1"/>
  <c r="CH32" i="3" s="1"/>
  <c r="CH33" i="3" s="1"/>
  <c r="CH34" i="3" s="1"/>
  <c r="CH35" i="3" s="1"/>
  <c r="CH36" i="3" s="1"/>
  <c r="CG6" i="3"/>
  <c r="CG7" i="3" s="1"/>
  <c r="CG8" i="3" s="1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G35" i="3" s="1"/>
  <c r="CG36" i="3" s="1"/>
  <c r="CF6" i="3"/>
  <c r="CF7" i="3" s="1"/>
  <c r="CF8" i="3" s="1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F21" i="3" s="1"/>
  <c r="CF22" i="3" s="1"/>
  <c r="CF23" i="3" s="1"/>
  <c r="CF24" i="3" s="1"/>
  <c r="CF25" i="3" s="1"/>
  <c r="CF26" i="3" s="1"/>
  <c r="CF27" i="3" s="1"/>
  <c r="CF28" i="3" s="1"/>
  <c r="CF29" i="3" s="1"/>
  <c r="CF30" i="3" s="1"/>
  <c r="CF31" i="3" s="1"/>
  <c r="CF32" i="3" s="1"/>
  <c r="CF33" i="3" s="1"/>
  <c r="CF34" i="3" s="1"/>
  <c r="CF35" i="3" s="1"/>
  <c r="CF36" i="3" s="1"/>
  <c r="CE6" i="3"/>
  <c r="CE7" i="3" s="1"/>
  <c r="CE8" i="3" s="1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E21" i="3" s="1"/>
  <c r="CE22" i="3" s="1"/>
  <c r="CE23" i="3" s="1"/>
  <c r="CE24" i="3" s="1"/>
  <c r="CE25" i="3" s="1"/>
  <c r="CE26" i="3" s="1"/>
  <c r="CE27" i="3" s="1"/>
  <c r="CE28" i="3" s="1"/>
  <c r="CE29" i="3" s="1"/>
  <c r="CE30" i="3" s="1"/>
  <c r="CE31" i="3" s="1"/>
  <c r="CE32" i="3" s="1"/>
  <c r="CE33" i="3" s="1"/>
  <c r="CE34" i="3" s="1"/>
  <c r="CE35" i="3" s="1"/>
  <c r="CE36" i="3" s="1"/>
  <c r="CD6" i="3"/>
  <c r="CD7" i="3" s="1"/>
  <c r="CD8" i="3" s="1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C6" i="3"/>
  <c r="CC7" i="3" s="1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C21" i="3" s="1"/>
  <c r="CC22" i="3" s="1"/>
  <c r="CC23" i="3" s="1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C35" i="3" s="1"/>
  <c r="CC36" i="3" s="1"/>
  <c r="AL4" i="3"/>
  <c r="AK4" i="3"/>
  <c r="AJ4" i="3"/>
  <c r="AI4" i="3"/>
  <c r="AP4" i="3"/>
  <c r="N28" i="3"/>
  <c r="AT4" i="3" s="1"/>
  <c r="N31" i="3"/>
  <c r="AW4" i="3" s="1"/>
  <c r="N30" i="3"/>
  <c r="AV4" i="3" s="1"/>
  <c r="N29" i="3"/>
  <c r="AU4" i="3" s="1"/>
  <c r="N26" i="3"/>
  <c r="AR4" i="3" s="1"/>
  <c r="N27" i="3"/>
  <c r="AS4" i="3" s="1"/>
  <c r="N25" i="3"/>
  <c r="AQ4" i="3" s="1"/>
  <c r="M51" i="3"/>
  <c r="M49" i="3"/>
  <c r="M45" i="3"/>
  <c r="M47" i="3" s="1"/>
  <c r="M37" i="3"/>
  <c r="M35" i="3"/>
  <c r="N33" i="3"/>
  <c r="N32" i="3" s="1"/>
  <c r="AX4" i="3" s="1"/>
  <c r="M22" i="3"/>
  <c r="M23" i="3" s="1"/>
  <c r="M7" i="3"/>
  <c r="N3" i="3"/>
  <c r="U4" i="3" s="1"/>
  <c r="K3" i="3"/>
  <c r="K4" i="3" s="1"/>
  <c r="K5" i="3" s="1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N2" i="3"/>
  <c r="T4" i="3" s="1"/>
  <c r="AC71" i="21" l="1"/>
  <c r="AC33" i="21"/>
  <c r="V4" i="3"/>
  <c r="AJ52" i="21"/>
  <c r="AJ14" i="21"/>
  <c r="AJ71" i="21"/>
  <c r="AJ33" i="21"/>
  <c r="CO41" i="21"/>
  <c r="CR41" i="21" s="1"/>
  <c r="CK41" i="21"/>
  <c r="CJ42" i="21"/>
  <c r="CM41" i="21"/>
  <c r="CP41" i="21" s="1"/>
  <c r="CN41" i="21"/>
  <c r="CQ41" i="21" s="1"/>
  <c r="CL41" i="21"/>
  <c r="CJ33" i="21"/>
  <c r="CO32" i="21"/>
  <c r="CR32" i="21" s="1"/>
  <c r="CM32" i="21"/>
  <c r="CP32" i="21" s="1"/>
  <c r="CK32" i="21"/>
  <c r="CN32" i="21"/>
  <c r="CQ32" i="21" s="1"/>
  <c r="CL32" i="21"/>
  <c r="CM24" i="21"/>
  <c r="CP24" i="21" s="1"/>
  <c r="CJ25" i="21"/>
  <c r="CO24" i="21"/>
  <c r="CR24" i="21" s="1"/>
  <c r="CL24" i="21"/>
  <c r="CK24" i="21"/>
  <c r="CN24" i="21"/>
  <c r="CQ24" i="21" s="1"/>
  <c r="CM15" i="21"/>
  <c r="CP15" i="21" s="1"/>
  <c r="CO15" i="21"/>
  <c r="CR15" i="21" s="1"/>
  <c r="CK15" i="21"/>
  <c r="CL15" i="21"/>
  <c r="CN15" i="21"/>
  <c r="CQ15" i="21" s="1"/>
  <c r="CJ16" i="21"/>
  <c r="AO15" i="21"/>
  <c r="AK15" i="21"/>
  <c r="BQ34" i="21"/>
  <c r="BP34" i="21"/>
  <c r="CB25" i="21"/>
  <c r="CC25" i="21"/>
  <c r="CB45" i="21"/>
  <c r="CC45" i="21"/>
  <c r="CB35" i="21"/>
  <c r="CC35" i="21"/>
  <c r="CB15" i="21"/>
  <c r="CC15" i="21"/>
  <c r="BQ44" i="21"/>
  <c r="BW14" i="21"/>
  <c r="BP44" i="21"/>
  <c r="BP14" i="21"/>
  <c r="BQ24" i="21"/>
  <c r="BZ25" i="21"/>
  <c r="CA25" i="21"/>
  <c r="BZ45" i="21"/>
  <c r="CA45" i="21"/>
  <c r="BW44" i="21"/>
  <c r="BZ35" i="21"/>
  <c r="CA35" i="21"/>
  <c r="BZ15" i="21"/>
  <c r="CA15" i="21"/>
  <c r="BM24" i="21"/>
  <c r="BN24" i="21"/>
  <c r="BM14" i="21"/>
  <c r="BQ14" i="21"/>
  <c r="BO14" i="21"/>
  <c r="BM34" i="21"/>
  <c r="BW24" i="21"/>
  <c r="BN44" i="21"/>
  <c r="BM44" i="21"/>
  <c r="BN34" i="21"/>
  <c r="BP24" i="21"/>
  <c r="BW34" i="21"/>
  <c r="AV26" i="21"/>
  <c r="BY26" i="21" s="1"/>
  <c r="BI25" i="21"/>
  <c r="BD25" i="21"/>
  <c r="BL25" i="21" s="1"/>
  <c r="AY25" i="21"/>
  <c r="BK25" i="21"/>
  <c r="BX25" i="21" s="1"/>
  <c r="BF25" i="21"/>
  <c r="BH25" i="21"/>
  <c r="AX25" i="21"/>
  <c r="BA25" i="21"/>
  <c r="BC25" i="21"/>
  <c r="BJ25" i="21"/>
  <c r="BE25" i="21"/>
  <c r="BG25" i="21"/>
  <c r="AZ25" i="21"/>
  <c r="AW25" i="21"/>
  <c r="BB25" i="21"/>
  <c r="BS25" i="21" s="1"/>
  <c r="AV46" i="21"/>
  <c r="BY46" i="21" s="1"/>
  <c r="BJ45" i="21"/>
  <c r="BH45" i="21"/>
  <c r="BG45" i="21"/>
  <c r="BA45" i="21"/>
  <c r="AX45" i="21"/>
  <c r="AZ45" i="21"/>
  <c r="BI45" i="21"/>
  <c r="AW45" i="21"/>
  <c r="BK45" i="21"/>
  <c r="BX45" i="21" s="1"/>
  <c r="BD45" i="21"/>
  <c r="BL45" i="21" s="1"/>
  <c r="AY45" i="21"/>
  <c r="BC45" i="21"/>
  <c r="BE45" i="21"/>
  <c r="BB45" i="21"/>
  <c r="BS45" i="21" s="1"/>
  <c r="BF45" i="21"/>
  <c r="AV36" i="21"/>
  <c r="BY36" i="21" s="1"/>
  <c r="BK35" i="21"/>
  <c r="BX35" i="21" s="1"/>
  <c r="BD35" i="21"/>
  <c r="BL35" i="21" s="1"/>
  <c r="AY35" i="21"/>
  <c r="BI35" i="21"/>
  <c r="BF35" i="21"/>
  <c r="BE35" i="21"/>
  <c r="BB35" i="21"/>
  <c r="BS35" i="21" s="1"/>
  <c r="AZ35" i="21"/>
  <c r="BC35" i="21"/>
  <c r="BA35" i="21"/>
  <c r="BH35" i="21"/>
  <c r="BJ35" i="21"/>
  <c r="BG35" i="21"/>
  <c r="AX35" i="21"/>
  <c r="AW35" i="21"/>
  <c r="AV16" i="21"/>
  <c r="BY16" i="21" s="1"/>
  <c r="BJ15" i="21"/>
  <c r="BA15" i="21"/>
  <c r="BG15" i="21"/>
  <c r="BE15" i="21"/>
  <c r="BH15" i="21"/>
  <c r="BI15" i="21"/>
  <c r="AY15" i="21"/>
  <c r="AX15" i="21"/>
  <c r="AW15" i="21"/>
  <c r="BC15" i="21"/>
  <c r="BK15" i="21"/>
  <c r="BX15" i="21" s="1"/>
  <c r="BD15" i="21"/>
  <c r="BL15" i="21" s="1"/>
  <c r="BB15" i="21"/>
  <c r="BS15" i="21" s="1"/>
  <c r="AZ15" i="21"/>
  <c r="BF15" i="21"/>
  <c r="AN34" i="21"/>
  <c r="AO34" i="21"/>
  <c r="AN72" i="21"/>
  <c r="AO72" i="21"/>
  <c r="AN53" i="21"/>
  <c r="AO53" i="21"/>
  <c r="AM15" i="21"/>
  <c r="AN15" i="21"/>
  <c r="AL34" i="21"/>
  <c r="AM34" i="21"/>
  <c r="AL72" i="21"/>
  <c r="AM72" i="21"/>
  <c r="AL53" i="21"/>
  <c r="AM53" i="21"/>
  <c r="AL15" i="21"/>
  <c r="U34" i="21" a="1"/>
  <c r="U34" i="21" s="1"/>
  <c r="U72" i="21" a="1"/>
  <c r="U72" i="21" s="1"/>
  <c r="U53" i="21" a="1"/>
  <c r="U53" i="21" s="1"/>
  <c r="V38" i="1"/>
  <c r="W38" i="1"/>
  <c r="X38" i="1"/>
  <c r="Y38" i="1"/>
  <c r="W37" i="1"/>
  <c r="Y37" i="1"/>
  <c r="X37" i="1"/>
  <c r="V37" i="1"/>
  <c r="V36" i="1"/>
  <c r="W36" i="1"/>
  <c r="X36" i="1"/>
  <c r="Y36" i="1"/>
  <c r="V35" i="1"/>
  <c r="W35" i="1"/>
  <c r="X35" i="1"/>
  <c r="Y35" i="1"/>
  <c r="U15" i="21" a="1"/>
  <c r="U15" i="21" s="1"/>
  <c r="W72" i="21" a="1"/>
  <c r="W72" i="21" s="1"/>
  <c r="V72" i="21" a="1"/>
  <c r="V72" i="21" s="1"/>
  <c r="W34" i="21" a="1"/>
  <c r="W34" i="21" s="1"/>
  <c r="V34" i="21" a="1"/>
  <c r="V34" i="21" s="1"/>
  <c r="W53" i="21" a="1"/>
  <c r="W53" i="21" s="1"/>
  <c r="V53" i="21" a="1"/>
  <c r="V53" i="21" s="1"/>
  <c r="W15" i="21" a="1"/>
  <c r="W15" i="21" s="1"/>
  <c r="V15" i="21" a="1"/>
  <c r="V15" i="21" s="1"/>
  <c r="AI52" i="21"/>
  <c r="AI14" i="21"/>
  <c r="AI71" i="21"/>
  <c r="AI33" i="21"/>
  <c r="I34" i="21"/>
  <c r="I53" i="21"/>
  <c r="I72" i="21"/>
  <c r="I15" i="21"/>
  <c r="S34" i="21"/>
  <c r="T34" i="21"/>
  <c r="Z71" i="21"/>
  <c r="S72" i="21"/>
  <c r="T72" i="21"/>
  <c r="Z52" i="21"/>
  <c r="S15" i="21"/>
  <c r="T15" i="21"/>
  <c r="Z33" i="21"/>
  <c r="Z14" i="21"/>
  <c r="S53" i="21"/>
  <c r="T53" i="21"/>
  <c r="AC53" i="21" s="1"/>
  <c r="Q34" i="21" a="1"/>
  <c r="Q34" i="21" s="1"/>
  <c r="R34" i="21"/>
  <c r="AA34" i="21" s="1"/>
  <c r="Q72" i="21" a="1"/>
  <c r="Q72" i="21" s="1"/>
  <c r="R72" i="21"/>
  <c r="AA72" i="21" s="1"/>
  <c r="Q53" i="21" a="1"/>
  <c r="Q53" i="21" s="1"/>
  <c r="R53" i="21"/>
  <c r="AA53" i="21" s="1"/>
  <c r="Q15" i="21" a="1"/>
  <c r="Q15" i="21" s="1"/>
  <c r="R15" i="21"/>
  <c r="AA15" i="21" s="1"/>
  <c r="O72" i="21" a="1"/>
  <c r="O72" i="21" s="1"/>
  <c r="P72" i="21" a="1"/>
  <c r="P72" i="21" s="1"/>
  <c r="O53" i="21" a="1"/>
  <c r="O53" i="21" s="1"/>
  <c r="P53" i="21" a="1"/>
  <c r="P53" i="21" s="1"/>
  <c r="Y14" i="21"/>
  <c r="O15" i="21" a="1"/>
  <c r="O15" i="21" s="1"/>
  <c r="P15" i="21" a="1"/>
  <c r="P15" i="21" s="1"/>
  <c r="O34" i="21" a="1"/>
  <c r="O34" i="21" s="1"/>
  <c r="P34" i="21" a="1"/>
  <c r="P34" i="21" s="1"/>
  <c r="N15" i="21"/>
  <c r="AB71" i="21" a="1"/>
  <c r="AB71" i="21" s="1"/>
  <c r="AG71" i="21" s="1"/>
  <c r="AG51" i="21"/>
  <c r="M72" i="21"/>
  <c r="N72" i="21"/>
  <c r="M34" i="21"/>
  <c r="N34" i="21"/>
  <c r="M53" i="21"/>
  <c r="N53" i="21"/>
  <c r="AB14" i="21" a="1"/>
  <c r="AB14" i="21" s="1"/>
  <c r="L15" i="21"/>
  <c r="M15" i="21"/>
  <c r="AB33" i="21" a="1"/>
  <c r="AB33" i="21" s="1"/>
  <c r="AG33" i="21" s="1"/>
  <c r="AG32" i="21"/>
  <c r="AB52" i="21" a="1"/>
  <c r="AB52" i="21" s="1"/>
  <c r="AG52" i="21" s="1"/>
  <c r="K34" i="21"/>
  <c r="L34" i="21"/>
  <c r="K72" i="21"/>
  <c r="L72" i="21"/>
  <c r="K53" i="21"/>
  <c r="L53" i="21"/>
  <c r="AG70" i="21"/>
  <c r="J15" i="21"/>
  <c r="K15" i="21"/>
  <c r="J34" i="21"/>
  <c r="J72" i="21"/>
  <c r="J53" i="21"/>
  <c r="H16" i="21"/>
  <c r="H54" i="21"/>
  <c r="AK54" i="21" s="1"/>
  <c r="X52" i="21"/>
  <c r="Y52" i="21"/>
  <c r="X71" i="21"/>
  <c r="Y71" i="21"/>
  <c r="H73" i="21"/>
  <c r="AK73" i="21" s="1"/>
  <c r="X14" i="21"/>
  <c r="H35" i="21"/>
  <c r="AK35" i="21" s="1"/>
  <c r="X33" i="21"/>
  <c r="Y33" i="21"/>
  <c r="AY4" i="3"/>
  <c r="M27" i="3"/>
  <c r="M28" i="3" s="1"/>
  <c r="M29" i="3" s="1"/>
  <c r="M30" i="3" s="1"/>
  <c r="M31" i="3" s="1"/>
  <c r="M32" i="3"/>
  <c r="M33" i="3" s="1"/>
  <c r="M24" i="3"/>
  <c r="M25" i="3" s="1"/>
  <c r="M26" i="3" s="1"/>
  <c r="AC72" i="21" l="1"/>
  <c r="AC34" i="21"/>
  <c r="BW15" i="21"/>
  <c r="AJ72" i="21"/>
  <c r="AJ15" i="21"/>
  <c r="AJ34" i="21"/>
  <c r="AJ53" i="21"/>
  <c r="CJ43" i="21"/>
  <c r="CN42" i="21"/>
  <c r="CQ42" i="21" s="1"/>
  <c r="CM42" i="21"/>
  <c r="CP42" i="21" s="1"/>
  <c r="CK42" i="21"/>
  <c r="CL42" i="21"/>
  <c r="CO42" i="21"/>
  <c r="CR42" i="21" s="1"/>
  <c r="CL33" i="21"/>
  <c r="CJ34" i="21"/>
  <c r="CO33" i="21"/>
  <c r="CR33" i="21" s="1"/>
  <c r="CK33" i="21"/>
  <c r="CM33" i="21"/>
  <c r="CP33" i="21" s="1"/>
  <c r="CN33" i="21"/>
  <c r="CQ33" i="21" s="1"/>
  <c r="CM25" i="21"/>
  <c r="CP25" i="21" s="1"/>
  <c r="CN25" i="21"/>
  <c r="CQ25" i="21" s="1"/>
  <c r="CL25" i="21"/>
  <c r="CK25" i="21"/>
  <c r="CJ26" i="21"/>
  <c r="CO25" i="21"/>
  <c r="CR25" i="21" s="1"/>
  <c r="CL16" i="21"/>
  <c r="CJ17" i="21"/>
  <c r="CO16" i="21"/>
  <c r="CR16" i="21" s="1"/>
  <c r="CM16" i="21"/>
  <c r="CP16" i="21" s="1"/>
  <c r="CK16" i="21"/>
  <c r="CN16" i="21"/>
  <c r="CQ16" i="21" s="1"/>
  <c r="AO16" i="21"/>
  <c r="AK16" i="21"/>
  <c r="CB26" i="21"/>
  <c r="CC26" i="21"/>
  <c r="CB36" i="21"/>
  <c r="CC36" i="21"/>
  <c r="CB46" i="21"/>
  <c r="CC46" i="21"/>
  <c r="CB16" i="21"/>
  <c r="CC16" i="21"/>
  <c r="BZ26" i="21"/>
  <c r="CA26" i="21"/>
  <c r="BZ36" i="21"/>
  <c r="CA36" i="21"/>
  <c r="BZ46" i="21"/>
  <c r="CA46" i="21"/>
  <c r="BZ16" i="21"/>
  <c r="CA16" i="21"/>
  <c r="BW45" i="21"/>
  <c r="BQ25" i="21"/>
  <c r="BP35" i="21"/>
  <c r="BP25" i="21"/>
  <c r="BQ15" i="21"/>
  <c r="BQ45" i="21"/>
  <c r="BP45" i="21"/>
  <c r="BW35" i="21"/>
  <c r="BP15" i="21"/>
  <c r="AV47" i="21"/>
  <c r="BY47" i="21" s="1"/>
  <c r="AX46" i="21"/>
  <c r="BD46" i="21"/>
  <c r="BL46" i="21" s="1"/>
  <c r="AY46" i="21"/>
  <c r="AW46" i="21"/>
  <c r="BG46" i="21"/>
  <c r="BF46" i="21"/>
  <c r="BK46" i="21"/>
  <c r="BX46" i="21" s="1"/>
  <c r="BB46" i="21"/>
  <c r="BS46" i="21" s="1"/>
  <c r="BI46" i="21"/>
  <c r="BE46" i="21"/>
  <c r="BJ46" i="21"/>
  <c r="AZ46" i="21"/>
  <c r="BH46" i="21"/>
  <c r="BC46" i="21"/>
  <c r="BA46" i="21"/>
  <c r="AV37" i="21"/>
  <c r="BY37" i="21" s="1"/>
  <c r="BE36" i="21"/>
  <c r="AY36" i="21"/>
  <c r="BC36" i="21"/>
  <c r="BF36" i="21"/>
  <c r="BA36" i="21"/>
  <c r="BB36" i="21"/>
  <c r="BS36" i="21" s="1"/>
  <c r="BH36" i="21"/>
  <c r="BG36" i="21"/>
  <c r="BJ36" i="21"/>
  <c r="AZ36" i="21"/>
  <c r="AX36" i="21"/>
  <c r="BI36" i="21"/>
  <c r="BD36" i="21"/>
  <c r="BL36" i="21" s="1"/>
  <c r="BK36" i="21"/>
  <c r="BX36" i="21" s="1"/>
  <c r="AW36" i="21"/>
  <c r="BO45" i="21"/>
  <c r="BN45" i="21"/>
  <c r="BM45" i="21"/>
  <c r="BN15" i="21"/>
  <c r="BM15" i="21"/>
  <c r="BO15" i="21"/>
  <c r="BW25" i="21"/>
  <c r="AV17" i="21"/>
  <c r="BY17" i="21" s="1"/>
  <c r="BC16" i="21"/>
  <c r="BD16" i="21"/>
  <c r="BL16" i="21" s="1"/>
  <c r="AZ16" i="21"/>
  <c r="AY16" i="21"/>
  <c r="BB16" i="21"/>
  <c r="BS16" i="21" s="1"/>
  <c r="BF16" i="21"/>
  <c r="AW16" i="21"/>
  <c r="BK16" i="21"/>
  <c r="BX16" i="21" s="1"/>
  <c r="BJ16" i="21"/>
  <c r="BH16" i="21"/>
  <c r="BA16" i="21"/>
  <c r="AX16" i="21"/>
  <c r="BE16" i="21"/>
  <c r="BG16" i="21"/>
  <c r="BI16" i="21"/>
  <c r="BQ35" i="21"/>
  <c r="BO25" i="21"/>
  <c r="BM25" i="21"/>
  <c r="BN25" i="21"/>
  <c r="BO35" i="21"/>
  <c r="BN35" i="21"/>
  <c r="BM35" i="21"/>
  <c r="AV27" i="21"/>
  <c r="BY27" i="21" s="1"/>
  <c r="BF26" i="21"/>
  <c r="AW26" i="21"/>
  <c r="BA26" i="21"/>
  <c r="BK26" i="21"/>
  <c r="BX26" i="21" s="1"/>
  <c r="BJ26" i="21"/>
  <c r="BG26" i="21"/>
  <c r="AX26" i="21"/>
  <c r="AZ26" i="21"/>
  <c r="BE26" i="21"/>
  <c r="BC26" i="21"/>
  <c r="BI26" i="21"/>
  <c r="BH26" i="21"/>
  <c r="AY26" i="21"/>
  <c r="BD26" i="21"/>
  <c r="BL26" i="21" s="1"/>
  <c r="BB26" i="21"/>
  <c r="BS26" i="21" s="1"/>
  <c r="AN35" i="21"/>
  <c r="AO35" i="21"/>
  <c r="AN54" i="21"/>
  <c r="AO54" i="21"/>
  <c r="AN73" i="21"/>
  <c r="AO73" i="21"/>
  <c r="AM16" i="21"/>
  <c r="AN16" i="21"/>
  <c r="AL54" i="21"/>
  <c r="AM54" i="21"/>
  <c r="AL73" i="21"/>
  <c r="AM73" i="21"/>
  <c r="AL35" i="21"/>
  <c r="AM35" i="21"/>
  <c r="AL16" i="21"/>
  <c r="U54" i="21" a="1"/>
  <c r="U54" i="21" s="1"/>
  <c r="U35" i="21" a="1"/>
  <c r="U35" i="21" s="1"/>
  <c r="U73" i="21" a="1"/>
  <c r="U73" i="21" s="1"/>
  <c r="U16" i="21" a="1"/>
  <c r="U16" i="21" s="1"/>
  <c r="W35" i="21" a="1"/>
  <c r="W35" i="21" s="1"/>
  <c r="V35" i="21" a="1"/>
  <c r="V35" i="21" s="1"/>
  <c r="W54" i="21" a="1"/>
  <c r="W54" i="21" s="1"/>
  <c r="V54" i="21" a="1"/>
  <c r="V54" i="21" s="1"/>
  <c r="W16" i="21" a="1"/>
  <c r="W16" i="21" s="1"/>
  <c r="V16" i="21" a="1"/>
  <c r="V16" i="21" s="1"/>
  <c r="W73" i="21" a="1"/>
  <c r="W73" i="21" s="1"/>
  <c r="V73" i="21" a="1"/>
  <c r="V73" i="21" s="1"/>
  <c r="AI53" i="21"/>
  <c r="AI34" i="21"/>
  <c r="AI72" i="21"/>
  <c r="AI15" i="21"/>
  <c r="I54" i="21"/>
  <c r="I35" i="21"/>
  <c r="I16" i="21"/>
  <c r="I73" i="21"/>
  <c r="Z15" i="21"/>
  <c r="S35" i="21"/>
  <c r="T35" i="21"/>
  <c r="S54" i="21"/>
  <c r="T54" i="21"/>
  <c r="AC54" i="21" s="1"/>
  <c r="Z72" i="21"/>
  <c r="S16" i="21"/>
  <c r="T16" i="21"/>
  <c r="Z53" i="21"/>
  <c r="S73" i="21"/>
  <c r="T73" i="21"/>
  <c r="Z34" i="21"/>
  <c r="Q35" i="21" a="1"/>
  <c r="Q35" i="21" s="1"/>
  <c r="R35" i="21"/>
  <c r="AA35" i="21" s="1"/>
  <c r="Q73" i="21" a="1"/>
  <c r="Q73" i="21" s="1"/>
  <c r="R73" i="21"/>
  <c r="AA73" i="21" s="1"/>
  <c r="Q54" i="21" a="1"/>
  <c r="Q54" i="21" s="1"/>
  <c r="R54" i="21"/>
  <c r="AA54" i="21" s="1"/>
  <c r="Q16" i="21" a="1"/>
  <c r="Q16" i="21" s="1"/>
  <c r="R16" i="21"/>
  <c r="AA16" i="21" s="1"/>
  <c r="O73" i="21" a="1"/>
  <c r="O73" i="21" s="1"/>
  <c r="P73" i="21" a="1"/>
  <c r="P73" i="21" s="1"/>
  <c r="O16" i="21" a="1"/>
  <c r="O16" i="21" s="1"/>
  <c r="P16" i="21" a="1"/>
  <c r="P16" i="21" s="1"/>
  <c r="O54" i="21" a="1"/>
  <c r="O54" i="21" s="1"/>
  <c r="P54" i="21" a="1"/>
  <c r="P54" i="21" s="1"/>
  <c r="O35" i="21" a="1"/>
  <c r="O35" i="21" s="1"/>
  <c r="P35" i="21" a="1"/>
  <c r="P35" i="21" s="1"/>
  <c r="Y15" i="21"/>
  <c r="N16" i="21"/>
  <c r="AF71" i="21"/>
  <c r="M73" i="21"/>
  <c r="N73" i="21"/>
  <c r="M54" i="21"/>
  <c r="N54" i="21"/>
  <c r="M35" i="21"/>
  <c r="N35" i="21"/>
  <c r="AB53" i="21" a="1"/>
  <c r="AB53" i="21" s="1"/>
  <c r="AG53" i="21" s="1"/>
  <c r="AB72" i="21" a="1"/>
  <c r="AB72" i="21" s="1"/>
  <c r="AG72" i="21" s="1"/>
  <c r="L16" i="21"/>
  <c r="M16" i="21"/>
  <c r="AF33" i="21"/>
  <c r="K35" i="21"/>
  <c r="L35" i="21"/>
  <c r="K54" i="21"/>
  <c r="L54" i="21"/>
  <c r="AF52" i="21"/>
  <c r="K73" i="21"/>
  <c r="L73" i="21"/>
  <c r="AB34" i="21" a="1"/>
  <c r="AB34" i="21" s="1"/>
  <c r="AG34" i="21" s="1"/>
  <c r="AB15" i="21" a="1"/>
  <c r="AB15" i="21" s="1"/>
  <c r="AF15" i="21" s="1"/>
  <c r="J16" i="21"/>
  <c r="K16" i="21"/>
  <c r="J54" i="21"/>
  <c r="J73" i="21"/>
  <c r="J35" i="21"/>
  <c r="H17" i="21"/>
  <c r="X15" i="21"/>
  <c r="H74" i="21"/>
  <c r="AK74" i="21" s="1"/>
  <c r="X72" i="21"/>
  <c r="Y72" i="21"/>
  <c r="X53" i="21"/>
  <c r="Y53" i="21"/>
  <c r="H55" i="21"/>
  <c r="AK55" i="21" s="1"/>
  <c r="X34" i="21"/>
  <c r="Y34" i="21"/>
  <c r="H36" i="21"/>
  <c r="AK36" i="21" s="1"/>
  <c r="AC73" i="21" l="1"/>
  <c r="AC35" i="21"/>
  <c r="AJ35" i="21"/>
  <c r="AJ16" i="21"/>
  <c r="AJ54" i="21"/>
  <c r="AJ73" i="21"/>
  <c r="CK43" i="21"/>
  <c r="CJ44" i="21"/>
  <c r="CL43" i="21"/>
  <c r="CM43" i="21"/>
  <c r="CP43" i="21" s="1"/>
  <c r="CN43" i="21"/>
  <c r="CQ43" i="21" s="1"/>
  <c r="CO43" i="21"/>
  <c r="CR43" i="21" s="1"/>
  <c r="CO34" i="21"/>
  <c r="CR34" i="21" s="1"/>
  <c r="CM34" i="21"/>
  <c r="CP34" i="21" s="1"/>
  <c r="CK34" i="21"/>
  <c r="CN34" i="21"/>
  <c r="CQ34" i="21" s="1"/>
  <c r="CJ35" i="21"/>
  <c r="CL34" i="21"/>
  <c r="CJ27" i="21"/>
  <c r="CK26" i="21"/>
  <c r="CM26" i="21"/>
  <c r="CP26" i="21" s="1"/>
  <c r="CL26" i="21"/>
  <c r="CN26" i="21"/>
  <c r="CQ26" i="21" s="1"/>
  <c r="CO26" i="21"/>
  <c r="CR26" i="21" s="1"/>
  <c r="CL17" i="21"/>
  <c r="CM17" i="21"/>
  <c r="CP17" i="21" s="1"/>
  <c r="CK17" i="21"/>
  <c r="CN17" i="21"/>
  <c r="CQ17" i="21" s="1"/>
  <c r="CO17" i="21"/>
  <c r="CR17" i="21" s="1"/>
  <c r="CJ18" i="21"/>
  <c r="AO17" i="21"/>
  <c r="AK17" i="21"/>
  <c r="CB17" i="21"/>
  <c r="CC17" i="21"/>
  <c r="CB27" i="21"/>
  <c r="CC27" i="21"/>
  <c r="CB37" i="21"/>
  <c r="CC37" i="21"/>
  <c r="CB47" i="21"/>
  <c r="CC47" i="21"/>
  <c r="BP46" i="21"/>
  <c r="BZ27" i="21"/>
  <c r="CA27" i="21"/>
  <c r="BZ17" i="21"/>
  <c r="CA17" i="21"/>
  <c r="BZ37" i="21"/>
  <c r="CA37" i="21"/>
  <c r="BZ47" i="21"/>
  <c r="CA47" i="21"/>
  <c r="BQ26" i="21"/>
  <c r="BP26" i="21"/>
  <c r="BW16" i="21"/>
  <c r="BQ46" i="21"/>
  <c r="BM26" i="21"/>
  <c r="BN26" i="21"/>
  <c r="BO26" i="21"/>
  <c r="BO36" i="21"/>
  <c r="BM36" i="21"/>
  <c r="BN36" i="21"/>
  <c r="BQ36" i="21"/>
  <c r="AV18" i="21"/>
  <c r="BY18" i="21" s="1"/>
  <c r="BF17" i="21"/>
  <c r="BA17" i="21"/>
  <c r="BK17" i="21"/>
  <c r="BX17" i="21" s="1"/>
  <c r="BJ17" i="21"/>
  <c r="BH17" i="21"/>
  <c r="AX17" i="21"/>
  <c r="AW17" i="21"/>
  <c r="BG17" i="21"/>
  <c r="BI17" i="21"/>
  <c r="BE17" i="21"/>
  <c r="BD17" i="21"/>
  <c r="BL17" i="21" s="1"/>
  <c r="AZ17" i="21"/>
  <c r="AY17" i="21"/>
  <c r="BC17" i="21"/>
  <c r="BB17" i="21"/>
  <c r="BS17" i="21" s="1"/>
  <c r="AV28" i="21"/>
  <c r="BY28" i="21" s="1"/>
  <c r="BG27" i="21"/>
  <c r="BE27" i="21"/>
  <c r="AW27" i="21"/>
  <c r="BI27" i="21"/>
  <c r="BC27" i="21"/>
  <c r="AY27" i="21"/>
  <c r="AX27" i="21"/>
  <c r="BJ27" i="21"/>
  <c r="BD27" i="21"/>
  <c r="BL27" i="21" s="1"/>
  <c r="BB27" i="21"/>
  <c r="BS27" i="21" s="1"/>
  <c r="BH27" i="21"/>
  <c r="BA27" i="21"/>
  <c r="BF27" i="21"/>
  <c r="BK27" i="21"/>
  <c r="BX27" i="21" s="1"/>
  <c r="AZ27" i="21"/>
  <c r="AV38" i="21"/>
  <c r="BY38" i="21" s="1"/>
  <c r="BB37" i="21"/>
  <c r="BS37" i="21" s="1"/>
  <c r="BA37" i="21"/>
  <c r="BF37" i="21"/>
  <c r="BH37" i="21"/>
  <c r="AX37" i="21"/>
  <c r="BE37" i="21"/>
  <c r="AW37" i="21"/>
  <c r="AY37" i="21"/>
  <c r="BI37" i="21"/>
  <c r="BK37" i="21"/>
  <c r="BX37" i="21" s="1"/>
  <c r="BC37" i="21"/>
  <c r="BD37" i="21"/>
  <c r="BL37" i="21" s="1"/>
  <c r="BJ37" i="21"/>
  <c r="BG37" i="21"/>
  <c r="AZ37" i="21"/>
  <c r="BP16" i="21"/>
  <c r="BW36" i="21"/>
  <c r="BP36" i="21"/>
  <c r="BO46" i="21"/>
  <c r="BM46" i="21"/>
  <c r="BN46" i="21"/>
  <c r="AV48" i="21"/>
  <c r="BY48" i="21" s="1"/>
  <c r="AY47" i="21"/>
  <c r="BI47" i="21"/>
  <c r="BE47" i="21"/>
  <c r="BB47" i="21"/>
  <c r="BS47" i="21" s="1"/>
  <c r="BA47" i="21"/>
  <c r="AZ47" i="21"/>
  <c r="BC47" i="21"/>
  <c r="BD47" i="21"/>
  <c r="BL47" i="21" s="1"/>
  <c r="BH47" i="21"/>
  <c r="AW47" i="21"/>
  <c r="BJ47" i="21"/>
  <c r="BF47" i="21"/>
  <c r="BG47" i="21"/>
  <c r="AX47" i="21"/>
  <c r="BK47" i="21"/>
  <c r="BX47" i="21" s="1"/>
  <c r="BN16" i="21"/>
  <c r="BO16" i="21"/>
  <c r="BM16" i="21"/>
  <c r="BW26" i="21"/>
  <c r="BQ16" i="21"/>
  <c r="BW46" i="21"/>
  <c r="AN74" i="21"/>
  <c r="AO74" i="21"/>
  <c r="AN36" i="21"/>
  <c r="AO36" i="21"/>
  <c r="AN55" i="21"/>
  <c r="AO55" i="21"/>
  <c r="AM17" i="21"/>
  <c r="AN17" i="21"/>
  <c r="AL74" i="21"/>
  <c r="AM74" i="21"/>
  <c r="AL55" i="21"/>
  <c r="AM55" i="21"/>
  <c r="AL36" i="21"/>
  <c r="AM36" i="21"/>
  <c r="AL17" i="21"/>
  <c r="U74" i="21" a="1"/>
  <c r="U74" i="21" s="1"/>
  <c r="U36" i="21" a="1"/>
  <c r="U36" i="21" s="1"/>
  <c r="U55" i="21" a="1"/>
  <c r="U55" i="21" s="1"/>
  <c r="H35" i="1"/>
  <c r="H35" i="20" s="1"/>
  <c r="H34" i="1"/>
  <c r="H36" i="1"/>
  <c r="H36" i="20" s="1"/>
  <c r="U17" i="21" a="1"/>
  <c r="U17" i="21" s="1"/>
  <c r="W74" i="21" a="1"/>
  <c r="W74" i="21" s="1"/>
  <c r="V74" i="21" a="1"/>
  <c r="V74" i="21" s="1"/>
  <c r="W17" i="21" a="1"/>
  <c r="W17" i="21" s="1"/>
  <c r="V17" i="21" a="1"/>
  <c r="V17" i="21" s="1"/>
  <c r="W36" i="21" a="1"/>
  <c r="W36" i="21" s="1"/>
  <c r="V36" i="21" a="1"/>
  <c r="V36" i="21" s="1"/>
  <c r="W55" i="21" a="1"/>
  <c r="W55" i="21" s="1"/>
  <c r="V55" i="21" a="1"/>
  <c r="V55" i="21" s="1"/>
  <c r="AI35" i="21"/>
  <c r="AI73" i="21"/>
  <c r="AI16" i="21"/>
  <c r="AI54" i="21"/>
  <c r="I74" i="21"/>
  <c r="I17" i="21"/>
  <c r="I36" i="21"/>
  <c r="I55" i="21"/>
  <c r="Z16" i="21"/>
  <c r="S74" i="21"/>
  <c r="T74" i="21"/>
  <c r="Z54" i="21"/>
  <c r="S17" i="21"/>
  <c r="T17" i="21"/>
  <c r="S36" i="21"/>
  <c r="T36" i="21"/>
  <c r="Z35" i="21"/>
  <c r="Z73" i="21"/>
  <c r="S55" i="21"/>
  <c r="T55" i="21"/>
  <c r="AC55" i="21" s="1"/>
  <c r="Q36" i="21" a="1"/>
  <c r="Q36" i="21" s="1"/>
  <c r="R36" i="21"/>
  <c r="AA36" i="21" s="1"/>
  <c r="Q74" i="21" a="1"/>
  <c r="Q74" i="21" s="1"/>
  <c r="R74" i="21"/>
  <c r="AA74" i="21" s="1"/>
  <c r="Q55" i="21" a="1"/>
  <c r="Q55" i="21" s="1"/>
  <c r="R55" i="21"/>
  <c r="AA55" i="21" s="1"/>
  <c r="Q17" i="21" a="1"/>
  <c r="Q17" i="21" s="1"/>
  <c r="R17" i="21"/>
  <c r="AA17" i="21" s="1"/>
  <c r="O74" i="21" a="1"/>
  <c r="O74" i="21" s="1"/>
  <c r="P74" i="21" a="1"/>
  <c r="P74" i="21" s="1"/>
  <c r="O36" i="21" a="1"/>
  <c r="O36" i="21" s="1"/>
  <c r="P36" i="21" a="1"/>
  <c r="P36" i="21" s="1"/>
  <c r="O17" i="21" a="1"/>
  <c r="O17" i="21" s="1"/>
  <c r="P17" i="21" a="1"/>
  <c r="P17" i="21" s="1"/>
  <c r="O55" i="21" a="1"/>
  <c r="O55" i="21" s="1"/>
  <c r="P55" i="21" a="1"/>
  <c r="P55" i="21" s="1"/>
  <c r="N17" i="21"/>
  <c r="M36" i="21"/>
  <c r="N36" i="21"/>
  <c r="M55" i="21"/>
  <c r="N55" i="21"/>
  <c r="M74" i="21"/>
  <c r="N74" i="21"/>
  <c r="AF53" i="21"/>
  <c r="AF72" i="21"/>
  <c r="AB54" i="21" a="1"/>
  <c r="AB54" i="21" s="1"/>
  <c r="AG54" i="21" s="1"/>
  <c r="AB16" i="21" a="1"/>
  <c r="AB16" i="21" s="1"/>
  <c r="AG16" i="21" s="1"/>
  <c r="L17" i="21"/>
  <c r="M17" i="21"/>
  <c r="AB35" i="21" a="1"/>
  <c r="AB35" i="21" s="1"/>
  <c r="AG35" i="21" s="1"/>
  <c r="AB73" i="21" a="1"/>
  <c r="AB73" i="21" s="1"/>
  <c r="AG73" i="21" s="1"/>
  <c r="AF34" i="21"/>
  <c r="K74" i="21"/>
  <c r="L74" i="21"/>
  <c r="K36" i="21"/>
  <c r="L36" i="21"/>
  <c r="K55" i="21"/>
  <c r="L55" i="21"/>
  <c r="AG15" i="21"/>
  <c r="J17" i="21"/>
  <c r="K17" i="21"/>
  <c r="J36" i="21"/>
  <c r="J74" i="21"/>
  <c r="J55" i="21"/>
  <c r="Y16" i="21"/>
  <c r="X16" i="21"/>
  <c r="H18" i="21"/>
  <c r="X73" i="21"/>
  <c r="Y73" i="21"/>
  <c r="X54" i="21"/>
  <c r="Y54" i="21"/>
  <c r="H75" i="21"/>
  <c r="AK75" i="21" s="1"/>
  <c r="H56" i="21"/>
  <c r="AK56" i="21" s="1"/>
  <c r="X35" i="21"/>
  <c r="Y35" i="21"/>
  <c r="H37" i="21"/>
  <c r="AK37" i="21" s="1"/>
  <c r="H56" i="2"/>
  <c r="H57" i="2"/>
  <c r="H58" i="2"/>
  <c r="H59" i="2"/>
  <c r="H60" i="2"/>
  <c r="H61" i="2"/>
  <c r="H62" i="2"/>
  <c r="H63" i="2"/>
  <c r="H64" i="2"/>
  <c r="H6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K45" i="1"/>
  <c r="CW19" i="3" s="1"/>
  <c r="J45" i="1"/>
  <c r="I45" i="1"/>
  <c r="CU19" i="3" s="1"/>
  <c r="H45" i="1"/>
  <c r="M56" i="4"/>
  <c r="M57" i="4"/>
  <c r="M58" i="4"/>
  <c r="M59" i="4"/>
  <c r="M60" i="4"/>
  <c r="M61" i="4"/>
  <c r="M62" i="4"/>
  <c r="M63" i="4"/>
  <c r="M64" i="4"/>
  <c r="M65" i="4"/>
  <c r="M110" i="4"/>
  <c r="M111" i="4"/>
  <c r="M112" i="4"/>
  <c r="M113" i="4"/>
  <c r="M114" i="4"/>
  <c r="M115" i="4"/>
  <c r="M116" i="4"/>
  <c r="M117" i="4"/>
  <c r="M118" i="4"/>
  <c r="M119" i="4"/>
  <c r="AC74" i="21" l="1"/>
  <c r="AC36" i="21"/>
  <c r="AJ74" i="21"/>
  <c r="AJ55" i="21"/>
  <c r="AJ36" i="21"/>
  <c r="AJ17" i="21"/>
  <c r="CM44" i="21"/>
  <c r="CP44" i="21" s="1"/>
  <c r="CN44" i="21"/>
  <c r="CQ44" i="21" s="1"/>
  <c r="CO44" i="21"/>
  <c r="CR44" i="21" s="1"/>
  <c r="CK44" i="21"/>
  <c r="CL44" i="21"/>
  <c r="CN35" i="21"/>
  <c r="CQ35" i="21" s="1"/>
  <c r="CL35" i="21"/>
  <c r="CO35" i="21"/>
  <c r="CR35" i="21" s="1"/>
  <c r="CK35" i="21"/>
  <c r="CM35" i="21"/>
  <c r="CP35" i="21" s="1"/>
  <c r="CJ36" i="21"/>
  <c r="CO27" i="21"/>
  <c r="CR27" i="21" s="1"/>
  <c r="CM27" i="21"/>
  <c r="CP27" i="21" s="1"/>
  <c r="CN27" i="21"/>
  <c r="CQ27" i="21" s="1"/>
  <c r="CK27" i="21"/>
  <c r="CL27" i="21"/>
  <c r="CJ28" i="21"/>
  <c r="CK18" i="21"/>
  <c r="CM18" i="21"/>
  <c r="CP18" i="21" s="1"/>
  <c r="CN18" i="21"/>
  <c r="CQ18" i="21" s="1"/>
  <c r="CL18" i="21"/>
  <c r="CO18" i="21"/>
  <c r="CR18" i="21" s="1"/>
  <c r="CJ19" i="21"/>
  <c r="AO18" i="21"/>
  <c r="AK18" i="21"/>
  <c r="BP37" i="21"/>
  <c r="CB48" i="21"/>
  <c r="CC48" i="21"/>
  <c r="CB28" i="21"/>
  <c r="CC28" i="21"/>
  <c r="CB18" i="21"/>
  <c r="CC18" i="21"/>
  <c r="CB38" i="21"/>
  <c r="CC38" i="21"/>
  <c r="BQ47" i="21"/>
  <c r="BZ18" i="21"/>
  <c r="CA18" i="21"/>
  <c r="BZ38" i="21"/>
  <c r="CA38" i="21"/>
  <c r="BQ17" i="21"/>
  <c r="BZ48" i="21"/>
  <c r="CA48" i="21"/>
  <c r="BZ28" i="21"/>
  <c r="CA28" i="21"/>
  <c r="BP17" i="21"/>
  <c r="BW47" i="21"/>
  <c r="BP47" i="21"/>
  <c r="BW27" i="21"/>
  <c r="BW17" i="21"/>
  <c r="BM27" i="21"/>
  <c r="BO27" i="21"/>
  <c r="BN27" i="21"/>
  <c r="AV29" i="21"/>
  <c r="BY29" i="21" s="1"/>
  <c r="BB28" i="21"/>
  <c r="BS28" i="21" s="1"/>
  <c r="BD28" i="21"/>
  <c r="BL28" i="21" s="1"/>
  <c r="AZ28" i="21"/>
  <c r="BC28" i="21"/>
  <c r="BF28" i="21"/>
  <c r="BK28" i="21"/>
  <c r="BX28" i="21" s="1"/>
  <c r="BJ28" i="21"/>
  <c r="BH28" i="21"/>
  <c r="BA28" i="21"/>
  <c r="AX28" i="21"/>
  <c r="AW28" i="21"/>
  <c r="BE28" i="21"/>
  <c r="BG28" i="21"/>
  <c r="BI28" i="21"/>
  <c r="AY28" i="21"/>
  <c r="BP27" i="21"/>
  <c r="BW37" i="21"/>
  <c r="BO17" i="21"/>
  <c r="BN17" i="21"/>
  <c r="BM17" i="21"/>
  <c r="AV19" i="21"/>
  <c r="BY19" i="21" s="1"/>
  <c r="BJ18" i="21"/>
  <c r="BH18" i="21"/>
  <c r="BK18" i="21"/>
  <c r="BX18" i="21" s="1"/>
  <c r="BG18" i="21"/>
  <c r="AX18" i="21"/>
  <c r="AW18" i="21"/>
  <c r="BI18" i="21"/>
  <c r="BE18" i="21"/>
  <c r="BD18" i="21"/>
  <c r="BL18" i="21" s="1"/>
  <c r="AY18" i="21"/>
  <c r="BC18" i="21"/>
  <c r="BB18" i="21"/>
  <c r="BS18" i="21" s="1"/>
  <c r="BA18" i="21"/>
  <c r="AZ18" i="21"/>
  <c r="BF18" i="21"/>
  <c r="BO37" i="21"/>
  <c r="BM37" i="21"/>
  <c r="BN37" i="21"/>
  <c r="AV39" i="21"/>
  <c r="BY39" i="21" s="1"/>
  <c r="AX38" i="21"/>
  <c r="BH38" i="21"/>
  <c r="AW38" i="21"/>
  <c r="BA38" i="21"/>
  <c r="BK38" i="21"/>
  <c r="BX38" i="21" s="1"/>
  <c r="BJ38" i="21"/>
  <c r="BG38" i="21"/>
  <c r="AZ38" i="21"/>
  <c r="BE38" i="21"/>
  <c r="BC38" i="21"/>
  <c r="BI38" i="21"/>
  <c r="AY38" i="21"/>
  <c r="BF38" i="21"/>
  <c r="BD38" i="21"/>
  <c r="BL38" i="21" s="1"/>
  <c r="BB38" i="21"/>
  <c r="BS38" i="21" s="1"/>
  <c r="BQ27" i="21"/>
  <c r="AV49" i="21"/>
  <c r="BY49" i="21" s="1"/>
  <c r="BC48" i="21"/>
  <c r="BB48" i="21"/>
  <c r="BS48" i="21" s="1"/>
  <c r="BH48" i="21"/>
  <c r="AZ48" i="21"/>
  <c r="AX48" i="21"/>
  <c r="BI48" i="21"/>
  <c r="BF48" i="21"/>
  <c r="BG48" i="21"/>
  <c r="AW48" i="21"/>
  <c r="BE48" i="21"/>
  <c r="BD48" i="21"/>
  <c r="BL48" i="21" s="1"/>
  <c r="BK48" i="21"/>
  <c r="BX48" i="21" s="1"/>
  <c r="BJ48" i="21"/>
  <c r="BA48" i="21"/>
  <c r="AY48" i="21"/>
  <c r="BQ37" i="21"/>
  <c r="BO47" i="21"/>
  <c r="BN47" i="21"/>
  <c r="BM47" i="21"/>
  <c r="AN56" i="21"/>
  <c r="AO56" i="21"/>
  <c r="AN75" i="21"/>
  <c r="AO75" i="21"/>
  <c r="AN37" i="21"/>
  <c r="AO37" i="21"/>
  <c r="AM18" i="21"/>
  <c r="AN18" i="21"/>
  <c r="AL37" i="21"/>
  <c r="AM37" i="21"/>
  <c r="AL56" i="21"/>
  <c r="AM56" i="21"/>
  <c r="AL75" i="21"/>
  <c r="AM75" i="21"/>
  <c r="AL18" i="21"/>
  <c r="U37" i="21" a="1"/>
  <c r="U37" i="21" s="1"/>
  <c r="U56" i="21" a="1"/>
  <c r="U56" i="21" s="1"/>
  <c r="U75" i="21" a="1"/>
  <c r="U75" i="21" s="1"/>
  <c r="CV19" i="3"/>
  <c r="CT19" i="3"/>
  <c r="U18" i="21" a="1"/>
  <c r="U18" i="21" s="1"/>
  <c r="W18" i="21" a="1"/>
  <c r="W18" i="21" s="1"/>
  <c r="V18" i="21" a="1"/>
  <c r="V18" i="21" s="1"/>
  <c r="W37" i="21" a="1"/>
  <c r="W37" i="21" s="1"/>
  <c r="V37" i="21" a="1"/>
  <c r="V37" i="21" s="1"/>
  <c r="W56" i="21" a="1"/>
  <c r="W56" i="21" s="1"/>
  <c r="V56" i="21" a="1"/>
  <c r="V56" i="21" s="1"/>
  <c r="W75" i="21" a="1"/>
  <c r="W75" i="21" s="1"/>
  <c r="V75" i="21" a="1"/>
  <c r="V75" i="21" s="1"/>
  <c r="AI17" i="21"/>
  <c r="AI36" i="21"/>
  <c r="AI74" i="21"/>
  <c r="AI55" i="21"/>
  <c r="I18" i="21"/>
  <c r="I37" i="21"/>
  <c r="I56" i="21"/>
  <c r="I75" i="21"/>
  <c r="S75" i="21"/>
  <c r="T75" i="21"/>
  <c r="Z36" i="21"/>
  <c r="Z17" i="21"/>
  <c r="S37" i="21"/>
  <c r="T37" i="21"/>
  <c r="Z55" i="21"/>
  <c r="Z74" i="21"/>
  <c r="S18" i="21"/>
  <c r="T18" i="21"/>
  <c r="S56" i="21"/>
  <c r="T56" i="21"/>
  <c r="AC56" i="21" s="1"/>
  <c r="Q18" i="21" a="1"/>
  <c r="Q18" i="21" s="1"/>
  <c r="R18" i="21"/>
  <c r="AA18" i="21" s="1"/>
  <c r="Q37" i="21" a="1"/>
  <c r="Q37" i="21" s="1"/>
  <c r="R37" i="21"/>
  <c r="AA37" i="21" s="1"/>
  <c r="Q56" i="21" a="1"/>
  <c r="Q56" i="21" s="1"/>
  <c r="R56" i="21"/>
  <c r="AA56" i="21" s="1"/>
  <c r="Q75" i="21" a="1"/>
  <c r="Q75" i="21" s="1"/>
  <c r="R75" i="21"/>
  <c r="AA75" i="21" s="1"/>
  <c r="O18" i="21" a="1"/>
  <c r="O18" i="21" s="1"/>
  <c r="P18" i="21" a="1"/>
  <c r="P18" i="21" s="1"/>
  <c r="O75" i="21" a="1"/>
  <c r="O75" i="21" s="1"/>
  <c r="P75" i="21" a="1"/>
  <c r="P75" i="21" s="1"/>
  <c r="O37" i="21" a="1"/>
  <c r="O37" i="21" s="1"/>
  <c r="P37" i="21" a="1"/>
  <c r="P37" i="21" s="1"/>
  <c r="O56" i="21" a="1"/>
  <c r="O56" i="21" s="1"/>
  <c r="P56" i="21" a="1"/>
  <c r="P56" i="21" s="1"/>
  <c r="N18" i="21"/>
  <c r="M37" i="21"/>
  <c r="N37" i="21"/>
  <c r="M56" i="21"/>
  <c r="N56" i="21"/>
  <c r="M75" i="21"/>
  <c r="N75" i="21"/>
  <c r="AB36" i="21" a="1"/>
  <c r="AB36" i="21" s="1"/>
  <c r="AG36" i="21" s="1"/>
  <c r="AF54" i="21"/>
  <c r="AF16" i="21"/>
  <c r="L18" i="21"/>
  <c r="M18" i="21"/>
  <c r="AF73" i="21"/>
  <c r="AB55" i="21" a="1"/>
  <c r="AB55" i="21" s="1"/>
  <c r="AG55" i="21" s="1"/>
  <c r="AF35" i="21"/>
  <c r="AB17" i="21" a="1"/>
  <c r="AB17" i="21" s="1"/>
  <c r="AF17" i="21" s="1"/>
  <c r="AB74" i="21" a="1"/>
  <c r="AB74" i="21" s="1"/>
  <c r="AF74" i="21" s="1"/>
  <c r="K37" i="21"/>
  <c r="L37" i="21"/>
  <c r="K75" i="21"/>
  <c r="L75" i="21"/>
  <c r="K56" i="21"/>
  <c r="L56" i="21"/>
  <c r="J18" i="21"/>
  <c r="K18" i="21"/>
  <c r="J75" i="21"/>
  <c r="J56" i="21"/>
  <c r="J37" i="21"/>
  <c r="Y17" i="21"/>
  <c r="X17" i="21"/>
  <c r="H19" i="21"/>
  <c r="H76" i="21"/>
  <c r="AK76" i="21" s="1"/>
  <c r="H57" i="21"/>
  <c r="AK57" i="21" s="1"/>
  <c r="X55" i="21"/>
  <c r="Y55" i="21"/>
  <c r="Y74" i="21"/>
  <c r="X74" i="21"/>
  <c r="H38" i="21"/>
  <c r="AK38" i="21" s="1"/>
  <c r="X36" i="21"/>
  <c r="Y36" i="21"/>
  <c r="J100" i="2"/>
  <c r="K98" i="2"/>
  <c r="J102" i="2"/>
  <c r="J90" i="2"/>
  <c r="J88" i="2"/>
  <c r="J95" i="2"/>
  <c r="J93" i="2"/>
  <c r="J92" i="2"/>
  <c r="J94" i="2"/>
  <c r="K86" i="2"/>
  <c r="I29" i="1" s="1"/>
  <c r="J97" i="2"/>
  <c r="J96" i="2"/>
  <c r="K94" i="2"/>
  <c r="K92" i="2"/>
  <c r="K103" i="2"/>
  <c r="K91" i="2"/>
  <c r="K96" i="2"/>
  <c r="K102" i="2"/>
  <c r="K90" i="2"/>
  <c r="K101" i="2"/>
  <c r="K89" i="2"/>
  <c r="K100" i="2"/>
  <c r="K88" i="2"/>
  <c r="K87" i="2"/>
  <c r="K99" i="2"/>
  <c r="J98" i="2"/>
  <c r="J86" i="2"/>
  <c r="I28" i="1" s="1"/>
  <c r="J103" i="2"/>
  <c r="J91" i="2"/>
  <c r="K97" i="2"/>
  <c r="J101" i="2"/>
  <c r="J89" i="2"/>
  <c r="K95" i="2"/>
  <c r="J85" i="2"/>
  <c r="J99" i="2"/>
  <c r="J87" i="2"/>
  <c r="K93" i="2"/>
  <c r="K85" i="2"/>
  <c r="W27" i="5"/>
  <c r="W26" i="5"/>
  <c r="W28" i="5"/>
  <c r="W29" i="5"/>
  <c r="W30" i="5"/>
  <c r="W31" i="5"/>
  <c r="L26" i="5"/>
  <c r="N26" i="5" s="1"/>
  <c r="L27" i="5"/>
  <c r="N27" i="5" s="1"/>
  <c r="L28" i="5"/>
  <c r="N28" i="5" s="1"/>
  <c r="L29" i="5"/>
  <c r="N29" i="5" s="1"/>
  <c r="L30" i="5"/>
  <c r="N30" i="5" s="1"/>
  <c r="L31" i="5"/>
  <c r="N31" i="5" s="1"/>
  <c r="S26" i="5"/>
  <c r="S27" i="5"/>
  <c r="S28" i="5"/>
  <c r="S29" i="5"/>
  <c r="S30" i="5"/>
  <c r="S31" i="5"/>
  <c r="T27" i="7"/>
  <c r="R27" i="7" s="1"/>
  <c r="T28" i="7"/>
  <c r="O28" i="7" s="1"/>
  <c r="T29" i="7"/>
  <c r="R29" i="7" s="1"/>
  <c r="T30" i="7"/>
  <c r="Q30" i="7" s="1"/>
  <c r="T31" i="7"/>
  <c r="P31" i="7" s="1"/>
  <c r="T32" i="7"/>
  <c r="R32" i="7" s="1"/>
  <c r="T33" i="7"/>
  <c r="R33" i="7" s="1"/>
  <c r="T34" i="7"/>
  <c r="R34" i="7" s="1"/>
  <c r="T35" i="7"/>
  <c r="R35" i="7" s="1"/>
  <c r="T36" i="7"/>
  <c r="R36" i="7" s="1"/>
  <c r="T37" i="7"/>
  <c r="R37" i="7" s="1"/>
  <c r="X27" i="7"/>
  <c r="W27" i="7"/>
  <c r="W28" i="7"/>
  <c r="W29" i="7"/>
  <c r="W30" i="7"/>
  <c r="W31" i="7"/>
  <c r="W32" i="7"/>
  <c r="W33" i="7"/>
  <c r="W34" i="7"/>
  <c r="W35" i="7"/>
  <c r="W36" i="7"/>
  <c r="W37" i="7"/>
  <c r="X28" i="7"/>
  <c r="X29" i="7"/>
  <c r="X30" i="7"/>
  <c r="X31" i="7"/>
  <c r="X32" i="7"/>
  <c r="X33" i="7"/>
  <c r="X34" i="7"/>
  <c r="X35" i="7"/>
  <c r="X36" i="7"/>
  <c r="X37" i="7"/>
  <c r="AB4" i="6"/>
  <c r="AB5" i="6"/>
  <c r="AB6" i="6"/>
  <c r="AB7" i="6"/>
  <c r="AB8" i="6"/>
  <c r="AB9" i="6"/>
  <c r="AB10" i="6"/>
  <c r="AB11" i="6"/>
  <c r="AB12" i="6"/>
  <c r="P13" i="23"/>
  <c r="V14" i="23"/>
  <c r="H13" i="23"/>
  <c r="I14" i="23"/>
  <c r="J14" i="23"/>
  <c r="I13" i="23"/>
  <c r="V13" i="23"/>
  <c r="J13" i="23"/>
  <c r="K14" i="23"/>
  <c r="K13" i="23"/>
  <c r="P14" i="23"/>
  <c r="H14" i="23"/>
  <c r="AC75" i="21" l="1"/>
  <c r="AC37" i="21"/>
  <c r="AJ75" i="21"/>
  <c r="AJ56" i="21"/>
  <c r="AJ18" i="21"/>
  <c r="AJ37" i="21"/>
  <c r="CK36" i="21"/>
  <c r="CN36" i="21"/>
  <c r="CQ36" i="21" s="1"/>
  <c r="CL36" i="21"/>
  <c r="CO36" i="21"/>
  <c r="CR36" i="21" s="1"/>
  <c r="CM36" i="21"/>
  <c r="CP36" i="21" s="1"/>
  <c r="CK28" i="21"/>
  <c r="CM28" i="21"/>
  <c r="CP28" i="21" s="1"/>
  <c r="CN28" i="21"/>
  <c r="CQ28" i="21" s="1"/>
  <c r="CO28" i="21"/>
  <c r="CR28" i="21" s="1"/>
  <c r="CL28" i="21"/>
  <c r="CJ20" i="21"/>
  <c r="CO19" i="21"/>
  <c r="CR19" i="21" s="1"/>
  <c r="CK19" i="21"/>
  <c r="CM19" i="21"/>
  <c r="CP19" i="21" s="1"/>
  <c r="CL19" i="21"/>
  <c r="CN19" i="21"/>
  <c r="CQ19" i="21" s="1"/>
  <c r="AO19" i="21"/>
  <c r="AK19" i="21"/>
  <c r="CB39" i="21"/>
  <c r="CC39" i="21"/>
  <c r="CB49" i="21"/>
  <c r="CC49" i="21"/>
  <c r="CB29" i="21"/>
  <c r="CC29" i="21"/>
  <c r="CB19" i="21"/>
  <c r="CC19" i="21"/>
  <c r="BZ39" i="21"/>
  <c r="CA39" i="21"/>
  <c r="BZ49" i="21"/>
  <c r="CA49" i="21"/>
  <c r="BZ29" i="21"/>
  <c r="CA29" i="21"/>
  <c r="BZ19" i="21"/>
  <c r="CA19" i="21"/>
  <c r="BQ38" i="21"/>
  <c r="BQ28" i="21"/>
  <c r="BP38" i="21"/>
  <c r="BW48" i="21"/>
  <c r="BW18" i="21"/>
  <c r="BP28" i="21"/>
  <c r="BQ48" i="21"/>
  <c r="BQ18" i="21"/>
  <c r="AV40" i="21"/>
  <c r="BY40" i="21" s="1"/>
  <c r="BE39" i="21"/>
  <c r="BI39" i="21"/>
  <c r="BC39" i="21"/>
  <c r="AZ39" i="21"/>
  <c r="AY39" i="21"/>
  <c r="BD39" i="21"/>
  <c r="BL39" i="21" s="1"/>
  <c r="BB39" i="21"/>
  <c r="BS39" i="21" s="1"/>
  <c r="BF39" i="21"/>
  <c r="BJ39" i="21"/>
  <c r="BA39" i="21"/>
  <c r="BG39" i="21"/>
  <c r="BK39" i="21"/>
  <c r="BX39" i="21" s="1"/>
  <c r="BH39" i="21"/>
  <c r="AX39" i="21"/>
  <c r="AW39" i="21"/>
  <c r="BN28" i="21"/>
  <c r="BM28" i="21"/>
  <c r="BO28" i="21"/>
  <c r="BP48" i="21"/>
  <c r="BW28" i="21"/>
  <c r="BO48" i="21"/>
  <c r="BN48" i="21"/>
  <c r="BM48" i="21"/>
  <c r="AV50" i="21"/>
  <c r="BY50" i="21" s="1"/>
  <c r="BD49" i="21"/>
  <c r="BL49" i="21" s="1"/>
  <c r="BF49" i="21"/>
  <c r="BH49" i="21"/>
  <c r="AX49" i="21"/>
  <c r="BI49" i="21"/>
  <c r="BB49" i="21"/>
  <c r="BS49" i="21" s="1"/>
  <c r="BK49" i="21"/>
  <c r="BX49" i="21" s="1"/>
  <c r="BA49" i="21"/>
  <c r="AW49" i="21"/>
  <c r="BJ49" i="21"/>
  <c r="BE49" i="21"/>
  <c r="BG49" i="21"/>
  <c r="AZ49" i="21"/>
  <c r="BC49" i="21"/>
  <c r="AY49" i="21"/>
  <c r="BP18" i="21"/>
  <c r="AV30" i="21"/>
  <c r="BY30" i="21" s="1"/>
  <c r="BF29" i="21"/>
  <c r="BK29" i="21"/>
  <c r="BX29" i="21" s="1"/>
  <c r="BA29" i="21"/>
  <c r="BJ29" i="21"/>
  <c r="BH29" i="21"/>
  <c r="AX29" i="21"/>
  <c r="BG29" i="21"/>
  <c r="AW29" i="21"/>
  <c r="BI29" i="21"/>
  <c r="BE29" i="21"/>
  <c r="AY29" i="21"/>
  <c r="BC29" i="21"/>
  <c r="BD29" i="21"/>
  <c r="BL29" i="21" s="1"/>
  <c r="BB29" i="21"/>
  <c r="BS29" i="21" s="1"/>
  <c r="AZ29" i="21"/>
  <c r="BW38" i="21"/>
  <c r="AV20" i="21"/>
  <c r="BY20" i="21" s="1"/>
  <c r="BI19" i="21"/>
  <c r="AZ19" i="21"/>
  <c r="AW19" i="21"/>
  <c r="BD19" i="21"/>
  <c r="BL19" i="21" s="1"/>
  <c r="AY19" i="21"/>
  <c r="BC19" i="21"/>
  <c r="BE19" i="21"/>
  <c r="BB19" i="21"/>
  <c r="BS19" i="21" s="1"/>
  <c r="BF19" i="21"/>
  <c r="AX19" i="21"/>
  <c r="BA19" i="21"/>
  <c r="BK19" i="21"/>
  <c r="BX19" i="21" s="1"/>
  <c r="BJ19" i="21"/>
  <c r="BH19" i="21"/>
  <c r="BG19" i="21"/>
  <c r="BO38" i="21"/>
  <c r="BN38" i="21"/>
  <c r="BM38" i="21"/>
  <c r="BN18" i="21"/>
  <c r="BM18" i="21"/>
  <c r="BO18" i="21"/>
  <c r="AN57" i="21"/>
  <c r="AO57" i="21"/>
  <c r="AN38" i="21"/>
  <c r="AO38" i="21"/>
  <c r="AN76" i="21"/>
  <c r="AO76" i="21"/>
  <c r="AM19" i="21"/>
  <c r="AN19" i="21"/>
  <c r="AL57" i="21"/>
  <c r="AM57" i="21"/>
  <c r="AL76" i="21"/>
  <c r="AM76" i="21"/>
  <c r="AL38" i="21"/>
  <c r="AM38" i="21"/>
  <c r="AL19" i="21"/>
  <c r="U38" i="21" a="1"/>
  <c r="U38" i="21" s="1"/>
  <c r="U76" i="21" a="1"/>
  <c r="U76" i="21" s="1"/>
  <c r="U57" i="21" a="1"/>
  <c r="U57" i="21" s="1"/>
  <c r="DO23" i="21"/>
  <c r="DP23" i="21" s="1"/>
  <c r="DO20" i="21"/>
  <c r="DP20" i="21" s="1"/>
  <c r="DO17" i="21"/>
  <c r="DP17" i="21" s="1"/>
  <c r="DO14" i="21"/>
  <c r="DP14" i="21" s="1"/>
  <c r="DO13" i="21"/>
  <c r="DP13" i="21" s="1"/>
  <c r="DO22" i="21"/>
  <c r="DP22" i="21" s="1"/>
  <c r="DO21" i="21"/>
  <c r="DP21" i="21" s="1"/>
  <c r="DO18" i="21"/>
  <c r="DP18" i="21" s="1"/>
  <c r="DO15" i="21"/>
  <c r="DP15" i="21" s="1"/>
  <c r="DO16" i="21"/>
  <c r="DP16" i="21" s="1"/>
  <c r="DO19" i="21"/>
  <c r="DP19" i="21" s="1"/>
  <c r="U19" i="21" a="1"/>
  <c r="U19" i="21" s="1"/>
  <c r="AI75" i="21"/>
  <c r="W76" i="21" a="1"/>
  <c r="W76" i="21" s="1"/>
  <c r="V76" i="21" a="1"/>
  <c r="V76" i="21" s="1"/>
  <c r="W19" i="21" a="1"/>
  <c r="W19" i="21" s="1"/>
  <c r="V19" i="21" a="1"/>
  <c r="V19" i="21" s="1"/>
  <c r="W38" i="21" a="1"/>
  <c r="W38" i="21" s="1"/>
  <c r="V38" i="21" a="1"/>
  <c r="V38" i="21" s="1"/>
  <c r="W57" i="21" a="1"/>
  <c r="W57" i="21" s="1"/>
  <c r="V57" i="21" a="1"/>
  <c r="V57" i="21" s="1"/>
  <c r="AI56" i="21"/>
  <c r="AI37" i="21"/>
  <c r="AI18" i="21"/>
  <c r="I76" i="21"/>
  <c r="I19" i="21"/>
  <c r="I38" i="21"/>
  <c r="I57" i="21"/>
  <c r="S38" i="21"/>
  <c r="T38" i="21"/>
  <c r="Z18" i="21"/>
  <c r="S76" i="21"/>
  <c r="T76" i="21"/>
  <c r="Z37" i="21"/>
  <c r="S19" i="21"/>
  <c r="T19" i="21"/>
  <c r="S57" i="21"/>
  <c r="T57" i="21"/>
  <c r="AC57" i="21" s="1"/>
  <c r="Z56" i="21"/>
  <c r="Z75" i="21"/>
  <c r="Q38" i="21" a="1"/>
  <c r="Q38" i="21" s="1"/>
  <c r="R38" i="21"/>
  <c r="AA38" i="21" s="1"/>
  <c r="Q57" i="21" a="1"/>
  <c r="Q57" i="21" s="1"/>
  <c r="R57" i="21"/>
  <c r="AA57" i="21" s="1"/>
  <c r="Q76" i="21" a="1"/>
  <c r="Q76" i="21" s="1"/>
  <c r="R76" i="21"/>
  <c r="AA76" i="21" s="1"/>
  <c r="Q19" i="21" a="1"/>
  <c r="Q19" i="21" s="1"/>
  <c r="R19" i="21"/>
  <c r="AA19" i="21" s="1"/>
  <c r="O38" i="21" a="1"/>
  <c r="O38" i="21" s="1"/>
  <c r="P38" i="21" a="1"/>
  <c r="P38" i="21" s="1"/>
  <c r="O57" i="21" a="1"/>
  <c r="O57" i="21" s="1"/>
  <c r="P57" i="21" a="1"/>
  <c r="P57" i="21" s="1"/>
  <c r="O76" i="21" a="1"/>
  <c r="O76" i="21" s="1"/>
  <c r="P76" i="21" a="1"/>
  <c r="P76" i="21" s="1"/>
  <c r="O19" i="21" a="1"/>
  <c r="O19" i="21" s="1"/>
  <c r="P19" i="21" a="1"/>
  <c r="P19" i="21" s="1"/>
  <c r="N19" i="21"/>
  <c r="M57" i="21"/>
  <c r="N57" i="21"/>
  <c r="M38" i="21"/>
  <c r="N38" i="21"/>
  <c r="M76" i="21"/>
  <c r="N76" i="21"/>
  <c r="AB18" i="21" a="1"/>
  <c r="AB18" i="21" s="1"/>
  <c r="AF18" i="21" s="1"/>
  <c r="AF36" i="21"/>
  <c r="L19" i="21"/>
  <c r="M19" i="21"/>
  <c r="AB37" i="21" a="1"/>
  <c r="AB37" i="21" s="1"/>
  <c r="AF37" i="21" s="1"/>
  <c r="AB56" i="21" a="1"/>
  <c r="AB56" i="21" s="1"/>
  <c r="AF56" i="21" s="1"/>
  <c r="AB75" i="21" a="1"/>
  <c r="AB75" i="21" s="1"/>
  <c r="AF75" i="21" s="1"/>
  <c r="AF55" i="21"/>
  <c r="AG17" i="21"/>
  <c r="AG74" i="21"/>
  <c r="K38" i="21"/>
  <c r="L38" i="21"/>
  <c r="K57" i="21"/>
  <c r="L57" i="21"/>
  <c r="K76" i="21"/>
  <c r="L76" i="21"/>
  <c r="J19" i="21"/>
  <c r="K19" i="21"/>
  <c r="J38" i="21"/>
  <c r="J57" i="21"/>
  <c r="J76" i="21"/>
  <c r="X18" i="21"/>
  <c r="Y18" i="21"/>
  <c r="H20" i="21"/>
  <c r="H58" i="21"/>
  <c r="AK58" i="21" s="1"/>
  <c r="X56" i="21"/>
  <c r="Y56" i="21"/>
  <c r="H77" i="21"/>
  <c r="AK77" i="21" s="1"/>
  <c r="X75" i="21"/>
  <c r="Y75" i="21"/>
  <c r="X37" i="21"/>
  <c r="Y37" i="21"/>
  <c r="H39" i="21"/>
  <c r="AK39" i="21" s="1"/>
  <c r="U27" i="7"/>
  <c r="V27" i="7" s="1"/>
  <c r="AC27" i="7" s="1"/>
  <c r="U28" i="7"/>
  <c r="V28" i="7" s="1"/>
  <c r="AC28" i="7" s="1"/>
  <c r="U29" i="7"/>
  <c r="V29" i="7" s="1"/>
  <c r="AC29" i="7" s="1"/>
  <c r="U30" i="7"/>
  <c r="V30" i="7" s="1"/>
  <c r="AC30" i="7" s="1"/>
  <c r="U31" i="7"/>
  <c r="V31" i="7" s="1"/>
  <c r="AC31" i="7" s="1"/>
  <c r="U32" i="7"/>
  <c r="V32" i="7" s="1"/>
  <c r="AC32" i="7" s="1"/>
  <c r="U37" i="7"/>
  <c r="V37" i="7" s="1"/>
  <c r="AC37" i="7" s="1"/>
  <c r="U33" i="7"/>
  <c r="V33" i="7" s="1"/>
  <c r="AC33" i="7" s="1"/>
  <c r="U36" i="7"/>
  <c r="V36" i="7" s="1"/>
  <c r="AC36" i="7" s="1"/>
  <c r="U34" i="7"/>
  <c r="V34" i="7" s="1"/>
  <c r="AC34" i="7" s="1"/>
  <c r="U35" i="7"/>
  <c r="V35" i="7" s="1"/>
  <c r="AC35" i="7" s="1"/>
  <c r="R26" i="5"/>
  <c r="R29" i="5"/>
  <c r="R31" i="5"/>
  <c r="R30" i="5"/>
  <c r="R28" i="5"/>
  <c r="R27" i="5"/>
  <c r="M26" i="5"/>
  <c r="M31" i="5"/>
  <c r="M30" i="5"/>
  <c r="M29" i="5"/>
  <c r="M28" i="5"/>
  <c r="M27" i="5"/>
  <c r="O26" i="5"/>
  <c r="O31" i="5"/>
  <c r="O30" i="5"/>
  <c r="O29" i="5"/>
  <c r="O28" i="5"/>
  <c r="O27" i="5"/>
  <c r="Q26" i="5"/>
  <c r="Q31" i="5"/>
  <c r="Q30" i="5"/>
  <c r="Q29" i="5"/>
  <c r="Q28" i="5"/>
  <c r="Q27" i="5"/>
  <c r="P31" i="5"/>
  <c r="P29" i="5"/>
  <c r="P28" i="5"/>
  <c r="P30" i="5"/>
  <c r="P27" i="5"/>
  <c r="P26" i="5"/>
  <c r="N27" i="7"/>
  <c r="O27" i="7"/>
  <c r="P27" i="7"/>
  <c r="Q27" i="7"/>
  <c r="S27" i="7"/>
  <c r="K52" i="1"/>
  <c r="CW26" i="3" s="1"/>
  <c r="K51" i="1"/>
  <c r="CW25" i="3" s="1"/>
  <c r="I51" i="1"/>
  <c r="CU25" i="3" s="1"/>
  <c r="I52" i="1"/>
  <c r="CU26" i="3" s="1"/>
  <c r="S28" i="7"/>
  <c r="N31" i="7"/>
  <c r="S37" i="7"/>
  <c r="S36" i="7"/>
  <c r="S35" i="7"/>
  <c r="S34" i="7"/>
  <c r="S33" i="7"/>
  <c r="S32" i="7"/>
  <c r="S31" i="7"/>
  <c r="S30" i="7"/>
  <c r="S29" i="7"/>
  <c r="N36" i="7"/>
  <c r="N34" i="7"/>
  <c r="N30" i="7"/>
  <c r="N28" i="7"/>
  <c r="N37" i="7"/>
  <c r="N35" i="7"/>
  <c r="N33" i="7"/>
  <c r="N32" i="7"/>
  <c r="N29" i="7"/>
  <c r="Q34" i="7"/>
  <c r="P34" i="7"/>
  <c r="P36" i="7"/>
  <c r="P37" i="7"/>
  <c r="Q28" i="7"/>
  <c r="P35" i="7"/>
  <c r="O33" i="7"/>
  <c r="P33" i="7"/>
  <c r="R31" i="7"/>
  <c r="O32" i="7"/>
  <c r="P32" i="7"/>
  <c r="Q31" i="7"/>
  <c r="O31" i="7"/>
  <c r="Q35" i="7"/>
  <c r="P30" i="7"/>
  <c r="P29" i="7"/>
  <c r="Q33" i="7"/>
  <c r="P28" i="7"/>
  <c r="R30" i="7"/>
  <c r="Q29" i="7"/>
  <c r="O30" i="7"/>
  <c r="Q37" i="7"/>
  <c r="Q36" i="7"/>
  <c r="Q32" i="7"/>
  <c r="O37" i="7"/>
  <c r="R28" i="7"/>
  <c r="O36" i="7"/>
  <c r="O35" i="7"/>
  <c r="O34" i="7"/>
  <c r="O29" i="7"/>
  <c r="AB33" i="7" l="1"/>
  <c r="AB37" i="7"/>
  <c r="AB32" i="7"/>
  <c r="AB36" i="7"/>
  <c r="AB31" i="7"/>
  <c r="AB34" i="7"/>
  <c r="AB30" i="7"/>
  <c r="AB29" i="7"/>
  <c r="AB28" i="7"/>
  <c r="AB35" i="7"/>
  <c r="AB27" i="7"/>
  <c r="AC76" i="21"/>
  <c r="AC38" i="21"/>
  <c r="J50" i="1"/>
  <c r="CV24" i="3" s="1"/>
  <c r="K50" i="1"/>
  <c r="CW24" i="3" s="1"/>
  <c r="I50" i="1"/>
  <c r="CU24" i="3" s="1"/>
  <c r="AJ76" i="21"/>
  <c r="AJ57" i="21"/>
  <c r="AJ38" i="21"/>
  <c r="AJ19" i="21"/>
  <c r="CK20" i="21"/>
  <c r="CN20" i="21"/>
  <c r="CQ20" i="21" s="1"/>
  <c r="CM20" i="21"/>
  <c r="CP20" i="21" s="1"/>
  <c r="CO20" i="21"/>
  <c r="CR20" i="21" s="1"/>
  <c r="CL20" i="21"/>
  <c r="AO20" i="21"/>
  <c r="AK20" i="21"/>
  <c r="CB30" i="21"/>
  <c r="CC30" i="21"/>
  <c r="CB20" i="21"/>
  <c r="CC20" i="21"/>
  <c r="CB50" i="21"/>
  <c r="CC50" i="21"/>
  <c r="CB40" i="21"/>
  <c r="CC40" i="21"/>
  <c r="BZ30" i="21"/>
  <c r="CA30" i="21"/>
  <c r="BZ20" i="21"/>
  <c r="CA20" i="21"/>
  <c r="BZ50" i="21"/>
  <c r="CA50" i="21"/>
  <c r="BZ40" i="21"/>
  <c r="CA40" i="21"/>
  <c r="BW29" i="21"/>
  <c r="BW19" i="21"/>
  <c r="BP39" i="21"/>
  <c r="BQ29" i="21"/>
  <c r="BW49" i="21"/>
  <c r="BQ49" i="21"/>
  <c r="BM29" i="21"/>
  <c r="BO29" i="21"/>
  <c r="BN29" i="21"/>
  <c r="BW39" i="21"/>
  <c r="AV31" i="21"/>
  <c r="BY31" i="21" s="1"/>
  <c r="BK30" i="21"/>
  <c r="BX30" i="21" s="1"/>
  <c r="BG30" i="21"/>
  <c r="AX30" i="21"/>
  <c r="AW30" i="21"/>
  <c r="BE30" i="21"/>
  <c r="BA30" i="21"/>
  <c r="AY30" i="21"/>
  <c r="BI30" i="21"/>
  <c r="BD30" i="21"/>
  <c r="BL30" i="21" s="1"/>
  <c r="BC30" i="21"/>
  <c r="BB30" i="21"/>
  <c r="BS30" i="21" s="1"/>
  <c r="AZ30" i="21"/>
  <c r="BJ30" i="21"/>
  <c r="BH30" i="21"/>
  <c r="BF30" i="21"/>
  <c r="BO39" i="21"/>
  <c r="BN39" i="21"/>
  <c r="BM39" i="21"/>
  <c r="BN19" i="21"/>
  <c r="BO19" i="21"/>
  <c r="BM19" i="21"/>
  <c r="BP19" i="21"/>
  <c r="BQ19" i="21"/>
  <c r="BO49" i="21"/>
  <c r="BM49" i="21"/>
  <c r="BN49" i="21"/>
  <c r="BQ39" i="21"/>
  <c r="AV21" i="21"/>
  <c r="BY21" i="21" s="1"/>
  <c r="BC20" i="21"/>
  <c r="BB20" i="21"/>
  <c r="BS20" i="21" s="1"/>
  <c r="BF20" i="21"/>
  <c r="AZ20" i="21"/>
  <c r="AY20" i="21"/>
  <c r="BK20" i="21"/>
  <c r="BX20" i="21" s="1"/>
  <c r="BI20" i="21"/>
  <c r="BD20" i="21"/>
  <c r="BL20" i="21" s="1"/>
  <c r="BJ20" i="21"/>
  <c r="BH20" i="21"/>
  <c r="BG20" i="21"/>
  <c r="AX20" i="21"/>
  <c r="BA20" i="21"/>
  <c r="AW20" i="21"/>
  <c r="BE20" i="21"/>
  <c r="AV51" i="21"/>
  <c r="BY51" i="21" s="1"/>
  <c r="BH50" i="21"/>
  <c r="AW50" i="21"/>
  <c r="BA50" i="21"/>
  <c r="BK50" i="21"/>
  <c r="BX50" i="21" s="1"/>
  <c r="BJ50" i="21"/>
  <c r="BG50" i="21"/>
  <c r="AZ50" i="21"/>
  <c r="BE50" i="21"/>
  <c r="BC50" i="21"/>
  <c r="BI50" i="21"/>
  <c r="AY50" i="21"/>
  <c r="BF50" i="21"/>
  <c r="AX50" i="21"/>
  <c r="BD50" i="21"/>
  <c r="BL50" i="21" s="1"/>
  <c r="BB50" i="21"/>
  <c r="BS50" i="21" s="1"/>
  <c r="BP29" i="21"/>
  <c r="BP49" i="21"/>
  <c r="AV41" i="21"/>
  <c r="BY41" i="21" s="1"/>
  <c r="BB40" i="21"/>
  <c r="BS40" i="21" s="1"/>
  <c r="BF40" i="21"/>
  <c r="AZ40" i="21"/>
  <c r="BK40" i="21"/>
  <c r="BX40" i="21" s="1"/>
  <c r="BJ40" i="21"/>
  <c r="BH40" i="21"/>
  <c r="BA40" i="21"/>
  <c r="AX40" i="21"/>
  <c r="AW40" i="21"/>
  <c r="BE40" i="21"/>
  <c r="BG40" i="21"/>
  <c r="AY40" i="21"/>
  <c r="BC40" i="21"/>
  <c r="BI40" i="21"/>
  <c r="BD40" i="21"/>
  <c r="BL40" i="21" s="1"/>
  <c r="AN77" i="21"/>
  <c r="AO77" i="21"/>
  <c r="AN39" i="21"/>
  <c r="AO39" i="21"/>
  <c r="AN58" i="21"/>
  <c r="AO58" i="21"/>
  <c r="AM20" i="21"/>
  <c r="AN20" i="21"/>
  <c r="AL77" i="21"/>
  <c r="AM77" i="21"/>
  <c r="AL58" i="21"/>
  <c r="AM58" i="21"/>
  <c r="AL39" i="21"/>
  <c r="AM39" i="21"/>
  <c r="AL20" i="21"/>
  <c r="U77" i="21" a="1"/>
  <c r="U77" i="21" s="1"/>
  <c r="U58" i="21" a="1"/>
  <c r="U58" i="21" s="1"/>
  <c r="U39" i="21" a="1"/>
  <c r="U39" i="21" s="1"/>
  <c r="U20" i="21" a="1"/>
  <c r="U20" i="21" s="1"/>
  <c r="W20" i="21" a="1"/>
  <c r="W20" i="21" s="1"/>
  <c r="V20" i="21" a="1"/>
  <c r="V20" i="21" s="1"/>
  <c r="W58" i="21" a="1"/>
  <c r="W58" i="21" s="1"/>
  <c r="V58" i="21" a="1"/>
  <c r="V58" i="21" s="1"/>
  <c r="W39" i="21" a="1"/>
  <c r="W39" i="21" s="1"/>
  <c r="V39" i="21" a="1"/>
  <c r="V39" i="21" s="1"/>
  <c r="W77" i="21" a="1"/>
  <c r="W77" i="21" s="1"/>
  <c r="V77" i="21" a="1"/>
  <c r="V77" i="21" s="1"/>
  <c r="AI57" i="21"/>
  <c r="AI19" i="21"/>
  <c r="AI76" i="21"/>
  <c r="AI38" i="21"/>
  <c r="I58" i="21"/>
  <c r="I20" i="21"/>
  <c r="I39" i="21"/>
  <c r="I77" i="21"/>
  <c r="Z57" i="21"/>
  <c r="S77" i="21"/>
  <c r="T77" i="21"/>
  <c r="AC77" i="21" s="1"/>
  <c r="Z19" i="21"/>
  <c r="S58" i="21"/>
  <c r="T58" i="21"/>
  <c r="AC58" i="21" s="1"/>
  <c r="Z76" i="21"/>
  <c r="S20" i="21"/>
  <c r="T20" i="21"/>
  <c r="S39" i="21"/>
  <c r="T39" i="21"/>
  <c r="Z38" i="21"/>
  <c r="Q39" i="21" a="1"/>
  <c r="Q39" i="21" s="1"/>
  <c r="R39" i="21"/>
  <c r="AA39" i="21" s="1"/>
  <c r="Q77" i="21" a="1"/>
  <c r="Q77" i="21" s="1"/>
  <c r="R77" i="21"/>
  <c r="AA77" i="21" s="1"/>
  <c r="Q58" i="21" a="1"/>
  <c r="Q58" i="21" s="1"/>
  <c r="R58" i="21"/>
  <c r="AA58" i="21" s="1"/>
  <c r="Q20" i="21" a="1"/>
  <c r="Q20" i="21" s="1"/>
  <c r="R20" i="21"/>
  <c r="AA20" i="21" s="1"/>
  <c r="O77" i="21" a="1"/>
  <c r="O77" i="21" s="1"/>
  <c r="P77" i="21" a="1"/>
  <c r="P77" i="21" s="1"/>
  <c r="O58" i="21" a="1"/>
  <c r="O58" i="21" s="1"/>
  <c r="P58" i="21" a="1"/>
  <c r="P58" i="21" s="1"/>
  <c r="O20" i="21" a="1"/>
  <c r="O20" i="21" s="1"/>
  <c r="P20" i="21" a="1"/>
  <c r="P20" i="21" s="1"/>
  <c r="O39" i="21" a="1"/>
  <c r="O39" i="21" s="1"/>
  <c r="P39" i="21" a="1"/>
  <c r="P39" i="21" s="1"/>
  <c r="N20" i="21"/>
  <c r="AB19" i="21" a="1"/>
  <c r="AB19" i="21" s="1"/>
  <c r="AG19" i="21" s="1"/>
  <c r="M39" i="21"/>
  <c r="N39" i="21"/>
  <c r="M58" i="21"/>
  <c r="N58" i="21"/>
  <c r="M77" i="21"/>
  <c r="N77" i="21"/>
  <c r="AG18" i="21"/>
  <c r="L20" i="21"/>
  <c r="M20" i="21"/>
  <c r="AB76" i="21" a="1"/>
  <c r="AB76" i="21" s="1"/>
  <c r="AF76" i="21" s="1"/>
  <c r="AG75" i="21"/>
  <c r="AG56" i="21"/>
  <c r="AB57" i="21" a="1"/>
  <c r="AB57" i="21" s="1"/>
  <c r="AG57" i="21" s="1"/>
  <c r="AB38" i="21" a="1"/>
  <c r="AB38" i="21" s="1"/>
  <c r="AG38" i="21" s="1"/>
  <c r="AG37" i="21"/>
  <c r="K39" i="21"/>
  <c r="L39" i="21"/>
  <c r="K77" i="21"/>
  <c r="L77" i="21"/>
  <c r="K58" i="21"/>
  <c r="L58" i="21"/>
  <c r="J20" i="21"/>
  <c r="K20" i="21"/>
  <c r="J77" i="21"/>
  <c r="J39" i="21"/>
  <c r="J58" i="21"/>
  <c r="X19" i="21"/>
  <c r="Y19" i="21"/>
  <c r="H21" i="21"/>
  <c r="Y57" i="21"/>
  <c r="X57" i="21"/>
  <c r="H59" i="21"/>
  <c r="AK59" i="21" s="1"/>
  <c r="H78" i="21"/>
  <c r="AK78" i="21" s="1"/>
  <c r="X76" i="21"/>
  <c r="Y76" i="21"/>
  <c r="H40" i="21"/>
  <c r="AK40" i="21" s="1"/>
  <c r="X38" i="21"/>
  <c r="Y38" i="21"/>
  <c r="J52" i="1"/>
  <c r="CV26" i="3" s="1"/>
  <c r="H52" i="1"/>
  <c r="CT26" i="3" s="1"/>
  <c r="J51" i="1"/>
  <c r="CV25" i="3" s="1"/>
  <c r="H51" i="1"/>
  <c r="CT25" i="3" s="1"/>
  <c r="H50" i="1"/>
  <c r="CT24" i="3" s="1"/>
  <c r="AC39" i="21" l="1"/>
  <c r="AJ77" i="21"/>
  <c r="AJ39" i="21"/>
  <c r="AJ58" i="21"/>
  <c r="AJ20" i="21"/>
  <c r="AO21" i="21"/>
  <c r="AK21" i="21"/>
  <c r="CB41" i="21"/>
  <c r="CC41" i="21"/>
  <c r="CB21" i="21"/>
  <c r="CC21" i="21"/>
  <c r="CB31" i="21"/>
  <c r="CC31" i="21"/>
  <c r="CB51" i="21"/>
  <c r="CC51" i="21"/>
  <c r="BZ31" i="21"/>
  <c r="CA31" i="21"/>
  <c r="BZ21" i="21"/>
  <c r="CA21" i="21"/>
  <c r="BZ51" i="21"/>
  <c r="CA51" i="21"/>
  <c r="BZ41" i="21"/>
  <c r="CA41" i="21"/>
  <c r="BW40" i="21"/>
  <c r="BP30" i="21"/>
  <c r="BW50" i="21"/>
  <c r="BQ20" i="21"/>
  <c r="BQ40" i="21"/>
  <c r="BW20" i="21"/>
  <c r="AV42" i="21"/>
  <c r="BY42" i="21" s="1"/>
  <c r="BA41" i="21"/>
  <c r="BJ41" i="21"/>
  <c r="BH41" i="21"/>
  <c r="BK41" i="21"/>
  <c r="BX41" i="21" s="1"/>
  <c r="BD41" i="21"/>
  <c r="BL41" i="21" s="1"/>
  <c r="BG41" i="21"/>
  <c r="AX41" i="21"/>
  <c r="AW41" i="21"/>
  <c r="BI41" i="21"/>
  <c r="BE41" i="21"/>
  <c r="AY41" i="21"/>
  <c r="BC41" i="21"/>
  <c r="BF41" i="21"/>
  <c r="BB41" i="21"/>
  <c r="BS41" i="21" s="1"/>
  <c r="AZ41" i="21"/>
  <c r="AV22" i="21"/>
  <c r="BY22" i="21" s="1"/>
  <c r="AZ21" i="21"/>
  <c r="BF21" i="21"/>
  <c r="BJ21" i="21"/>
  <c r="BH21" i="21"/>
  <c r="BG21" i="21"/>
  <c r="BB21" i="21"/>
  <c r="BS21" i="21" s="1"/>
  <c r="BA21" i="21"/>
  <c r="AX21" i="21"/>
  <c r="BI21" i="21"/>
  <c r="AW21" i="21"/>
  <c r="BD21" i="21"/>
  <c r="BL21" i="21" s="1"/>
  <c r="AY21" i="21"/>
  <c r="BC21" i="21"/>
  <c r="BE21" i="21"/>
  <c r="BK21" i="21"/>
  <c r="BX21" i="21" s="1"/>
  <c r="BP50" i="21"/>
  <c r="BP20" i="21"/>
  <c r="BO20" i="21"/>
  <c r="BN20" i="21"/>
  <c r="BM20" i="21"/>
  <c r="BW30" i="21"/>
  <c r="AV32" i="21"/>
  <c r="BY32" i="21" s="1"/>
  <c r="BI31" i="21"/>
  <c r="BD31" i="21"/>
  <c r="BL31" i="21" s="1"/>
  <c r="AY31" i="21"/>
  <c r="BC31" i="21"/>
  <c r="AW31" i="21"/>
  <c r="BB31" i="21"/>
  <c r="BS31" i="21" s="1"/>
  <c r="BA31" i="21"/>
  <c r="BF31" i="21"/>
  <c r="BK31" i="21"/>
  <c r="BX31" i="21" s="1"/>
  <c r="BE31" i="21"/>
  <c r="BJ31" i="21"/>
  <c r="BH31" i="21"/>
  <c r="AZ31" i="21"/>
  <c r="BG31" i="21"/>
  <c r="AX31" i="21"/>
  <c r="BP40" i="21"/>
  <c r="AV52" i="21"/>
  <c r="BY52" i="21" s="1"/>
  <c r="BI51" i="21"/>
  <c r="BC51" i="21"/>
  <c r="AZ51" i="21"/>
  <c r="AY51" i="21"/>
  <c r="BD51" i="21"/>
  <c r="BL51" i="21" s="1"/>
  <c r="BB51" i="21"/>
  <c r="BS51" i="21" s="1"/>
  <c r="BF51" i="21"/>
  <c r="BG51" i="21"/>
  <c r="BK51" i="21"/>
  <c r="BX51" i="21" s="1"/>
  <c r="BH51" i="21"/>
  <c r="AX51" i="21"/>
  <c r="AW51" i="21"/>
  <c r="BE51" i="21"/>
  <c r="BJ51" i="21"/>
  <c r="BA51" i="21"/>
  <c r="BN30" i="21"/>
  <c r="BM30" i="21"/>
  <c r="BO30" i="21"/>
  <c r="BO50" i="21"/>
  <c r="BN50" i="21"/>
  <c r="BM50" i="21"/>
  <c r="BO40" i="21"/>
  <c r="BM40" i="21"/>
  <c r="BN40" i="21"/>
  <c r="BQ50" i="21"/>
  <c r="BQ30" i="21"/>
  <c r="AN40" i="21"/>
  <c r="AO40" i="21"/>
  <c r="AN78" i="21"/>
  <c r="AO78" i="21"/>
  <c r="AN59" i="21"/>
  <c r="AO59" i="21"/>
  <c r="AM21" i="21"/>
  <c r="AN21" i="21"/>
  <c r="AL59" i="21"/>
  <c r="AM59" i="21"/>
  <c r="AL40" i="21"/>
  <c r="AM40" i="21"/>
  <c r="AL78" i="21"/>
  <c r="AM78" i="21"/>
  <c r="AL21" i="21"/>
  <c r="U40" i="21" a="1"/>
  <c r="U40" i="21" s="1"/>
  <c r="U78" i="21" a="1"/>
  <c r="U78" i="21" s="1"/>
  <c r="U59" i="21" a="1"/>
  <c r="U59" i="21" s="1"/>
  <c r="U21" i="21" a="1"/>
  <c r="U21" i="21" s="1"/>
  <c r="W59" i="21" a="1"/>
  <c r="W59" i="21" s="1"/>
  <c r="V59" i="21" a="1"/>
  <c r="V59" i="21" s="1"/>
  <c r="W21" i="21" a="1"/>
  <c r="W21" i="21" s="1"/>
  <c r="V21" i="21" a="1"/>
  <c r="V21" i="21" s="1"/>
  <c r="W40" i="21" a="1"/>
  <c r="W40" i="21" s="1"/>
  <c r="V40" i="21" a="1"/>
  <c r="V40" i="21" s="1"/>
  <c r="W78" i="21" a="1"/>
  <c r="W78" i="21" s="1"/>
  <c r="V78" i="21" a="1"/>
  <c r="V78" i="21" s="1"/>
  <c r="AI58" i="21"/>
  <c r="AI20" i="21"/>
  <c r="AI77" i="21"/>
  <c r="AI39" i="21"/>
  <c r="I40" i="21"/>
  <c r="I21" i="21"/>
  <c r="I78" i="21"/>
  <c r="I59" i="21"/>
  <c r="Z20" i="21"/>
  <c r="Z58" i="21"/>
  <c r="S78" i="21"/>
  <c r="T78" i="21"/>
  <c r="AC78" i="21" s="1"/>
  <c r="S21" i="21"/>
  <c r="T21" i="21"/>
  <c r="AC21" i="21" s="1"/>
  <c r="S59" i="21"/>
  <c r="T59" i="21"/>
  <c r="AC59" i="21" s="1"/>
  <c r="Z77" i="21"/>
  <c r="S40" i="21"/>
  <c r="T40" i="21"/>
  <c r="AC40" i="21" s="1"/>
  <c r="Z39" i="21"/>
  <c r="Q78" i="21" a="1"/>
  <c r="Q78" i="21" s="1"/>
  <c r="R78" i="21"/>
  <c r="AA78" i="21" s="1"/>
  <c r="Q59" i="21" a="1"/>
  <c r="Q59" i="21" s="1"/>
  <c r="R59" i="21"/>
  <c r="AA59" i="21" s="1"/>
  <c r="Q40" i="21" a="1"/>
  <c r="Q40" i="21" s="1"/>
  <c r="R40" i="21"/>
  <c r="AA40" i="21" s="1"/>
  <c r="Q21" i="21" a="1"/>
  <c r="Q21" i="21" s="1"/>
  <c r="R21" i="21"/>
  <c r="AA21" i="21" s="1"/>
  <c r="O59" i="21" a="1"/>
  <c r="O59" i="21" s="1"/>
  <c r="P59" i="21" a="1"/>
  <c r="P59" i="21" s="1"/>
  <c r="O21" i="21" a="1"/>
  <c r="O21" i="21" s="1"/>
  <c r="P21" i="21" a="1"/>
  <c r="P21" i="21" s="1"/>
  <c r="O78" i="21" a="1"/>
  <c r="O78" i="21" s="1"/>
  <c r="P78" i="21" a="1"/>
  <c r="P78" i="21" s="1"/>
  <c r="O40" i="21" a="1"/>
  <c r="O40" i="21" s="1"/>
  <c r="P40" i="21" a="1"/>
  <c r="P40" i="21" s="1"/>
  <c r="N21" i="21"/>
  <c r="AF19" i="21"/>
  <c r="M40" i="21"/>
  <c r="N40" i="21"/>
  <c r="M78" i="21"/>
  <c r="N78" i="21"/>
  <c r="M59" i="21"/>
  <c r="N59" i="21"/>
  <c r="AG76" i="21"/>
  <c r="L21" i="21"/>
  <c r="M21" i="21"/>
  <c r="AF38" i="21"/>
  <c r="AB58" i="21" a="1"/>
  <c r="AB58" i="21" s="1"/>
  <c r="AF58" i="21" s="1"/>
  <c r="AF57" i="21"/>
  <c r="AB77" i="21" a="1"/>
  <c r="AB77" i="21" s="1"/>
  <c r="AF77" i="21" s="1"/>
  <c r="K40" i="21"/>
  <c r="L40" i="21"/>
  <c r="K78" i="21"/>
  <c r="L78" i="21"/>
  <c r="K59" i="21"/>
  <c r="L59" i="21"/>
  <c r="AB39" i="21" a="1"/>
  <c r="AB39" i="21" s="1"/>
  <c r="AG39" i="21" s="1"/>
  <c r="J21" i="21"/>
  <c r="K21" i="21"/>
  <c r="AB20" i="21" a="1"/>
  <c r="AB20" i="21" s="1"/>
  <c r="J59" i="21"/>
  <c r="J78" i="21"/>
  <c r="J40" i="21"/>
  <c r="H22" i="21"/>
  <c r="Y20" i="21"/>
  <c r="X20" i="21"/>
  <c r="H79" i="21"/>
  <c r="AK79" i="21" s="1"/>
  <c r="X77" i="21"/>
  <c r="Y77" i="21"/>
  <c r="H60" i="21"/>
  <c r="AK60" i="21" s="1"/>
  <c r="Y58" i="21"/>
  <c r="X58" i="21"/>
  <c r="H41" i="21"/>
  <c r="AK41" i="21" s="1"/>
  <c r="X39" i="21"/>
  <c r="Y39" i="21"/>
  <c r="R39" i="5"/>
  <c r="Q39" i="5" s="1"/>
  <c r="Z39" i="5" s="1"/>
  <c r="Y39" i="5" s="1"/>
  <c r="R38" i="5"/>
  <c r="Q38" i="5" s="1"/>
  <c r="Z38" i="5" s="1"/>
  <c r="Y38" i="5" s="1"/>
  <c r="R37" i="5"/>
  <c r="Q37" i="5" s="1"/>
  <c r="Z37" i="5" s="1"/>
  <c r="Y37" i="5" s="1"/>
  <c r="R36" i="5"/>
  <c r="Q36" i="5" s="1"/>
  <c r="Z36" i="5" s="1"/>
  <c r="Y36" i="5" s="1"/>
  <c r="T31" i="5"/>
  <c r="T30" i="5"/>
  <c r="T29" i="5"/>
  <c r="T28" i="5"/>
  <c r="T27" i="5"/>
  <c r="T26" i="5"/>
  <c r="U26" i="5" s="1"/>
  <c r="B139" i="4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25" i="4"/>
  <c r="B126" i="4" s="1"/>
  <c r="B127" i="4" s="1"/>
  <c r="B128" i="4" s="1"/>
  <c r="B129" i="4" s="1"/>
  <c r="B130" i="4" s="1"/>
  <c r="B131" i="4" s="1"/>
  <c r="B132" i="4" s="1"/>
  <c r="B110" i="4"/>
  <c r="B111" i="4" s="1"/>
  <c r="B112" i="4" s="1"/>
  <c r="B113" i="4" s="1"/>
  <c r="B114" i="4" s="1"/>
  <c r="B115" i="4" s="1"/>
  <c r="B116" i="4" s="1"/>
  <c r="B117" i="4" s="1"/>
  <c r="B118" i="4" s="1"/>
  <c r="B119" i="4" s="1"/>
  <c r="N106" i="4"/>
  <c r="B85" i="4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U82" i="4"/>
  <c r="M79" i="4"/>
  <c r="M121" i="4" s="1"/>
  <c r="N121" i="4" s="1"/>
  <c r="B71" i="4"/>
  <c r="B72" i="4" s="1"/>
  <c r="B73" i="4" s="1"/>
  <c r="B74" i="4" s="1"/>
  <c r="B75" i="4" s="1"/>
  <c r="B76" i="4" s="1"/>
  <c r="B77" i="4" s="1"/>
  <c r="B78" i="4" s="1"/>
  <c r="G65" i="4"/>
  <c r="G64" i="4"/>
  <c r="G63" i="4"/>
  <c r="G62" i="4"/>
  <c r="G61" i="4"/>
  <c r="G60" i="4"/>
  <c r="G59" i="4"/>
  <c r="G58" i="4"/>
  <c r="G57" i="4"/>
  <c r="G56" i="4"/>
  <c r="B56" i="4"/>
  <c r="B57" i="4" s="1"/>
  <c r="B58" i="4" s="1"/>
  <c r="B59" i="4" s="1"/>
  <c r="B60" i="4" s="1"/>
  <c r="B61" i="4" s="1"/>
  <c r="B62" i="4" s="1"/>
  <c r="B63" i="4" s="1"/>
  <c r="B64" i="4" s="1"/>
  <c r="B65" i="4" s="1"/>
  <c r="T53" i="4"/>
  <c r="T82" i="4" s="1"/>
  <c r="T107" i="4" s="1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B31" i="4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U28" i="4"/>
  <c r="M25" i="4"/>
  <c r="B139" i="2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25" i="2"/>
  <c r="B126" i="2" s="1"/>
  <c r="B127" i="2" s="1"/>
  <c r="B128" i="2" s="1"/>
  <c r="B129" i="2" s="1"/>
  <c r="B130" i="2" s="1"/>
  <c r="B131" i="2" s="1"/>
  <c r="B132" i="2" s="1"/>
  <c r="C119" i="2"/>
  <c r="C118" i="2"/>
  <c r="C117" i="2"/>
  <c r="C116" i="2"/>
  <c r="C115" i="2"/>
  <c r="C114" i="2"/>
  <c r="C113" i="2"/>
  <c r="C112" i="2"/>
  <c r="C111" i="2"/>
  <c r="B110" i="2"/>
  <c r="B111" i="2" s="1"/>
  <c r="B112" i="2" s="1"/>
  <c r="B113" i="2" s="1"/>
  <c r="B114" i="2" s="1"/>
  <c r="B115" i="2" s="1"/>
  <c r="B116" i="2" s="1"/>
  <c r="B117" i="2" s="1"/>
  <c r="B118" i="2" s="1"/>
  <c r="B119" i="2" s="1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B85" i="2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U82" i="2"/>
  <c r="M79" i="2"/>
  <c r="M121" i="2" s="1"/>
  <c r="N121" i="2" s="1"/>
  <c r="B71" i="2"/>
  <c r="B72" i="2" s="1"/>
  <c r="B73" i="2" s="1"/>
  <c r="B74" i="2" s="1"/>
  <c r="B75" i="2" s="1"/>
  <c r="B76" i="2" s="1"/>
  <c r="B77" i="2" s="1"/>
  <c r="B78" i="2" s="1"/>
  <c r="G65" i="2"/>
  <c r="G64" i="2"/>
  <c r="G63" i="2"/>
  <c r="G62" i="2"/>
  <c r="G61" i="2"/>
  <c r="G60" i="2"/>
  <c r="G59" i="2"/>
  <c r="G58" i="2"/>
  <c r="G57" i="2"/>
  <c r="G56" i="2"/>
  <c r="B56" i="2"/>
  <c r="B57" i="2" s="1"/>
  <c r="B58" i="2" s="1"/>
  <c r="B59" i="2" s="1"/>
  <c r="B60" i="2" s="1"/>
  <c r="B61" i="2" s="1"/>
  <c r="B62" i="2" s="1"/>
  <c r="B63" i="2" s="1"/>
  <c r="B64" i="2" s="1"/>
  <c r="B65" i="2" s="1"/>
  <c r="B31" i="2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U28" i="2"/>
  <c r="M25" i="2"/>
  <c r="M67" i="2" s="1"/>
  <c r="N67" i="2" s="1"/>
  <c r="D24" i="20"/>
  <c r="E20" i="20"/>
  <c r="K49" i="1"/>
  <c r="J49" i="1"/>
  <c r="H49" i="1"/>
  <c r="K48" i="1"/>
  <c r="CW22" i="3" s="1"/>
  <c r="J48" i="1"/>
  <c r="CU22" i="3"/>
  <c r="H48" i="1"/>
  <c r="K47" i="1"/>
  <c r="CW21" i="3" s="1"/>
  <c r="J47" i="1"/>
  <c r="CU21" i="3"/>
  <c r="H47" i="1"/>
  <c r="K46" i="1"/>
  <c r="J46" i="1"/>
  <c r="I46" i="1"/>
  <c r="H46" i="1"/>
  <c r="U43" i="1"/>
  <c r="I43" i="1" s="1"/>
  <c r="U42" i="1"/>
  <c r="I42" i="1" s="1"/>
  <c r="U41" i="1"/>
  <c r="U40" i="1"/>
  <c r="U39" i="1"/>
  <c r="I39" i="1" s="1"/>
  <c r="U33" i="1"/>
  <c r="U32" i="1"/>
  <c r="K24" i="1"/>
  <c r="J24" i="1"/>
  <c r="D23" i="1"/>
  <c r="B11" i="26" s="1"/>
  <c r="O21" i="1"/>
  <c r="F21" i="1"/>
  <c r="D21" i="1"/>
  <c r="E18" i="1"/>
  <c r="AO16" i="1"/>
  <c r="F13" i="1"/>
  <c r="CN6" i="3" s="1"/>
  <c r="CN7" i="3" s="1"/>
  <c r="CN8" i="3" s="1"/>
  <c r="CN9" i="3" s="1"/>
  <c r="CN10" i="3" s="1"/>
  <c r="CN11" i="3" s="1"/>
  <c r="CN12" i="3" s="1"/>
  <c r="CN13" i="3" s="1"/>
  <c r="CN14" i="3" s="1"/>
  <c r="CN15" i="3" s="1"/>
  <c r="CN16" i="3" s="1"/>
  <c r="CN17" i="3" s="1"/>
  <c r="CN18" i="3" s="1"/>
  <c r="CN19" i="3" s="1"/>
  <c r="CN20" i="3" s="1"/>
  <c r="CN21" i="3" s="1"/>
  <c r="CN22" i="3" s="1"/>
  <c r="CN23" i="3" s="1"/>
  <c r="CN24" i="3" s="1"/>
  <c r="CN25" i="3" s="1"/>
  <c r="CN26" i="3" s="1"/>
  <c r="CN27" i="3" s="1"/>
  <c r="CN28" i="3" s="1"/>
  <c r="CN29" i="3" s="1"/>
  <c r="CN30" i="3" s="1"/>
  <c r="CN31" i="3" s="1"/>
  <c r="CN32" i="3" s="1"/>
  <c r="CN33" i="3" s="1"/>
  <c r="CN34" i="3" s="1"/>
  <c r="CN35" i="3" s="1"/>
  <c r="CN36" i="3" s="1"/>
  <c r="B8" i="1"/>
  <c r="CK6" i="3" s="1"/>
  <c r="CK7" i="3" s="1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K21" i="3" s="1"/>
  <c r="CK22" i="3" s="1"/>
  <c r="CK23" i="3" s="1"/>
  <c r="CK24" i="3" s="1"/>
  <c r="CK25" i="3" s="1"/>
  <c r="CK26" i="3" s="1"/>
  <c r="CK27" i="3" s="1"/>
  <c r="CK28" i="3" s="1"/>
  <c r="CK29" i="3" s="1"/>
  <c r="CK30" i="3" s="1"/>
  <c r="CK31" i="3" s="1"/>
  <c r="CK32" i="3" s="1"/>
  <c r="CK33" i="3" s="1"/>
  <c r="CK34" i="3" s="1"/>
  <c r="CK35" i="3" s="1"/>
  <c r="CK36" i="3" s="1"/>
  <c r="L6" i="1"/>
  <c r="K6" i="1"/>
  <c r="J6" i="1"/>
  <c r="I6" i="1"/>
  <c r="H6" i="1"/>
  <c r="G6" i="1"/>
  <c r="F6" i="1"/>
  <c r="E6" i="1"/>
  <c r="D6" i="1"/>
  <c r="C6" i="1"/>
  <c r="B6" i="1"/>
  <c r="D21" i="16"/>
  <c r="D20" i="16"/>
  <c r="D17" i="16"/>
  <c r="D15" i="16" a="1"/>
  <c r="D15" i="16" s="1"/>
  <c r="D14" i="16"/>
  <c r="R7" i="16"/>
  <c r="Q7" i="16"/>
  <c r="O7" i="16"/>
  <c r="R6" i="16"/>
  <c r="Q6" i="16"/>
  <c r="O6" i="16"/>
  <c r="R5" i="16"/>
  <c r="Q5" i="16"/>
  <c r="P5" i="16"/>
  <c r="P6" i="16" s="1"/>
  <c r="O5" i="16"/>
  <c r="R4" i="16"/>
  <c r="Q4" i="16"/>
  <c r="P4" i="16"/>
  <c r="O4" i="16"/>
  <c r="I4" i="16"/>
  <c r="H4" i="16"/>
  <c r="F14" i="6"/>
  <c r="F13" i="6"/>
  <c r="F12" i="6"/>
  <c r="F7" i="6"/>
  <c r="AA14" i="21" s="1"/>
  <c r="N4" i="6"/>
  <c r="N5" i="6" s="1"/>
  <c r="B79" i="3"/>
  <c r="B78" i="3"/>
  <c r="AC15" i="21" l="1"/>
  <c r="AH15" i="21" s="1"/>
  <c r="AC16" i="21"/>
  <c r="AC17" i="21"/>
  <c r="AH17" i="21" s="1"/>
  <c r="AC18" i="21"/>
  <c r="AH18" i="21" s="1"/>
  <c r="AC19" i="21"/>
  <c r="AH19" i="21" s="1"/>
  <c r="AC20" i="21"/>
  <c r="AH20" i="21" s="1"/>
  <c r="AC51" i="21"/>
  <c r="AH51" i="21" s="1"/>
  <c r="AC13" i="21"/>
  <c r="AH13" i="21" s="1"/>
  <c r="AC14" i="21"/>
  <c r="AH14" i="21" s="1"/>
  <c r="BW41" i="21"/>
  <c r="N4" i="16"/>
  <c r="N6" i="16"/>
  <c r="N5" i="16"/>
  <c r="D113" i="2" a="1"/>
  <c r="D113" i="2" s="1"/>
  <c r="E113" i="2" a="1"/>
  <c r="E113" i="2" s="1"/>
  <c r="F113" i="2" a="1"/>
  <c r="F113" i="2" s="1"/>
  <c r="K113" i="2" s="1" a="1"/>
  <c r="K113" i="2" s="1"/>
  <c r="AJ113" i="2" s="1"/>
  <c r="AI113" i="2" s="1"/>
  <c r="D112" i="2" a="1"/>
  <c r="D112" i="2" s="1"/>
  <c r="F112" i="2" a="1"/>
  <c r="F112" i="2" s="1"/>
  <c r="E112" i="2" a="1"/>
  <c r="E112" i="2" s="1"/>
  <c r="K112" i="2" s="1" a="1"/>
  <c r="K112" i="2" s="1"/>
  <c r="AJ112" i="2" s="1"/>
  <c r="AI112" i="2" s="1"/>
  <c r="E114" i="2" a="1"/>
  <c r="E114" i="2" s="1"/>
  <c r="D114" i="2" a="1"/>
  <c r="D114" i="2" s="1"/>
  <c r="F114" i="2" a="1"/>
  <c r="F114" i="2" s="1"/>
  <c r="K114" i="2" s="1" a="1"/>
  <c r="K114" i="2" s="1"/>
  <c r="AJ114" i="2" s="1"/>
  <c r="AI114" i="2" s="1"/>
  <c r="F115" i="2" a="1"/>
  <c r="F115" i="2" s="1"/>
  <c r="E115" i="2" a="1"/>
  <c r="E115" i="2" s="1"/>
  <c r="D115" i="2" a="1"/>
  <c r="D115" i="2" s="1"/>
  <c r="K115" i="2" s="1" a="1"/>
  <c r="K115" i="2" s="1"/>
  <c r="AJ115" i="2" s="1"/>
  <c r="AI115" i="2" s="1"/>
  <c r="F116" i="2" a="1"/>
  <c r="F116" i="2" s="1"/>
  <c r="E116" i="2" a="1"/>
  <c r="E116" i="2" s="1"/>
  <c r="D116" i="2" a="1"/>
  <c r="D116" i="2" s="1"/>
  <c r="K116" i="2" s="1" a="1"/>
  <c r="K116" i="2" s="1"/>
  <c r="AJ116" i="2" s="1"/>
  <c r="AI116" i="2" s="1"/>
  <c r="F118" i="2" a="1"/>
  <c r="F118" i="2" s="1"/>
  <c r="D118" i="2" a="1"/>
  <c r="D118" i="2" s="1"/>
  <c r="E118" i="2" a="1"/>
  <c r="E118" i="2" s="1"/>
  <c r="F117" i="2" a="1"/>
  <c r="F117" i="2" s="1"/>
  <c r="D117" i="2" a="1"/>
  <c r="D117" i="2" s="1"/>
  <c r="E117" i="2" a="1"/>
  <c r="E117" i="2" s="1"/>
  <c r="F119" i="2" a="1"/>
  <c r="F119" i="2" s="1"/>
  <c r="D119" i="2" a="1"/>
  <c r="D119" i="2" s="1"/>
  <c r="E119" i="2" a="1"/>
  <c r="E119" i="2" s="1"/>
  <c r="D111" i="2" a="1"/>
  <c r="D111" i="2" s="1"/>
  <c r="F111" i="2" a="1"/>
  <c r="F111" i="2" s="1"/>
  <c r="E111" i="2" a="1"/>
  <c r="E111" i="2" s="1"/>
  <c r="K111" i="2" s="1" a="1"/>
  <c r="K111" i="2" s="1"/>
  <c r="AJ111" i="2" s="1"/>
  <c r="AI111" i="2" s="1"/>
  <c r="L31" i="2"/>
  <c r="L110" i="2"/>
  <c r="AJ110" i="2" s="1"/>
  <c r="AI110" i="2" s="1"/>
  <c r="AJ59" i="21"/>
  <c r="AJ21" i="21"/>
  <c r="AJ78" i="21"/>
  <c r="AH40" i="21"/>
  <c r="AJ40" i="21"/>
  <c r="AO22" i="21"/>
  <c r="AK22" i="21"/>
  <c r="CB42" i="21"/>
  <c r="CC42" i="21"/>
  <c r="CB52" i="21"/>
  <c r="CC52" i="21"/>
  <c r="CB22" i="21"/>
  <c r="CC22" i="21"/>
  <c r="CB32" i="21"/>
  <c r="CC32" i="21"/>
  <c r="BW51" i="21"/>
  <c r="BZ22" i="21"/>
  <c r="CA22" i="21"/>
  <c r="BZ32" i="21"/>
  <c r="CA32" i="21"/>
  <c r="BZ42" i="21"/>
  <c r="CA42" i="21"/>
  <c r="BZ52" i="21"/>
  <c r="CA52" i="21"/>
  <c r="BQ51" i="21"/>
  <c r="BW21" i="21"/>
  <c r="BW31" i="21"/>
  <c r="BQ41" i="21"/>
  <c r="BP21" i="21"/>
  <c r="BM31" i="21"/>
  <c r="BN31" i="21"/>
  <c r="BO31" i="21"/>
  <c r="BQ31" i="21"/>
  <c r="BO41" i="21"/>
  <c r="BM41" i="21"/>
  <c r="BN41" i="21"/>
  <c r="AW52" i="21"/>
  <c r="BC52" i="21"/>
  <c r="BB52" i="21"/>
  <c r="BS52" i="21" s="1"/>
  <c r="BF52" i="21"/>
  <c r="BK52" i="21"/>
  <c r="BX52" i="21" s="1"/>
  <c r="BJ52" i="21"/>
  <c r="BH52" i="21"/>
  <c r="BR52" i="21" s="1"/>
  <c r="BA52" i="21"/>
  <c r="AX52" i="21"/>
  <c r="BE52" i="21"/>
  <c r="BG52" i="21"/>
  <c r="BI52" i="21"/>
  <c r="BD52" i="21"/>
  <c r="BL52" i="21" s="1"/>
  <c r="AZ52" i="21"/>
  <c r="AY52" i="21"/>
  <c r="BN21" i="21"/>
  <c r="BO21" i="21"/>
  <c r="BM21" i="21"/>
  <c r="AW22" i="21"/>
  <c r="BK22" i="21"/>
  <c r="BX22" i="21" s="1"/>
  <c r="BJ22" i="21"/>
  <c r="BH22" i="21"/>
  <c r="BR22" i="21" s="1"/>
  <c r="BI22" i="21"/>
  <c r="BG22" i="21"/>
  <c r="BA22" i="21"/>
  <c r="AX22" i="21"/>
  <c r="BD22" i="21"/>
  <c r="BL22" i="21" s="1"/>
  <c r="AY22" i="21"/>
  <c r="BF22" i="21"/>
  <c r="BC22" i="21"/>
  <c r="BB22" i="21"/>
  <c r="BS22" i="21" s="1"/>
  <c r="BE22" i="21"/>
  <c r="AZ22" i="21"/>
  <c r="BO51" i="21"/>
  <c r="BM51" i="21"/>
  <c r="BN51" i="21"/>
  <c r="BP31" i="21"/>
  <c r="AW32" i="21"/>
  <c r="BC32" i="21"/>
  <c r="BB32" i="21"/>
  <c r="BS32" i="21" s="1"/>
  <c r="BF32" i="21"/>
  <c r="AX32" i="21"/>
  <c r="AZ32" i="21"/>
  <c r="BE32" i="21"/>
  <c r="BK32" i="21"/>
  <c r="BX32" i="21" s="1"/>
  <c r="BJ32" i="21"/>
  <c r="BH32" i="21"/>
  <c r="BG32" i="21"/>
  <c r="BA32" i="21"/>
  <c r="BD32" i="21"/>
  <c r="BL32" i="21" s="1"/>
  <c r="AY32" i="21"/>
  <c r="BI32" i="21"/>
  <c r="BQ21" i="21"/>
  <c r="BP41" i="21"/>
  <c r="BP51" i="21"/>
  <c r="AW42" i="21"/>
  <c r="BE42" i="21"/>
  <c r="BK42" i="21"/>
  <c r="BX42" i="21" s="1"/>
  <c r="BD42" i="21"/>
  <c r="BL42" i="21" s="1"/>
  <c r="AY42" i="21"/>
  <c r="BC42" i="21"/>
  <c r="BB42" i="21"/>
  <c r="BS42" i="21" s="1"/>
  <c r="AZ42" i="21"/>
  <c r="BI42" i="21"/>
  <c r="AX42" i="21"/>
  <c r="BF42" i="21"/>
  <c r="BA42" i="21"/>
  <c r="BJ42" i="21"/>
  <c r="BH42" i="21"/>
  <c r="BR42" i="21" s="1"/>
  <c r="BG42" i="21"/>
  <c r="AN41" i="21"/>
  <c r="AO41" i="21"/>
  <c r="AN60" i="21"/>
  <c r="AO60" i="21"/>
  <c r="AN79" i="21"/>
  <c r="AO79" i="21"/>
  <c r="AM22" i="21"/>
  <c r="AN22" i="21"/>
  <c r="AL60" i="21"/>
  <c r="AM60" i="21"/>
  <c r="AL79" i="21"/>
  <c r="AM79" i="21"/>
  <c r="AL41" i="21"/>
  <c r="AM41" i="21"/>
  <c r="AL22" i="21"/>
  <c r="U79" i="21" a="1"/>
  <c r="U79" i="21" s="1"/>
  <c r="U41" i="21" a="1"/>
  <c r="U41" i="21" s="1"/>
  <c r="U60" i="21" a="1"/>
  <c r="U60" i="21" s="1"/>
  <c r="CL6" i="3"/>
  <c r="CL7" i="3" s="1"/>
  <c r="CL8" i="3" s="1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L21" i="3" s="1"/>
  <c r="CL22" i="3" s="1"/>
  <c r="CL23" i="3" s="1"/>
  <c r="CL24" i="3" s="1"/>
  <c r="CL25" i="3" s="1"/>
  <c r="CL26" i="3" s="1"/>
  <c r="CL27" i="3" s="1"/>
  <c r="CL28" i="3" s="1"/>
  <c r="CL29" i="3" s="1"/>
  <c r="CL30" i="3" s="1"/>
  <c r="CL31" i="3" s="1"/>
  <c r="CL32" i="3" s="1"/>
  <c r="CL33" i="3" s="1"/>
  <c r="CL34" i="3" s="1"/>
  <c r="CL35" i="3" s="1"/>
  <c r="CL36" i="3" s="1"/>
  <c r="AF14" i="21"/>
  <c r="AG14" i="21"/>
  <c r="V32" i="1"/>
  <c r="W32" i="1"/>
  <c r="X32" i="1"/>
  <c r="Y32" i="1"/>
  <c r="V39" i="1"/>
  <c r="W39" i="1"/>
  <c r="X39" i="1"/>
  <c r="Y39" i="1"/>
  <c r="W40" i="1"/>
  <c r="X40" i="1"/>
  <c r="Y40" i="1"/>
  <c r="V40" i="1"/>
  <c r="V41" i="1"/>
  <c r="W41" i="1"/>
  <c r="X41" i="1"/>
  <c r="Y41" i="1"/>
  <c r="V42" i="1"/>
  <c r="W42" i="1"/>
  <c r="X42" i="1"/>
  <c r="Y42" i="1"/>
  <c r="W43" i="1"/>
  <c r="X43" i="1"/>
  <c r="Y43" i="1"/>
  <c r="V43" i="1"/>
  <c r="V33" i="1"/>
  <c r="W33" i="1"/>
  <c r="X33" i="1"/>
  <c r="Y33" i="1"/>
  <c r="N6" i="6"/>
  <c r="N7" i="6" s="1"/>
  <c r="N8" i="6" s="1"/>
  <c r="N9" i="6" s="1"/>
  <c r="N10" i="6" s="1"/>
  <c r="N11" i="6" s="1"/>
  <c r="N12" i="6" s="1"/>
  <c r="N13" i="6" s="1"/>
  <c r="N14" i="6" s="1"/>
  <c r="N15" i="6" s="1"/>
  <c r="H46" i="25"/>
  <c r="I64" i="17" a="1"/>
  <c r="I64" i="17" s="1"/>
  <c r="H51" i="25"/>
  <c r="I50" i="25"/>
  <c r="H50" i="25"/>
  <c r="I49" i="25"/>
  <c r="H49" i="25"/>
  <c r="I63" i="25" a="1"/>
  <c r="I63" i="25" s="1"/>
  <c r="H63" i="25" a="1"/>
  <c r="H63" i="25" s="1"/>
  <c r="I62" i="25" a="1"/>
  <c r="I62" i="25" s="1"/>
  <c r="H62" i="25" a="1"/>
  <c r="H62" i="25" s="1"/>
  <c r="I51" i="25"/>
  <c r="I44" i="25"/>
  <c r="H44" i="25"/>
  <c r="B21" i="5"/>
  <c r="B11" i="24"/>
  <c r="D24" i="25"/>
  <c r="I48" i="25"/>
  <c r="I46" i="25"/>
  <c r="CV20" i="3"/>
  <c r="I45" i="25"/>
  <c r="L37" i="2"/>
  <c r="CT22" i="3"/>
  <c r="H47" i="25"/>
  <c r="CV22" i="3"/>
  <c r="I47" i="25"/>
  <c r="CT23" i="3"/>
  <c r="H48" i="25"/>
  <c r="L45" i="2"/>
  <c r="CT20" i="3"/>
  <c r="H45" i="25"/>
  <c r="CV8" i="3"/>
  <c r="L41" i="2"/>
  <c r="L39" i="2"/>
  <c r="L35" i="2"/>
  <c r="L33" i="2"/>
  <c r="L45" i="4"/>
  <c r="BR47" i="21"/>
  <c r="BV47" i="21" s="1"/>
  <c r="BR49" i="21"/>
  <c r="BV49" i="21" s="1"/>
  <c r="BR43" i="21"/>
  <c r="BV43" i="21" s="1"/>
  <c r="BR20" i="21"/>
  <c r="BV20" i="21" s="1"/>
  <c r="BR48" i="21"/>
  <c r="BV48" i="21" s="1"/>
  <c r="BR50" i="21"/>
  <c r="BV50" i="21" s="1"/>
  <c r="BR19" i="21"/>
  <c r="BV19" i="21" s="1"/>
  <c r="BR35" i="21"/>
  <c r="BV35" i="21" s="1"/>
  <c r="BR21" i="21"/>
  <c r="BV21" i="21" s="1"/>
  <c r="BR46" i="21"/>
  <c r="BV46" i="21" s="1"/>
  <c r="BR36" i="21"/>
  <c r="BV36" i="21" s="1"/>
  <c r="BR29" i="21"/>
  <c r="BV29" i="21" s="1"/>
  <c r="BR18" i="21"/>
  <c r="BV18" i="21" s="1"/>
  <c r="BR45" i="21"/>
  <c r="BV45" i="21" s="1"/>
  <c r="BR24" i="21"/>
  <c r="BV24" i="21" s="1"/>
  <c r="BR15" i="21"/>
  <c r="BV15" i="21" s="1"/>
  <c r="BR40" i="21"/>
  <c r="BV40" i="21" s="1"/>
  <c r="BR23" i="21"/>
  <c r="BV23" i="21" s="1"/>
  <c r="BR38" i="21"/>
  <c r="BV38" i="21" s="1"/>
  <c r="BR13" i="21"/>
  <c r="BV13" i="21" s="1"/>
  <c r="BR41" i="21"/>
  <c r="BV41" i="21" s="1"/>
  <c r="BR30" i="21"/>
  <c r="BV30" i="21" s="1"/>
  <c r="BR39" i="21"/>
  <c r="BV39" i="21" s="1"/>
  <c r="BR16" i="21"/>
  <c r="BV16" i="21" s="1"/>
  <c r="BR14" i="21"/>
  <c r="BV14" i="21" s="1"/>
  <c r="BR33" i="21"/>
  <c r="BV33" i="21" s="1"/>
  <c r="BR31" i="21"/>
  <c r="BV31" i="21" s="1"/>
  <c r="BR34" i="21"/>
  <c r="BV34" i="21" s="1"/>
  <c r="BR17" i="21"/>
  <c r="BV17" i="21" s="1"/>
  <c r="BR37" i="21"/>
  <c r="BV37" i="21" s="1"/>
  <c r="BR25" i="21"/>
  <c r="BV25" i="21" s="1"/>
  <c r="BR26" i="21"/>
  <c r="BV26" i="21" s="1"/>
  <c r="BR44" i="21"/>
  <c r="BV44" i="21" s="1"/>
  <c r="BR27" i="21"/>
  <c r="BV27" i="21" s="1"/>
  <c r="BR51" i="21"/>
  <c r="BV51" i="21" s="1"/>
  <c r="BR28" i="21"/>
  <c r="BV28" i="21" s="1"/>
  <c r="L57" i="2"/>
  <c r="AJ57" i="2" s="1"/>
  <c r="AI57" i="2" s="1"/>
  <c r="L59" i="4"/>
  <c r="AJ59" i="4" s="1"/>
  <c r="AI59" i="4" s="1"/>
  <c r="L58" i="2"/>
  <c r="AJ58" i="2" s="1"/>
  <c r="AI58" i="2" s="1"/>
  <c r="L60" i="4"/>
  <c r="AJ60" i="4" s="1"/>
  <c r="AI60" i="4" s="1"/>
  <c r="L59" i="2"/>
  <c r="AJ59" i="2" s="1"/>
  <c r="AI59" i="2" s="1"/>
  <c r="L61" i="4"/>
  <c r="AJ61" i="4" s="1"/>
  <c r="AI61" i="4" s="1"/>
  <c r="L63" i="2"/>
  <c r="AJ63" i="2" s="1"/>
  <c r="AI63" i="2" s="1"/>
  <c r="L65" i="2"/>
  <c r="AJ65" i="2" s="1"/>
  <c r="AI65" i="2" s="1"/>
  <c r="L58" i="4"/>
  <c r="AJ58" i="4" s="1"/>
  <c r="AI58" i="4" s="1"/>
  <c r="L65" i="4"/>
  <c r="AJ65" i="4" s="1"/>
  <c r="AI65" i="4" s="1"/>
  <c r="L64" i="2"/>
  <c r="AJ64" i="2" s="1"/>
  <c r="AI64" i="2" s="1"/>
  <c r="L60" i="2"/>
  <c r="AJ60" i="2" s="1"/>
  <c r="AI60" i="2" s="1"/>
  <c r="L62" i="4"/>
  <c r="AJ62" i="4" s="1"/>
  <c r="AI62" i="4" s="1"/>
  <c r="L64" i="4"/>
  <c r="AJ64" i="4" s="1"/>
  <c r="AI64" i="4" s="1"/>
  <c r="L61" i="2"/>
  <c r="AJ61" i="2" s="1"/>
  <c r="AI61" i="2" s="1"/>
  <c r="L63" i="4"/>
  <c r="AJ63" i="4" s="1"/>
  <c r="AI63" i="4" s="1"/>
  <c r="L62" i="2"/>
  <c r="AJ62" i="2" s="1"/>
  <c r="AI62" i="2" s="1"/>
  <c r="L56" i="4"/>
  <c r="AJ56" i="4" s="1"/>
  <c r="AI56" i="4" s="1"/>
  <c r="L57" i="4"/>
  <c r="AJ57" i="4" s="1"/>
  <c r="AI57" i="4" s="1"/>
  <c r="L56" i="2"/>
  <c r="AJ56" i="2" s="1"/>
  <c r="AI56" i="2" s="1"/>
  <c r="K31" i="2"/>
  <c r="AA13" i="21"/>
  <c r="L33" i="4"/>
  <c r="CJ6" i="3"/>
  <c r="CJ7" i="3" s="1"/>
  <c r="AH32" i="21"/>
  <c r="AH70" i="21"/>
  <c r="AH33" i="21"/>
  <c r="AH71" i="21"/>
  <c r="AH52" i="21"/>
  <c r="AH72" i="21"/>
  <c r="AH34" i="21"/>
  <c r="AH53" i="21"/>
  <c r="L89" i="2"/>
  <c r="L101" i="2"/>
  <c r="AJ101" i="2" s="1"/>
  <c r="AI101" i="2" s="1"/>
  <c r="L90" i="2"/>
  <c r="L102" i="2"/>
  <c r="AJ102" i="2" s="1"/>
  <c r="AI102" i="2" s="1"/>
  <c r="L91" i="2"/>
  <c r="AJ91" i="2" s="1"/>
  <c r="AI91" i="2" s="1"/>
  <c r="L103" i="2"/>
  <c r="AJ103" i="2" s="1"/>
  <c r="AI103" i="2" s="1"/>
  <c r="AH35" i="21"/>
  <c r="L93" i="2"/>
  <c r="AJ93" i="2" s="1"/>
  <c r="AI93" i="2" s="1"/>
  <c r="L95" i="2"/>
  <c r="AJ95" i="2" s="1"/>
  <c r="AI95" i="2" s="1"/>
  <c r="L94" i="2"/>
  <c r="AJ94" i="2" s="1"/>
  <c r="AI94" i="2" s="1"/>
  <c r="AH16" i="21"/>
  <c r="AH73" i="21"/>
  <c r="L96" i="2"/>
  <c r="AJ96" i="2" s="1"/>
  <c r="AI96" i="2" s="1"/>
  <c r="L92" i="2"/>
  <c r="AJ92" i="2" s="1"/>
  <c r="AI92" i="2" s="1"/>
  <c r="L97" i="2"/>
  <c r="AJ97" i="2" s="1"/>
  <c r="AI97" i="2" s="1"/>
  <c r="L86" i="2"/>
  <c r="AJ86" i="2" s="1"/>
  <c r="AI86" i="2" s="1"/>
  <c r="L98" i="2"/>
  <c r="AJ98" i="2" s="1"/>
  <c r="AI98" i="2" s="1"/>
  <c r="L87" i="2"/>
  <c r="L99" i="2"/>
  <c r="AJ99" i="2" s="1"/>
  <c r="AI99" i="2" s="1"/>
  <c r="L88" i="2"/>
  <c r="L100" i="2"/>
  <c r="AJ100" i="2" s="1"/>
  <c r="AI100" i="2" s="1"/>
  <c r="AH54" i="21"/>
  <c r="AH55" i="21"/>
  <c r="AH74" i="21"/>
  <c r="AH36" i="21"/>
  <c r="AH37" i="21"/>
  <c r="AH56" i="21"/>
  <c r="AH75" i="21"/>
  <c r="AH76" i="21"/>
  <c r="AH57" i="21"/>
  <c r="AH38" i="21"/>
  <c r="L47" i="2"/>
  <c r="L36" i="4"/>
  <c r="L48" i="4"/>
  <c r="AH39" i="21"/>
  <c r="AH58" i="21"/>
  <c r="L43" i="4"/>
  <c r="L32" i="2"/>
  <c r="L34" i="2"/>
  <c r="L36" i="2"/>
  <c r="L38" i="2"/>
  <c r="L40" i="2"/>
  <c r="L42" i="2"/>
  <c r="L44" i="2"/>
  <c r="L46" i="2"/>
  <c r="L48" i="2"/>
  <c r="L41" i="4"/>
  <c r="L34" i="4"/>
  <c r="L46" i="4"/>
  <c r="L38" i="4"/>
  <c r="L39" i="4"/>
  <c r="L32" i="4"/>
  <c r="L44" i="4"/>
  <c r="L37" i="4"/>
  <c r="L49" i="4"/>
  <c r="AH77" i="21"/>
  <c r="L42" i="4"/>
  <c r="L43" i="2"/>
  <c r="L49" i="2"/>
  <c r="L35" i="4"/>
  <c r="L47" i="4"/>
  <c r="L40" i="4"/>
  <c r="U22" i="21" a="1"/>
  <c r="U22" i="21" s="1"/>
  <c r="W79" i="21" a="1"/>
  <c r="W79" i="21" s="1"/>
  <c r="V79" i="21" a="1"/>
  <c r="V79" i="21" s="1"/>
  <c r="W22" i="21" a="1"/>
  <c r="W22" i="21" s="1"/>
  <c r="V22" i="21" a="1"/>
  <c r="V22" i="21" s="1"/>
  <c r="W41" i="21" a="1"/>
  <c r="W41" i="21" s="1"/>
  <c r="V41" i="21" a="1"/>
  <c r="V41" i="21" s="1"/>
  <c r="W60" i="21" a="1"/>
  <c r="W60" i="21" s="1"/>
  <c r="V60" i="21" a="1"/>
  <c r="V60" i="21" s="1"/>
  <c r="AI40" i="21"/>
  <c r="AI21" i="21"/>
  <c r="AI78" i="21"/>
  <c r="AI59" i="21"/>
  <c r="I79" i="21"/>
  <c r="I22" i="21"/>
  <c r="I41" i="21"/>
  <c r="I60" i="21"/>
  <c r="S60" i="21"/>
  <c r="T60" i="21"/>
  <c r="AC60" i="21" s="1"/>
  <c r="Z59" i="21"/>
  <c r="AH59" i="21"/>
  <c r="S79" i="21"/>
  <c r="T79" i="21"/>
  <c r="AC79" i="21" s="1"/>
  <c r="Z21" i="21"/>
  <c r="AH21" i="21"/>
  <c r="Z78" i="21"/>
  <c r="AH78" i="21"/>
  <c r="S22" i="21"/>
  <c r="T22" i="21"/>
  <c r="AC22" i="21" s="1"/>
  <c r="S41" i="21"/>
  <c r="T41" i="21"/>
  <c r="AC41" i="21" s="1"/>
  <c r="Z40" i="21"/>
  <c r="Q22" i="21" a="1"/>
  <c r="Q22" i="21" s="1"/>
  <c r="R22" i="21"/>
  <c r="AA22" i="21" s="1"/>
  <c r="Q60" i="21" a="1"/>
  <c r="Q60" i="21" s="1"/>
  <c r="R60" i="21"/>
  <c r="AA60" i="21" s="1"/>
  <c r="Q79" i="21" a="1"/>
  <c r="Q79" i="21" s="1"/>
  <c r="R79" i="21"/>
  <c r="AA79" i="21" s="1"/>
  <c r="Q41" i="21" a="1"/>
  <c r="Q41" i="21" s="1"/>
  <c r="R41" i="21"/>
  <c r="AA41" i="21" s="1"/>
  <c r="O60" i="21" a="1"/>
  <c r="O60" i="21" s="1"/>
  <c r="P60" i="21" a="1"/>
  <c r="P60" i="21" s="1"/>
  <c r="O79" i="21" a="1"/>
  <c r="O79" i="21" s="1"/>
  <c r="P79" i="21" a="1"/>
  <c r="P79" i="21" s="1"/>
  <c r="O22" i="21" a="1"/>
  <c r="O22" i="21" s="1"/>
  <c r="P22" i="21" a="1"/>
  <c r="P22" i="21" s="1"/>
  <c r="O41" i="21" a="1"/>
  <c r="O41" i="21" s="1"/>
  <c r="P41" i="21" a="1"/>
  <c r="P41" i="21" s="1"/>
  <c r="N22" i="21"/>
  <c r="M79" i="21"/>
  <c r="N79" i="21"/>
  <c r="M41" i="21"/>
  <c r="N41" i="21"/>
  <c r="M60" i="21"/>
  <c r="N60" i="21"/>
  <c r="AB78" i="21" a="1"/>
  <c r="AB78" i="21" s="1"/>
  <c r="AG78" i="21" s="1"/>
  <c r="AB21" i="21" a="1"/>
  <c r="AB21" i="21" s="1"/>
  <c r="AG21" i="21" s="1"/>
  <c r="AB40" i="21" a="1"/>
  <c r="AB40" i="21" s="1"/>
  <c r="AG40" i="21" s="1"/>
  <c r="L22" i="21"/>
  <c r="M22" i="21"/>
  <c r="AG58" i="21"/>
  <c r="AG77" i="21"/>
  <c r="AB59" i="21" a="1"/>
  <c r="AB59" i="21" s="1"/>
  <c r="AG59" i="21" s="1"/>
  <c r="K41" i="21"/>
  <c r="L41" i="21"/>
  <c r="K60" i="21"/>
  <c r="L60" i="21"/>
  <c r="K79" i="21"/>
  <c r="L79" i="21"/>
  <c r="AF39" i="21"/>
  <c r="J22" i="21"/>
  <c r="K22" i="21"/>
  <c r="AF20" i="21"/>
  <c r="AG20" i="21"/>
  <c r="J60" i="21"/>
  <c r="J79" i="21"/>
  <c r="J41" i="21"/>
  <c r="Y21" i="21"/>
  <c r="X21" i="21"/>
  <c r="H23" i="21"/>
  <c r="X59" i="21"/>
  <c r="Y59" i="21"/>
  <c r="X78" i="21"/>
  <c r="Y78" i="21"/>
  <c r="H61" i="21"/>
  <c r="AK61" i="21" s="1"/>
  <c r="H80" i="21"/>
  <c r="AK80" i="21" s="1"/>
  <c r="Y40" i="21"/>
  <c r="X40" i="21"/>
  <c r="H42" i="21"/>
  <c r="AK42" i="21" s="1"/>
  <c r="AM4" i="3"/>
  <c r="AN4" i="3"/>
  <c r="E19" i="1"/>
  <c r="CM6" i="3"/>
  <c r="CM7" i="3" s="1"/>
  <c r="CM8" i="3" s="1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M29" i="3" s="1"/>
  <c r="CM30" i="3" s="1"/>
  <c r="CM31" i="3" s="1"/>
  <c r="CM32" i="3" s="1"/>
  <c r="CM33" i="3" s="1"/>
  <c r="CM34" i="3" s="1"/>
  <c r="CM35" i="3" s="1"/>
  <c r="CM36" i="3" s="1"/>
  <c r="I46" i="20"/>
  <c r="CU20" i="3"/>
  <c r="K46" i="20"/>
  <c r="CW20" i="3"/>
  <c r="I49" i="20"/>
  <c r="CU23" i="3"/>
  <c r="K49" i="20"/>
  <c r="CW23" i="3"/>
  <c r="H47" i="20"/>
  <c r="CT21" i="3"/>
  <c r="J47" i="20"/>
  <c r="CV21" i="3"/>
  <c r="J49" i="20"/>
  <c r="CV23" i="3"/>
  <c r="P7" i="16"/>
  <c r="N7" i="16" s="1"/>
  <c r="H64" i="17" a="1"/>
  <c r="H64" i="17" s="1"/>
  <c r="I63" i="17" a="1"/>
  <c r="I63" i="17" s="1"/>
  <c r="H63" i="17" a="1"/>
  <c r="H63" i="17" s="1"/>
  <c r="L53" i="1"/>
  <c r="K52" i="25" s="1"/>
  <c r="L54" i="1"/>
  <c r="K53" i="25" s="1"/>
  <c r="L85" i="2"/>
  <c r="L116" i="4"/>
  <c r="AJ116" i="4" s="1"/>
  <c r="AI116" i="4" s="1"/>
  <c r="L117" i="4"/>
  <c r="AJ117" i="4" s="1"/>
  <c r="AI117" i="4" s="1"/>
  <c r="L119" i="4"/>
  <c r="AJ119" i="4" s="1"/>
  <c r="AI119" i="4" s="1"/>
  <c r="L110" i="4"/>
  <c r="AJ110" i="4" s="1"/>
  <c r="AI110" i="4" s="1"/>
  <c r="L111" i="4"/>
  <c r="AJ111" i="4" s="1"/>
  <c r="AI111" i="4" s="1"/>
  <c r="L114" i="4"/>
  <c r="AJ114" i="4" s="1"/>
  <c r="AI114" i="4" s="1"/>
  <c r="L112" i="4"/>
  <c r="AJ112" i="4" s="1"/>
  <c r="AI112" i="4" s="1"/>
  <c r="L113" i="4"/>
  <c r="AJ113" i="4" s="1"/>
  <c r="AI113" i="4" s="1"/>
  <c r="L115" i="4"/>
  <c r="AJ115" i="4" s="1"/>
  <c r="AI115" i="4" s="1"/>
  <c r="L118" i="4"/>
  <c r="AJ118" i="4" s="1"/>
  <c r="AI118" i="4" s="1"/>
  <c r="L31" i="4"/>
  <c r="L28" i="1"/>
  <c r="I52" i="17"/>
  <c r="H51" i="17"/>
  <c r="H52" i="17"/>
  <c r="H50" i="17"/>
  <c r="I51" i="17"/>
  <c r="I50" i="17"/>
  <c r="D28" i="16"/>
  <c r="L87" i="4"/>
  <c r="AJ87" i="4" s="1"/>
  <c r="AI87" i="4" s="1"/>
  <c r="L99" i="4"/>
  <c r="AJ99" i="4" s="1"/>
  <c r="AI99" i="4" s="1"/>
  <c r="L88" i="4"/>
  <c r="AJ88" i="4" s="1"/>
  <c r="AI88" i="4" s="1"/>
  <c r="L100" i="4"/>
  <c r="AJ100" i="4" s="1"/>
  <c r="AI100" i="4" s="1"/>
  <c r="L92" i="4"/>
  <c r="AJ92" i="4" s="1"/>
  <c r="AI92" i="4" s="1"/>
  <c r="L93" i="4"/>
  <c r="AJ93" i="4" s="1"/>
  <c r="AI93" i="4" s="1"/>
  <c r="L89" i="4"/>
  <c r="AJ89" i="4" s="1"/>
  <c r="AI89" i="4" s="1"/>
  <c r="L101" i="4"/>
  <c r="AJ101" i="4" s="1"/>
  <c r="AI101" i="4" s="1"/>
  <c r="L90" i="4"/>
  <c r="AJ90" i="4" s="1"/>
  <c r="AI90" i="4" s="1"/>
  <c r="L102" i="4"/>
  <c r="AJ102" i="4" s="1"/>
  <c r="AI102" i="4" s="1"/>
  <c r="L86" i="4"/>
  <c r="AJ86" i="4" s="1"/>
  <c r="AI86" i="4" s="1"/>
  <c r="L91" i="4"/>
  <c r="AJ91" i="4" s="1"/>
  <c r="AI91" i="4" s="1"/>
  <c r="L103" i="4"/>
  <c r="AJ103" i="4" s="1"/>
  <c r="AI103" i="4" s="1"/>
  <c r="L96" i="4"/>
  <c r="AJ96" i="4" s="1"/>
  <c r="AI96" i="4" s="1"/>
  <c r="L97" i="4"/>
  <c r="AJ97" i="4" s="1"/>
  <c r="AI97" i="4" s="1"/>
  <c r="L98" i="4"/>
  <c r="AJ98" i="4" s="1"/>
  <c r="AI98" i="4" s="1"/>
  <c r="L94" i="4"/>
  <c r="AJ94" i="4" s="1"/>
  <c r="AI94" i="4" s="1"/>
  <c r="L85" i="4"/>
  <c r="L95" i="4"/>
  <c r="AJ95" i="4" s="1"/>
  <c r="AI95" i="4" s="1"/>
  <c r="J38" i="4"/>
  <c r="AJ38" i="4" s="1"/>
  <c r="AI38" i="4" s="1"/>
  <c r="M134" i="4"/>
  <c r="N134" i="4" s="1"/>
  <c r="K37" i="4"/>
  <c r="M80" i="2"/>
  <c r="N80" i="2" s="1"/>
  <c r="V30" i="5"/>
  <c r="J32" i="4"/>
  <c r="J33" i="4"/>
  <c r="V28" i="5"/>
  <c r="U31" i="5"/>
  <c r="K50" i="20"/>
  <c r="D19" i="16"/>
  <c r="J46" i="20"/>
  <c r="J41" i="4"/>
  <c r="K46" i="4"/>
  <c r="U27" i="5"/>
  <c r="H41" i="1"/>
  <c r="H42" i="1"/>
  <c r="J48" i="4"/>
  <c r="K42" i="4"/>
  <c r="K34" i="4"/>
  <c r="J47" i="4"/>
  <c r="V26" i="5"/>
  <c r="Y26" i="5" s="1"/>
  <c r="V29" i="5"/>
  <c r="I50" i="20"/>
  <c r="V27" i="5"/>
  <c r="J43" i="4"/>
  <c r="I51" i="20"/>
  <c r="J37" i="4"/>
  <c r="H39" i="1"/>
  <c r="J34" i="4"/>
  <c r="J36" i="4"/>
  <c r="K45" i="4"/>
  <c r="J42" i="4"/>
  <c r="I52" i="20"/>
  <c r="U29" i="5"/>
  <c r="Y29" i="5" s="1"/>
  <c r="K43" i="4"/>
  <c r="K36" i="4"/>
  <c r="K33" i="4"/>
  <c r="K49" i="4"/>
  <c r="K32" i="4"/>
  <c r="K38" i="4"/>
  <c r="K48" i="4"/>
  <c r="K40" i="4"/>
  <c r="J44" i="4"/>
  <c r="H48" i="17"/>
  <c r="K38" i="2"/>
  <c r="K41" i="2"/>
  <c r="K44" i="2"/>
  <c r="K47" i="2"/>
  <c r="K41" i="4"/>
  <c r="K47" i="4"/>
  <c r="J49" i="4"/>
  <c r="H38" i="1"/>
  <c r="K48" i="20"/>
  <c r="K43" i="1"/>
  <c r="D24" i="17"/>
  <c r="E13" i="16"/>
  <c r="D13" i="16" s="1"/>
  <c r="K37" i="2"/>
  <c r="K40" i="2"/>
  <c r="K43" i="2"/>
  <c r="K46" i="2"/>
  <c r="K49" i="2"/>
  <c r="K31" i="4"/>
  <c r="K35" i="4"/>
  <c r="K39" i="4"/>
  <c r="V31" i="5"/>
  <c r="K44" i="4"/>
  <c r="O23" i="1"/>
  <c r="K39" i="2"/>
  <c r="K42" i="2"/>
  <c r="K45" i="2"/>
  <c r="K48" i="2"/>
  <c r="J40" i="4"/>
  <c r="J46" i="4"/>
  <c r="P23" i="1"/>
  <c r="J35" i="4"/>
  <c r="J39" i="4"/>
  <c r="AJ39" i="4" s="1"/>
  <c r="AI39" i="4" s="1"/>
  <c r="J45" i="4"/>
  <c r="H48" i="20"/>
  <c r="I47" i="20"/>
  <c r="O15" i="1"/>
  <c r="P15" i="1"/>
  <c r="R17" i="1" s="1"/>
  <c r="P21" i="1"/>
  <c r="I49" i="17"/>
  <c r="H49" i="17"/>
  <c r="I47" i="17"/>
  <c r="I46" i="17"/>
  <c r="H46" i="17"/>
  <c r="D16" i="16"/>
  <c r="N2" i="4"/>
  <c r="B2" i="5"/>
  <c r="B2" i="7"/>
  <c r="N2" i="2"/>
  <c r="J29" i="20"/>
  <c r="H47" i="17"/>
  <c r="I48" i="17"/>
  <c r="K47" i="20"/>
  <c r="K32" i="2"/>
  <c r="H29" i="1" s="1"/>
  <c r="J32" i="2"/>
  <c r="H28" i="1" s="1"/>
  <c r="K35" i="2"/>
  <c r="J35" i="2"/>
  <c r="I48" i="20"/>
  <c r="J48" i="20"/>
  <c r="J31" i="2"/>
  <c r="K34" i="2"/>
  <c r="J34" i="2"/>
  <c r="H46" i="20"/>
  <c r="H49" i="20"/>
  <c r="K33" i="2"/>
  <c r="J33" i="2"/>
  <c r="K36" i="2"/>
  <c r="J36" i="2"/>
  <c r="M105" i="4"/>
  <c r="N105" i="4" s="1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H43" i="1"/>
  <c r="M80" i="4"/>
  <c r="N80" i="4" s="1"/>
  <c r="M26" i="2"/>
  <c r="N26" i="2" s="1"/>
  <c r="M51" i="4"/>
  <c r="N51" i="4" s="1"/>
  <c r="M51" i="2"/>
  <c r="N51" i="2" s="1"/>
  <c r="M134" i="2"/>
  <c r="N134" i="2" s="1"/>
  <c r="M105" i="2"/>
  <c r="N105" i="2" s="1"/>
  <c r="M67" i="4"/>
  <c r="N67" i="4" s="1"/>
  <c r="H32" i="1"/>
  <c r="U28" i="5"/>
  <c r="U30" i="5"/>
  <c r="Y30" i="5" s="1"/>
  <c r="M26" i="4"/>
  <c r="N26" i="4" s="1"/>
  <c r="U9" i="23"/>
  <c r="I9" i="23"/>
  <c r="H25" i="23"/>
  <c r="H9" i="23"/>
  <c r="I8" i="23"/>
  <c r="J10" i="23"/>
  <c r="K9" i="23"/>
  <c r="K15" i="23"/>
  <c r="Q10" i="23"/>
  <c r="K8" i="23"/>
  <c r="J9" i="23"/>
  <c r="V9" i="23"/>
  <c r="U8" i="23"/>
  <c r="P10" i="23"/>
  <c r="W9" i="23"/>
  <c r="W8" i="23"/>
  <c r="H8" i="23"/>
  <c r="I10" i="23"/>
  <c r="J8" i="23"/>
  <c r="P15" i="23"/>
  <c r="V10" i="23"/>
  <c r="P9" i="23"/>
  <c r="Q9" i="23"/>
  <c r="V8" i="23"/>
  <c r="J15" i="23"/>
  <c r="P8" i="23"/>
  <c r="Q8" i="23"/>
  <c r="P25" i="23"/>
  <c r="I15" i="23"/>
  <c r="K10" i="23"/>
  <c r="V15" i="23"/>
  <c r="H15" i="23"/>
  <c r="AJ43" i="2" l="1"/>
  <c r="AI43" i="2" s="1"/>
  <c r="AJ45" i="2"/>
  <c r="AI45" i="2" s="1"/>
  <c r="U6" i="23"/>
  <c r="K6" i="23"/>
  <c r="P6" i="23"/>
  <c r="W6" i="23"/>
  <c r="Q6" i="23"/>
  <c r="J6" i="23"/>
  <c r="I6" i="23"/>
  <c r="V6" i="23"/>
  <c r="H6" i="23"/>
  <c r="AJ43" i="4"/>
  <c r="AI43" i="4" s="1"/>
  <c r="AJ46" i="4"/>
  <c r="AI46" i="4" s="1"/>
  <c r="AJ40" i="4"/>
  <c r="AI40" i="4" s="1"/>
  <c r="AJ35" i="4"/>
  <c r="AI35" i="4" s="1"/>
  <c r="AJ44" i="2"/>
  <c r="AI44" i="2" s="1"/>
  <c r="AJ33" i="2"/>
  <c r="AI33" i="2" s="1"/>
  <c r="AJ41" i="2"/>
  <c r="AI41" i="2" s="1"/>
  <c r="AJ40" i="2"/>
  <c r="AI40" i="2" s="1"/>
  <c r="AJ38" i="2"/>
  <c r="AI38" i="2" s="1"/>
  <c r="AJ31" i="2"/>
  <c r="AI31" i="2" s="1"/>
  <c r="AJ37" i="2"/>
  <c r="AI37" i="2" s="1"/>
  <c r="AJ35" i="2"/>
  <c r="AI35" i="2" s="1"/>
  <c r="AJ39" i="2"/>
  <c r="AI39" i="2" s="1"/>
  <c r="AJ36" i="2"/>
  <c r="AI36" i="2" s="1"/>
  <c r="AJ49" i="4"/>
  <c r="AI49" i="4" s="1"/>
  <c r="AJ85" i="4"/>
  <c r="AI85" i="4" s="1"/>
  <c r="AJ89" i="2"/>
  <c r="AI89" i="2" s="1"/>
  <c r="AJ85" i="2"/>
  <c r="AI85" i="2" s="1"/>
  <c r="AJ88" i="2"/>
  <c r="AI88" i="2" s="1"/>
  <c r="AJ87" i="2"/>
  <c r="AI87" i="2" s="1"/>
  <c r="AJ90" i="2"/>
  <c r="AI90" i="2" s="1"/>
  <c r="AJ42" i="2"/>
  <c r="AI42" i="2" s="1"/>
  <c r="AJ34" i="2"/>
  <c r="AI34" i="2" s="1"/>
  <c r="AJ49" i="2"/>
  <c r="AI49" i="2" s="1"/>
  <c r="AJ48" i="2"/>
  <c r="AI48" i="2" s="1"/>
  <c r="AJ47" i="2"/>
  <c r="AI47" i="2" s="1"/>
  <c r="AJ46" i="2"/>
  <c r="AI46" i="2" s="1"/>
  <c r="AJ32" i="2"/>
  <c r="AI32" i="2" s="1"/>
  <c r="Y31" i="5"/>
  <c r="Y28" i="5"/>
  <c r="Y27" i="5"/>
  <c r="AJ34" i="4"/>
  <c r="AI34" i="4" s="1"/>
  <c r="AJ32" i="4"/>
  <c r="AI32" i="4" s="1"/>
  <c r="AJ45" i="4"/>
  <c r="AI45" i="4" s="1"/>
  <c r="AJ37" i="4"/>
  <c r="AI37" i="4" s="1"/>
  <c r="AJ41" i="4"/>
  <c r="AI41" i="4" s="1"/>
  <c r="AJ42" i="4"/>
  <c r="AI42" i="4" s="1"/>
  <c r="AJ47" i="4"/>
  <c r="AI47" i="4" s="1"/>
  <c r="AJ44" i="4"/>
  <c r="AI44" i="4" s="1"/>
  <c r="AJ36" i="4"/>
  <c r="AI36" i="4" s="1"/>
  <c r="AJ48" i="4"/>
  <c r="AI48" i="4" s="1"/>
  <c r="AJ33" i="4"/>
  <c r="AI33" i="4" s="1"/>
  <c r="J30" i="20"/>
  <c r="AJ31" i="4"/>
  <c r="AI31" i="4" s="1"/>
  <c r="BR32" i="21"/>
  <c r="BV32" i="21" s="1"/>
  <c r="L26" i="1"/>
  <c r="CX6" i="3" s="1"/>
  <c r="K117" i="2" a="1"/>
  <c r="K117" i="2" s="1"/>
  <c r="AJ117" i="2" s="1"/>
  <c r="AI117" i="2" s="1"/>
  <c r="K118" i="2" a="1"/>
  <c r="K118" i="2" s="1"/>
  <c r="AJ118" i="2" s="1"/>
  <c r="AI118" i="2" s="1"/>
  <c r="I40" i="1"/>
  <c r="K119" i="2" a="1"/>
  <c r="K119" i="2" s="1"/>
  <c r="AJ119" i="2" s="1"/>
  <c r="AI119" i="2" s="1"/>
  <c r="CV36" i="3"/>
  <c r="N51" i="3"/>
  <c r="CV35" i="3"/>
  <c r="N50" i="3"/>
  <c r="CV9" i="3"/>
  <c r="I33" i="1"/>
  <c r="I34" i="20" s="1"/>
  <c r="I34" i="1"/>
  <c r="H34" i="17" s="1"/>
  <c r="AJ22" i="21"/>
  <c r="AJ79" i="21"/>
  <c r="AJ41" i="21"/>
  <c r="AJ60" i="21"/>
  <c r="AO23" i="21"/>
  <c r="AK23" i="21"/>
  <c r="BV42" i="21"/>
  <c r="BP32" i="21"/>
  <c r="BQ52" i="21"/>
  <c r="BV22" i="21"/>
  <c r="BV52" i="21"/>
  <c r="BP42" i="21"/>
  <c r="BP22" i="21"/>
  <c r="BW52" i="21"/>
  <c r="BO52" i="21"/>
  <c r="BM52" i="21"/>
  <c r="BN52" i="21"/>
  <c r="BO42" i="21"/>
  <c r="BM42" i="21"/>
  <c r="BN42" i="21"/>
  <c r="BQ22" i="21"/>
  <c r="BW22" i="21"/>
  <c r="BQ42" i="21"/>
  <c r="BQ32" i="21"/>
  <c r="BW32" i="21"/>
  <c r="BP52" i="21"/>
  <c r="BW42" i="21"/>
  <c r="BO32" i="21"/>
  <c r="BM32" i="21"/>
  <c r="BN32" i="21"/>
  <c r="BN22" i="21"/>
  <c r="BO22" i="21"/>
  <c r="BM22" i="21"/>
  <c r="AN42" i="21"/>
  <c r="AO42" i="21"/>
  <c r="AN61" i="21"/>
  <c r="AO61" i="21"/>
  <c r="AN80" i="21"/>
  <c r="AO80" i="21"/>
  <c r="AM23" i="21"/>
  <c r="AN23" i="21"/>
  <c r="AL61" i="21"/>
  <c r="AM61" i="21"/>
  <c r="AL80" i="21"/>
  <c r="AM80" i="21"/>
  <c r="AL42" i="21"/>
  <c r="AM42" i="21"/>
  <c r="AL23" i="21"/>
  <c r="U42" i="21" a="1"/>
  <c r="U42" i="21" s="1"/>
  <c r="U80" i="21" a="1"/>
  <c r="U80" i="21" s="1"/>
  <c r="U61" i="21" a="1"/>
  <c r="U61" i="21" s="1"/>
  <c r="K62" i="25"/>
  <c r="H44" i="1"/>
  <c r="CT18" i="3" s="1"/>
  <c r="F24" i="17"/>
  <c r="C11" i="26"/>
  <c r="K63" i="25"/>
  <c r="CX8" i="3"/>
  <c r="H38" i="20"/>
  <c r="J44" i="1"/>
  <c r="AG13" i="21"/>
  <c r="AF13" i="21"/>
  <c r="U23" i="21" a="1"/>
  <c r="U23" i="21" s="1"/>
  <c r="W23" i="21" a="1"/>
  <c r="W23" i="21" s="1"/>
  <c r="V23" i="21" a="1"/>
  <c r="V23" i="21" s="1"/>
  <c r="W42" i="21" a="1"/>
  <c r="W42" i="21" s="1"/>
  <c r="V42" i="21" a="1"/>
  <c r="V42" i="21" s="1"/>
  <c r="W80" i="21" a="1"/>
  <c r="W80" i="21" s="1"/>
  <c r="V80" i="21" a="1"/>
  <c r="V80" i="21" s="1"/>
  <c r="W61" i="21" a="1"/>
  <c r="W61" i="21" s="1"/>
  <c r="V61" i="21" a="1"/>
  <c r="V61" i="21" s="1"/>
  <c r="AI79" i="21"/>
  <c r="AI22" i="21"/>
  <c r="AI60" i="21"/>
  <c r="AI41" i="21"/>
  <c r="I42" i="21"/>
  <c r="I23" i="21"/>
  <c r="I80" i="21"/>
  <c r="I61" i="21"/>
  <c r="S80" i="21"/>
  <c r="T80" i="21"/>
  <c r="AC80" i="21" s="1"/>
  <c r="AH22" i="21"/>
  <c r="Z22" i="21"/>
  <c r="S23" i="21"/>
  <c r="T23" i="21"/>
  <c r="AC23" i="21" s="1"/>
  <c r="Z79" i="21"/>
  <c r="AH79" i="21"/>
  <c r="S42" i="21"/>
  <c r="T42" i="21"/>
  <c r="AC42" i="21" s="1"/>
  <c r="Z41" i="21"/>
  <c r="AH41" i="21"/>
  <c r="Z60" i="21"/>
  <c r="AH60" i="21"/>
  <c r="S61" i="21"/>
  <c r="T61" i="21"/>
  <c r="AC61" i="21" s="1"/>
  <c r="Q42" i="21" a="1"/>
  <c r="Q42" i="21" s="1"/>
  <c r="R42" i="21"/>
  <c r="AA42" i="21" s="1"/>
  <c r="Q61" i="21" a="1"/>
  <c r="Q61" i="21" s="1"/>
  <c r="R61" i="21"/>
  <c r="AA61" i="21" s="1"/>
  <c r="Q23" i="21" a="1"/>
  <c r="Q23" i="21" s="1"/>
  <c r="R23" i="21"/>
  <c r="AA23" i="21" s="1"/>
  <c r="Q80" i="21" a="1"/>
  <c r="Q80" i="21" s="1"/>
  <c r="R80" i="21"/>
  <c r="AA80" i="21" s="1"/>
  <c r="O23" i="21" a="1"/>
  <c r="O23" i="21" s="1"/>
  <c r="P23" i="21" a="1"/>
  <c r="P23" i="21" s="1"/>
  <c r="O42" i="21" a="1"/>
  <c r="O42" i="21" s="1"/>
  <c r="P42" i="21" a="1"/>
  <c r="P42" i="21" s="1"/>
  <c r="O80" i="21" a="1"/>
  <c r="O80" i="21" s="1"/>
  <c r="P80" i="21" a="1"/>
  <c r="P80" i="21" s="1"/>
  <c r="O61" i="21" a="1"/>
  <c r="O61" i="21" s="1"/>
  <c r="P61" i="21" a="1"/>
  <c r="P61" i="21" s="1"/>
  <c r="N23" i="21"/>
  <c r="AB60" i="21" a="1"/>
  <c r="AB60" i="21" s="1"/>
  <c r="AF60" i="21" s="1"/>
  <c r="M42" i="21"/>
  <c r="N42" i="21"/>
  <c r="M80" i="21"/>
  <c r="N80" i="21"/>
  <c r="M61" i="21"/>
  <c r="N61" i="21"/>
  <c r="AB79" i="21" a="1"/>
  <c r="AB79" i="21" s="1"/>
  <c r="AG79" i="21" s="1"/>
  <c r="AF78" i="21"/>
  <c r="AF21" i="21"/>
  <c r="AF40" i="21"/>
  <c r="L23" i="21"/>
  <c r="M23" i="21"/>
  <c r="AB22" i="21" a="1"/>
  <c r="AB22" i="21" s="1"/>
  <c r="AG22" i="21" s="1"/>
  <c r="AF59" i="21"/>
  <c r="AB41" i="21" a="1"/>
  <c r="AB41" i="21" s="1"/>
  <c r="AF41" i="21" s="1"/>
  <c r="K42" i="21"/>
  <c r="L42" i="21"/>
  <c r="K80" i="21"/>
  <c r="L80" i="21"/>
  <c r="K61" i="21"/>
  <c r="L61" i="21"/>
  <c r="J23" i="21"/>
  <c r="K23" i="21"/>
  <c r="J61" i="21"/>
  <c r="J80" i="21"/>
  <c r="J42" i="21"/>
  <c r="H24" i="21"/>
  <c r="X22" i="21"/>
  <c r="Y22" i="21"/>
  <c r="H81" i="21"/>
  <c r="AK81" i="21" s="1"/>
  <c r="X79" i="21"/>
  <c r="Y79" i="21"/>
  <c r="X60" i="21"/>
  <c r="Y60" i="21"/>
  <c r="H62" i="21"/>
  <c r="AK62" i="21" s="1"/>
  <c r="Y41" i="21"/>
  <c r="X41" i="21"/>
  <c r="H43" i="21"/>
  <c r="AK43" i="21" s="1"/>
  <c r="K39" i="1"/>
  <c r="CW13" i="3" s="1"/>
  <c r="J35" i="1"/>
  <c r="K40" i="1"/>
  <c r="CW14" i="3" s="1"/>
  <c r="J33" i="1"/>
  <c r="K42" i="1"/>
  <c r="K42" i="20" s="1"/>
  <c r="J38" i="1"/>
  <c r="K37" i="1"/>
  <c r="K37" i="20" s="1"/>
  <c r="K33" i="1"/>
  <c r="CW12" i="3" s="1"/>
  <c r="I41" i="1"/>
  <c r="CU15" i="3" s="1"/>
  <c r="I32" i="1"/>
  <c r="I33" i="20" s="1"/>
  <c r="J40" i="1"/>
  <c r="I39" i="20"/>
  <c r="K41" i="1"/>
  <c r="K41" i="20" s="1"/>
  <c r="K35" i="1"/>
  <c r="K35" i="20" s="1"/>
  <c r="J36" i="1"/>
  <c r="AO4" i="3"/>
  <c r="J39" i="1"/>
  <c r="K36" i="1"/>
  <c r="K36" i="20" s="1"/>
  <c r="J37" i="1"/>
  <c r="H33" i="1"/>
  <c r="H40" i="1"/>
  <c r="CI6" i="3"/>
  <c r="H42" i="20"/>
  <c r="CT16" i="3"/>
  <c r="CT13" i="3"/>
  <c r="H39" i="20"/>
  <c r="H37" i="1"/>
  <c r="H41" i="20"/>
  <c r="CT15" i="3"/>
  <c r="K43" i="20"/>
  <c r="CW17" i="3"/>
  <c r="H43" i="20"/>
  <c r="CT17" i="3"/>
  <c r="L53" i="20"/>
  <c r="CX27" i="3"/>
  <c r="H33" i="20"/>
  <c r="CT11" i="3"/>
  <c r="L54" i="20"/>
  <c r="CX28" i="3"/>
  <c r="CT35" i="3"/>
  <c r="N48" i="3"/>
  <c r="BN4" i="3" s="1"/>
  <c r="CT36" i="3"/>
  <c r="N49" i="3"/>
  <c r="BO4" i="3" s="1"/>
  <c r="CJ8" i="3"/>
  <c r="CI7" i="3"/>
  <c r="K53" i="17"/>
  <c r="L27" i="1"/>
  <c r="L29" i="1"/>
  <c r="D12" i="16"/>
  <c r="I44" i="1"/>
  <c r="CU18" i="3" s="1"/>
  <c r="K44" i="1"/>
  <c r="CW18" i="3" s="1"/>
  <c r="J45" i="20"/>
  <c r="H45" i="20"/>
  <c r="I28" i="25"/>
  <c r="I29" i="25"/>
  <c r="CU9" i="3"/>
  <c r="I45" i="17"/>
  <c r="K45" i="20"/>
  <c r="K54" i="17"/>
  <c r="J50" i="20"/>
  <c r="K52" i="20"/>
  <c r="K51" i="20"/>
  <c r="J51" i="20"/>
  <c r="I45" i="20"/>
  <c r="H51" i="20"/>
  <c r="H50" i="20"/>
  <c r="K27" i="1"/>
  <c r="CW7" i="3" s="1"/>
  <c r="J52" i="20"/>
  <c r="H52" i="20"/>
  <c r="H45" i="17"/>
  <c r="J26" i="1"/>
  <c r="I26" i="1"/>
  <c r="CU6" i="3" s="1"/>
  <c r="K63" i="17"/>
  <c r="I27" i="1"/>
  <c r="CU7" i="3" s="1"/>
  <c r="K64" i="17"/>
  <c r="J27" i="1"/>
  <c r="H27" i="1"/>
  <c r="K26" i="1"/>
  <c r="CW6" i="3" s="1"/>
  <c r="P16" i="1"/>
  <c r="O16" i="1"/>
  <c r="Q19" i="1" s="1"/>
  <c r="O19" i="1" s="1"/>
  <c r="H26" i="1"/>
  <c r="Q17" i="1"/>
  <c r="DA6" i="3" l="1"/>
  <c r="DA7" i="3" s="1"/>
  <c r="I43" i="25"/>
  <c r="H29" i="25"/>
  <c r="H35" i="17"/>
  <c r="H34" i="25"/>
  <c r="H32" i="25"/>
  <c r="H40" i="25"/>
  <c r="H38" i="25"/>
  <c r="H36" i="17"/>
  <c r="H35" i="25"/>
  <c r="B1" i="7"/>
  <c r="B1" i="28"/>
  <c r="AJ80" i="21"/>
  <c r="AJ42" i="21"/>
  <c r="AJ61" i="21"/>
  <c r="AJ23" i="21"/>
  <c r="AI23" i="21"/>
  <c r="AO24" i="21"/>
  <c r="AK24" i="21"/>
  <c r="AN62" i="21"/>
  <c r="AO62" i="21"/>
  <c r="AN81" i="21"/>
  <c r="AO81" i="21"/>
  <c r="AN43" i="21"/>
  <c r="AO43" i="21"/>
  <c r="AM24" i="21"/>
  <c r="AN24" i="21"/>
  <c r="AL81" i="21"/>
  <c r="AM81" i="21"/>
  <c r="AL43" i="21"/>
  <c r="AM43" i="21"/>
  <c r="AL62" i="21"/>
  <c r="AM62" i="21"/>
  <c r="AL24" i="21"/>
  <c r="U62" i="21" a="1"/>
  <c r="U62" i="21" s="1"/>
  <c r="U43" i="21" a="1"/>
  <c r="U43" i="21" s="1"/>
  <c r="U81" i="21" a="1"/>
  <c r="U81" i="21" s="1"/>
  <c r="J42" i="1"/>
  <c r="I42" i="17" s="1"/>
  <c r="J43" i="1"/>
  <c r="I43" i="17" s="1"/>
  <c r="CV18" i="3"/>
  <c r="J32" i="1"/>
  <c r="J33" i="20" s="1"/>
  <c r="J34" i="1"/>
  <c r="K38" i="1"/>
  <c r="K38" i="20" s="1"/>
  <c r="K32" i="1"/>
  <c r="K33" i="20" s="1"/>
  <c r="K34" i="1"/>
  <c r="H44" i="20"/>
  <c r="H43" i="25"/>
  <c r="J44" i="20"/>
  <c r="CT6" i="3"/>
  <c r="H26" i="25"/>
  <c r="CX9" i="3"/>
  <c r="K55" i="25"/>
  <c r="K54" i="25" s="1"/>
  <c r="J39" i="20"/>
  <c r="I38" i="25"/>
  <c r="J40" i="20"/>
  <c r="I39" i="25"/>
  <c r="J35" i="20"/>
  <c r="I34" i="25"/>
  <c r="H37" i="20"/>
  <c r="H36" i="25"/>
  <c r="CT8" i="3"/>
  <c r="H28" i="25"/>
  <c r="CV7" i="3"/>
  <c r="I27" i="25"/>
  <c r="H31" i="1"/>
  <c r="CT10" i="3" s="1"/>
  <c r="H39" i="25"/>
  <c r="H34" i="20"/>
  <c r="H33" i="25"/>
  <c r="J38" i="20"/>
  <c r="CV12" i="3"/>
  <c r="I33" i="25"/>
  <c r="K59" i="25"/>
  <c r="K58" i="25" s="1"/>
  <c r="CT7" i="3"/>
  <c r="H27" i="25"/>
  <c r="J36" i="20"/>
  <c r="I35" i="25"/>
  <c r="CV6" i="3"/>
  <c r="I26" i="25"/>
  <c r="J37" i="20"/>
  <c r="I36" i="25"/>
  <c r="U24" i="21" a="1"/>
  <c r="U24" i="21" s="1"/>
  <c r="W81" i="21" a="1"/>
  <c r="W81" i="21" s="1"/>
  <c r="V81" i="21" a="1"/>
  <c r="V81" i="21" s="1"/>
  <c r="W24" i="21" a="1"/>
  <c r="W24" i="21" s="1"/>
  <c r="V24" i="21" a="1"/>
  <c r="V24" i="21" s="1"/>
  <c r="W43" i="21" a="1"/>
  <c r="W43" i="21" s="1"/>
  <c r="V43" i="21" a="1"/>
  <c r="V43" i="21" s="1"/>
  <c r="W62" i="21" a="1"/>
  <c r="W62" i="21" s="1"/>
  <c r="V62" i="21" a="1"/>
  <c r="V62" i="21" s="1"/>
  <c r="AI61" i="21"/>
  <c r="AI80" i="21"/>
  <c r="AI42" i="21"/>
  <c r="I81" i="21"/>
  <c r="I24" i="21"/>
  <c r="I43" i="21"/>
  <c r="I62" i="21"/>
  <c r="Z42" i="21"/>
  <c r="AH42" i="21"/>
  <c r="S62" i="21"/>
  <c r="T62" i="21"/>
  <c r="AC62" i="21" s="1"/>
  <c r="S81" i="21"/>
  <c r="T81" i="21"/>
  <c r="AC81" i="21" s="1"/>
  <c r="AH23" i="21"/>
  <c r="Z23" i="21"/>
  <c r="Z80" i="21"/>
  <c r="AH80" i="21"/>
  <c r="S24" i="21"/>
  <c r="T24" i="21"/>
  <c r="AC24" i="21" s="1"/>
  <c r="Z61" i="21"/>
  <c r="AH61" i="21"/>
  <c r="S43" i="21"/>
  <c r="T43" i="21"/>
  <c r="AC43" i="21" s="1"/>
  <c r="Q24" i="21" a="1"/>
  <c r="Q24" i="21" s="1"/>
  <c r="R24" i="21"/>
  <c r="AA24" i="21" s="1"/>
  <c r="Q62" i="21" a="1"/>
  <c r="Q62" i="21" s="1"/>
  <c r="R62" i="21"/>
  <c r="AA62" i="21" s="1"/>
  <c r="Q43" i="21" a="1"/>
  <c r="Q43" i="21" s="1"/>
  <c r="R43" i="21"/>
  <c r="AA43" i="21" s="1"/>
  <c r="Q81" i="21" a="1"/>
  <c r="Q81" i="21" s="1"/>
  <c r="R81" i="21"/>
  <c r="AA81" i="21" s="1"/>
  <c r="O62" i="21" a="1"/>
  <c r="O62" i="21" s="1"/>
  <c r="P62" i="21" a="1"/>
  <c r="P62" i="21" s="1"/>
  <c r="O24" i="21" a="1"/>
  <c r="O24" i="21" s="1"/>
  <c r="P24" i="21" a="1"/>
  <c r="P24" i="21" s="1"/>
  <c r="O81" i="21" a="1"/>
  <c r="O81" i="21" s="1"/>
  <c r="P81" i="21" a="1"/>
  <c r="P81" i="21" s="1"/>
  <c r="O43" i="21" a="1"/>
  <c r="O43" i="21" s="1"/>
  <c r="P43" i="21" a="1"/>
  <c r="P43" i="21" s="1"/>
  <c r="N24" i="21"/>
  <c r="AG60" i="21"/>
  <c r="AB61" i="21" a="1"/>
  <c r="AB61" i="21" s="1"/>
  <c r="AF61" i="21" s="1"/>
  <c r="M81" i="21"/>
  <c r="N81" i="21"/>
  <c r="M43" i="21"/>
  <c r="N43" i="21"/>
  <c r="M62" i="21"/>
  <c r="N62" i="21"/>
  <c r="AF79" i="21"/>
  <c r="AB23" i="21" a="1"/>
  <c r="AB23" i="21" s="1"/>
  <c r="AG23" i="21" s="1"/>
  <c r="L24" i="21"/>
  <c r="M24" i="21"/>
  <c r="AF22" i="21"/>
  <c r="K43" i="21"/>
  <c r="L43" i="21"/>
  <c r="AG41" i="21"/>
  <c r="K62" i="21"/>
  <c r="L62" i="21"/>
  <c r="AB42" i="21" a="1"/>
  <c r="AB42" i="21" s="1"/>
  <c r="AG42" i="21" s="1"/>
  <c r="AB80" i="21" a="1"/>
  <c r="AB80" i="21" s="1"/>
  <c r="AG80" i="21" s="1"/>
  <c r="K81" i="21"/>
  <c r="L81" i="21"/>
  <c r="J24" i="21"/>
  <c r="K24" i="21"/>
  <c r="J43" i="21"/>
  <c r="J62" i="21"/>
  <c r="J81" i="21"/>
  <c r="Y23" i="21"/>
  <c r="X23" i="21"/>
  <c r="H25" i="21"/>
  <c r="X61" i="21"/>
  <c r="Y61" i="21"/>
  <c r="H63" i="21"/>
  <c r="AK63" i="21" s="1"/>
  <c r="H82" i="21"/>
  <c r="AK82" i="21" s="1"/>
  <c r="X80" i="21"/>
  <c r="Y80" i="21"/>
  <c r="Y42" i="21"/>
  <c r="X42" i="21"/>
  <c r="H44" i="21"/>
  <c r="AK44" i="21" s="1"/>
  <c r="H29" i="20"/>
  <c r="CW16" i="3"/>
  <c r="K40" i="20"/>
  <c r="CW15" i="3"/>
  <c r="I40" i="17"/>
  <c r="J34" i="20"/>
  <c r="I35" i="20"/>
  <c r="I36" i="20"/>
  <c r="CV14" i="3"/>
  <c r="I37" i="17"/>
  <c r="I36" i="17"/>
  <c r="H40" i="17"/>
  <c r="J41" i="1"/>
  <c r="I35" i="17"/>
  <c r="I39" i="17"/>
  <c r="K31" i="1"/>
  <c r="CW10" i="3" s="1"/>
  <c r="K34" i="20"/>
  <c r="I33" i="17"/>
  <c r="K39" i="20"/>
  <c r="CV13" i="3"/>
  <c r="H39" i="17"/>
  <c r="H43" i="17"/>
  <c r="H41" i="17"/>
  <c r="CU13" i="3"/>
  <c r="I41" i="20"/>
  <c r="CU14" i="3"/>
  <c r="I40" i="20"/>
  <c r="H37" i="17"/>
  <c r="I37" i="20"/>
  <c r="H38" i="17"/>
  <c r="CT14" i="3"/>
  <c r="H40" i="20"/>
  <c r="CT12" i="3"/>
  <c r="CU12" i="3"/>
  <c r="H33" i="17"/>
  <c r="CU11" i="3"/>
  <c r="H32" i="17"/>
  <c r="H28" i="17"/>
  <c r="CU8" i="3"/>
  <c r="I28" i="17"/>
  <c r="CW8" i="3"/>
  <c r="I29" i="17"/>
  <c r="CW9" i="3"/>
  <c r="H30" i="20"/>
  <c r="CT9" i="3"/>
  <c r="K27" i="17"/>
  <c r="CX7" i="3"/>
  <c r="CJ9" i="3"/>
  <c r="CI8" i="3"/>
  <c r="I26" i="17"/>
  <c r="H29" i="17"/>
  <c r="H26" i="17"/>
  <c r="I27" i="17"/>
  <c r="H27" i="17"/>
  <c r="N1" i="4"/>
  <c r="B1" i="5"/>
  <c r="N1" i="2"/>
  <c r="I44" i="20"/>
  <c r="I44" i="17"/>
  <c r="K44" i="20"/>
  <c r="H44" i="17"/>
  <c r="K28" i="17"/>
  <c r="L29" i="20"/>
  <c r="K30" i="20"/>
  <c r="K29" i="20"/>
  <c r="I29" i="20"/>
  <c r="I30" i="20"/>
  <c r="K28" i="20"/>
  <c r="K29" i="17"/>
  <c r="L30" i="20"/>
  <c r="L28" i="20"/>
  <c r="Q18" i="1"/>
  <c r="O18" i="1" s="1"/>
  <c r="O17" i="1" s="1"/>
  <c r="J28" i="20"/>
  <c r="I28" i="20"/>
  <c r="J27" i="20"/>
  <c r="I27" i="20"/>
  <c r="I56" i="1"/>
  <c r="CU30" i="3" s="1"/>
  <c r="H28" i="20"/>
  <c r="L27" i="20"/>
  <c r="K26" i="17"/>
  <c r="L56" i="1"/>
  <c r="CX30" i="3" s="1"/>
  <c r="K27" i="20"/>
  <c r="R19" i="1"/>
  <c r="P19" i="1" s="1"/>
  <c r="R18" i="1"/>
  <c r="P18" i="1" s="1"/>
  <c r="H27" i="20"/>
  <c r="H56" i="1"/>
  <c r="CT30" i="3" s="1"/>
  <c r="DA26" i="3" l="1"/>
  <c r="DA36" i="3"/>
  <c r="DA22" i="3"/>
  <c r="DA32" i="3"/>
  <c r="DA8" i="3"/>
  <c r="DA14" i="3"/>
  <c r="DA34" i="3"/>
  <c r="DA10" i="3"/>
  <c r="DA17" i="3"/>
  <c r="DA16" i="3"/>
  <c r="DA11" i="3"/>
  <c r="DA18" i="3"/>
  <c r="DA31" i="3"/>
  <c r="DA24" i="3"/>
  <c r="DA20" i="3"/>
  <c r="DA35" i="3"/>
  <c r="DA30" i="3"/>
  <c r="DA23" i="3"/>
  <c r="DA28" i="3"/>
  <c r="DA33" i="3"/>
  <c r="DA25" i="3"/>
  <c r="DA21" i="3"/>
  <c r="DA13" i="3"/>
  <c r="DA9" i="3"/>
  <c r="DA27" i="3"/>
  <c r="DA12" i="3"/>
  <c r="DA19" i="3"/>
  <c r="DA15" i="3"/>
  <c r="DA29" i="3"/>
  <c r="I38" i="17"/>
  <c r="I37" i="25"/>
  <c r="I34" i="17"/>
  <c r="I38" i="20"/>
  <c r="H37" i="25"/>
  <c r="I43" i="20"/>
  <c r="H42" i="25"/>
  <c r="H42" i="17"/>
  <c r="H31" i="17" s="1"/>
  <c r="H41" i="25"/>
  <c r="CV11" i="3"/>
  <c r="AJ62" i="21"/>
  <c r="AJ43" i="21"/>
  <c r="AH24" i="21"/>
  <c r="AJ24" i="21"/>
  <c r="AJ81" i="21"/>
  <c r="AO25" i="21"/>
  <c r="AK25" i="21"/>
  <c r="AN82" i="21"/>
  <c r="AO82" i="21"/>
  <c r="AN63" i="21"/>
  <c r="AO63" i="21"/>
  <c r="AN44" i="21"/>
  <c r="AO44" i="21"/>
  <c r="AM25" i="21"/>
  <c r="AN25" i="21"/>
  <c r="AL63" i="21"/>
  <c r="AM63" i="21"/>
  <c r="AL44" i="21"/>
  <c r="AM44" i="21"/>
  <c r="AL82" i="21"/>
  <c r="AM82" i="21"/>
  <c r="AL25" i="21"/>
  <c r="U82" i="21" a="1"/>
  <c r="U82" i="21" s="1"/>
  <c r="U44" i="21" a="1"/>
  <c r="U44" i="21" s="1"/>
  <c r="U63" i="21" a="1"/>
  <c r="U63" i="21" s="1"/>
  <c r="J42" i="20"/>
  <c r="CV16" i="3"/>
  <c r="I41" i="25"/>
  <c r="K56" i="1"/>
  <c r="CW30" i="3" s="1"/>
  <c r="I42" i="25"/>
  <c r="J43" i="20"/>
  <c r="CV17" i="3"/>
  <c r="CW11" i="3"/>
  <c r="CU17" i="3"/>
  <c r="J56" i="1"/>
  <c r="CV30" i="3" s="1"/>
  <c r="I31" i="1"/>
  <c r="CU10" i="3" s="1"/>
  <c r="I42" i="20"/>
  <c r="CU16" i="3"/>
  <c r="H56" i="17"/>
  <c r="I32" i="17"/>
  <c r="I32" i="25"/>
  <c r="I55" i="25" s="1"/>
  <c r="H32" i="20"/>
  <c r="H55" i="25"/>
  <c r="J31" i="1"/>
  <c r="CV10" i="3" s="1"/>
  <c r="I40" i="25"/>
  <c r="U25" i="21" a="1"/>
  <c r="U25" i="21" s="1"/>
  <c r="W25" i="21" a="1"/>
  <c r="W25" i="21" s="1"/>
  <c r="V25" i="21" a="1"/>
  <c r="V25" i="21" s="1"/>
  <c r="W44" i="21" a="1"/>
  <c r="W44" i="21" s="1"/>
  <c r="V44" i="21" a="1"/>
  <c r="V44" i="21" s="1"/>
  <c r="W82" i="21" a="1"/>
  <c r="W82" i="21" s="1"/>
  <c r="V82" i="21" a="1"/>
  <c r="V82" i="21" s="1"/>
  <c r="W63" i="21" a="1"/>
  <c r="W63" i="21" s="1"/>
  <c r="V63" i="21" a="1"/>
  <c r="V63" i="21" s="1"/>
  <c r="AI43" i="21"/>
  <c r="AI62" i="21"/>
  <c r="AI24" i="21"/>
  <c r="AI81" i="21"/>
  <c r="I25" i="21"/>
  <c r="I44" i="21"/>
  <c r="I82" i="21"/>
  <c r="I63" i="21"/>
  <c r="Z24" i="21"/>
  <c r="S63" i="21"/>
  <c r="T63" i="21"/>
  <c r="AC63" i="21" s="1"/>
  <c r="S25" i="21"/>
  <c r="T25" i="21"/>
  <c r="AC25" i="21" s="1"/>
  <c r="Z81" i="21"/>
  <c r="AH81" i="21"/>
  <c r="Z43" i="21"/>
  <c r="AH43" i="21"/>
  <c r="AH62" i="21"/>
  <c r="Z62" i="21"/>
  <c r="S44" i="21"/>
  <c r="T44" i="21"/>
  <c r="AC44" i="21" s="1"/>
  <c r="S82" i="21"/>
  <c r="T82" i="21"/>
  <c r="AC82" i="21" s="1"/>
  <c r="Q25" i="21" a="1"/>
  <c r="Q25" i="21" s="1"/>
  <c r="R25" i="21"/>
  <c r="AA25" i="21" s="1"/>
  <c r="Q44" i="21" a="1"/>
  <c r="Q44" i="21" s="1"/>
  <c r="R44" i="21"/>
  <c r="AA44" i="21" s="1"/>
  <c r="Q82" i="21" a="1"/>
  <c r="Q82" i="21" s="1"/>
  <c r="R82" i="21"/>
  <c r="AA82" i="21" s="1"/>
  <c r="Q63" i="21" a="1"/>
  <c r="Q63" i="21" s="1"/>
  <c r="R63" i="21"/>
  <c r="AA63" i="21" s="1"/>
  <c r="O44" i="21" a="1"/>
  <c r="O44" i="21" s="1"/>
  <c r="P44" i="21" a="1"/>
  <c r="P44" i="21" s="1"/>
  <c r="O82" i="21" a="1"/>
  <c r="O82" i="21" s="1"/>
  <c r="P82" i="21" a="1"/>
  <c r="P82" i="21" s="1"/>
  <c r="O63" i="21" a="1"/>
  <c r="O63" i="21" s="1"/>
  <c r="P63" i="21" a="1"/>
  <c r="P63" i="21" s="1"/>
  <c r="O25" i="21" a="1"/>
  <c r="O25" i="21" s="1"/>
  <c r="P25" i="21" a="1"/>
  <c r="P25" i="21" s="1"/>
  <c r="N25" i="21"/>
  <c r="M44" i="21"/>
  <c r="N44" i="21"/>
  <c r="AG61" i="21"/>
  <c r="M82" i="21"/>
  <c r="N82" i="21"/>
  <c r="M63" i="21"/>
  <c r="N63" i="21"/>
  <c r="AF23" i="21"/>
  <c r="L25" i="21"/>
  <c r="M25" i="21"/>
  <c r="AB24" i="21" a="1"/>
  <c r="AB24" i="21" s="1"/>
  <c r="AG24" i="21" s="1"/>
  <c r="AB43" i="21" a="1"/>
  <c r="AB43" i="21" s="1"/>
  <c r="AF43" i="21" s="1"/>
  <c r="AB81" i="21" a="1"/>
  <c r="AB81" i="21" s="1"/>
  <c r="AF81" i="21" s="1"/>
  <c r="AF80" i="21"/>
  <c r="AF42" i="21"/>
  <c r="AB62" i="21" a="1"/>
  <c r="AB62" i="21" s="1"/>
  <c r="AG62" i="21" s="1"/>
  <c r="K82" i="21"/>
  <c r="L82" i="21"/>
  <c r="K63" i="21"/>
  <c r="L63" i="21"/>
  <c r="K44" i="21"/>
  <c r="L44" i="21"/>
  <c r="J25" i="21"/>
  <c r="K25" i="21"/>
  <c r="J82" i="21"/>
  <c r="J63" i="21"/>
  <c r="J44" i="21"/>
  <c r="H26" i="21"/>
  <c r="Y24" i="21"/>
  <c r="X24" i="21"/>
  <c r="H83" i="21"/>
  <c r="AK83" i="21" s="1"/>
  <c r="Y81" i="21"/>
  <c r="X81" i="21"/>
  <c r="H64" i="21"/>
  <c r="AK64" i="21" s="1"/>
  <c r="X62" i="21"/>
  <c r="Y62" i="21"/>
  <c r="H45" i="21"/>
  <c r="AK45" i="21" s="1"/>
  <c r="Y43" i="21"/>
  <c r="X43" i="21"/>
  <c r="CV15" i="3"/>
  <c r="J41" i="20"/>
  <c r="I41" i="17"/>
  <c r="K32" i="20"/>
  <c r="CJ10" i="3"/>
  <c r="CI9" i="3"/>
  <c r="I56" i="20"/>
  <c r="L56" i="20"/>
  <c r="L60" i="1"/>
  <c r="CX34" i="3" s="1"/>
  <c r="L55" i="1"/>
  <c r="K60" i="17"/>
  <c r="BQ4" i="3" s="1"/>
  <c r="K56" i="17"/>
  <c r="N45" i="3" s="1"/>
  <c r="H55" i="1"/>
  <c r="CT29" i="3" s="1"/>
  <c r="H56" i="20"/>
  <c r="P17" i="1"/>
  <c r="O14" i="1"/>
  <c r="O13" i="1" s="1"/>
  <c r="I32" i="20" l="1"/>
  <c r="I56" i="17"/>
  <c r="I55" i="17" s="1"/>
  <c r="N36" i="3" s="1"/>
  <c r="BB4" i="3" s="1"/>
  <c r="H55" i="17"/>
  <c r="N34" i="3" s="1"/>
  <c r="H31" i="25"/>
  <c r="J56" i="20"/>
  <c r="AJ25" i="21"/>
  <c r="AJ82" i="21"/>
  <c r="AI63" i="21"/>
  <c r="AJ63" i="21"/>
  <c r="AJ44" i="21"/>
  <c r="AO26" i="21"/>
  <c r="AK26" i="21"/>
  <c r="AN64" i="21"/>
  <c r="AO64" i="21"/>
  <c r="AN45" i="21"/>
  <c r="AO45" i="21"/>
  <c r="AN83" i="21"/>
  <c r="AO83" i="21"/>
  <c r="AM26" i="21"/>
  <c r="AN26" i="21"/>
  <c r="AL64" i="21"/>
  <c r="AM64" i="21"/>
  <c r="AL83" i="21"/>
  <c r="AM83" i="21"/>
  <c r="AL45" i="21"/>
  <c r="AM45" i="21"/>
  <c r="AL26" i="21"/>
  <c r="U83" i="21" a="1"/>
  <c r="U83" i="21" s="1"/>
  <c r="U45" i="21" a="1"/>
  <c r="U45" i="21" s="1"/>
  <c r="U64" i="21" a="1"/>
  <c r="U64" i="21" s="1"/>
  <c r="J32" i="20"/>
  <c r="P34" i="1"/>
  <c r="Q34" i="1" s="1"/>
  <c r="CT34" i="3"/>
  <c r="K55" i="1"/>
  <c r="K55" i="20" s="1"/>
  <c r="K56" i="20"/>
  <c r="BK4" i="3"/>
  <c r="I31" i="17"/>
  <c r="N53" i="3"/>
  <c r="BS4" i="3" s="1"/>
  <c r="I55" i="1"/>
  <c r="I55" i="20" s="1"/>
  <c r="I31" i="25"/>
  <c r="I54" i="25"/>
  <c r="J55" i="1"/>
  <c r="CV29" i="3" s="1"/>
  <c r="H54" i="25"/>
  <c r="U26" i="21" a="1"/>
  <c r="U26" i="21" s="1"/>
  <c r="AI82" i="21"/>
  <c r="W45" i="21" a="1"/>
  <c r="W45" i="21" s="1"/>
  <c r="V45" i="21" a="1"/>
  <c r="V45" i="21" s="1"/>
  <c r="W83" i="21" a="1"/>
  <c r="W83" i="21" s="1"/>
  <c r="V83" i="21" a="1"/>
  <c r="V83" i="21" s="1"/>
  <c r="W26" i="21" a="1"/>
  <c r="W26" i="21" s="1"/>
  <c r="V26" i="21" a="1"/>
  <c r="V26" i="21" s="1"/>
  <c r="W64" i="21" a="1"/>
  <c r="W64" i="21" s="1"/>
  <c r="V64" i="21" a="1"/>
  <c r="V64" i="21" s="1"/>
  <c r="AI25" i="21"/>
  <c r="AI44" i="21"/>
  <c r="I83" i="21"/>
  <c r="I26" i="21"/>
  <c r="I45" i="21"/>
  <c r="I64" i="21"/>
  <c r="S64" i="21"/>
  <c r="T64" i="21"/>
  <c r="AC64" i="21" s="1"/>
  <c r="S45" i="21"/>
  <c r="T45" i="21"/>
  <c r="AC45" i="21" s="1"/>
  <c r="Z44" i="21"/>
  <c r="AH44" i="21"/>
  <c r="AH25" i="21"/>
  <c r="Z25" i="21"/>
  <c r="S83" i="21"/>
  <c r="T83" i="21"/>
  <c r="AC83" i="21" s="1"/>
  <c r="S26" i="21"/>
  <c r="T26" i="21"/>
  <c r="AC26" i="21" s="1"/>
  <c r="AH82" i="21"/>
  <c r="Z82" i="21"/>
  <c r="Z63" i="21"/>
  <c r="AH63" i="21"/>
  <c r="Q26" i="21" a="1"/>
  <c r="Q26" i="21" s="1"/>
  <c r="R26" i="21"/>
  <c r="AA26" i="21" s="1"/>
  <c r="Q45" i="21" a="1"/>
  <c r="Q45" i="21" s="1"/>
  <c r="R45" i="21"/>
  <c r="AA45" i="21" s="1"/>
  <c r="Q64" i="21" a="1"/>
  <c r="Q64" i="21" s="1"/>
  <c r="R64" i="21"/>
  <c r="AA64" i="21" s="1"/>
  <c r="Q83" i="21" a="1"/>
  <c r="Q83" i="21" s="1"/>
  <c r="R83" i="21"/>
  <c r="AA83" i="21" s="1"/>
  <c r="O26" i="21" a="1"/>
  <c r="O26" i="21" s="1"/>
  <c r="P26" i="21" a="1"/>
  <c r="P26" i="21" s="1"/>
  <c r="O45" i="21" a="1"/>
  <c r="O45" i="21" s="1"/>
  <c r="P45" i="21" a="1"/>
  <c r="P45" i="21" s="1"/>
  <c r="O64" i="21" a="1"/>
  <c r="O64" i="21" s="1"/>
  <c r="P64" i="21" a="1"/>
  <c r="P64" i="21" s="1"/>
  <c r="O83" i="21" a="1"/>
  <c r="O83" i="21" s="1"/>
  <c r="P83" i="21" a="1"/>
  <c r="P83" i="21" s="1"/>
  <c r="N26" i="21"/>
  <c r="AB63" i="21" a="1"/>
  <c r="AB63" i="21" s="1"/>
  <c r="AG63" i="21" s="1"/>
  <c r="M83" i="21"/>
  <c r="N83" i="21"/>
  <c r="M45" i="21"/>
  <c r="N45" i="21"/>
  <c r="M64" i="21"/>
  <c r="N64" i="21"/>
  <c r="AB25" i="21" a="1"/>
  <c r="AB25" i="21" s="1"/>
  <c r="AF25" i="21" s="1"/>
  <c r="AF24" i="21"/>
  <c r="L26" i="21"/>
  <c r="M26" i="21"/>
  <c r="AG43" i="21"/>
  <c r="AB82" i="21" a="1"/>
  <c r="AB82" i="21" s="1"/>
  <c r="AF82" i="21" s="1"/>
  <c r="AG81" i="21"/>
  <c r="AB44" i="21" a="1"/>
  <c r="AB44" i="21" s="1"/>
  <c r="AG44" i="21" s="1"/>
  <c r="K45" i="21"/>
  <c r="L45" i="21"/>
  <c r="AF62" i="21"/>
  <c r="K64" i="21"/>
  <c r="L64" i="21"/>
  <c r="K83" i="21"/>
  <c r="L83" i="21"/>
  <c r="J26" i="21"/>
  <c r="K26" i="21"/>
  <c r="J83" i="21"/>
  <c r="J64" i="21"/>
  <c r="J45" i="21"/>
  <c r="Y25" i="21"/>
  <c r="X25" i="21"/>
  <c r="H27" i="21"/>
  <c r="H65" i="21"/>
  <c r="AK65" i="21" s="1"/>
  <c r="H84" i="21"/>
  <c r="AK84" i="21" s="1"/>
  <c r="X63" i="21"/>
  <c r="Y63" i="21"/>
  <c r="Y82" i="21"/>
  <c r="X82" i="21"/>
  <c r="H46" i="21"/>
  <c r="AK46" i="21" s="1"/>
  <c r="Y44" i="21"/>
  <c r="X44" i="21"/>
  <c r="DC36" i="3"/>
  <c r="DC31" i="3"/>
  <c r="DC15" i="3"/>
  <c r="DC23" i="3"/>
  <c r="DC19" i="3"/>
  <c r="DC6" i="3"/>
  <c r="DC11" i="3"/>
  <c r="DC8" i="3"/>
  <c r="DC12" i="3"/>
  <c r="DC16" i="3"/>
  <c r="DC20" i="3"/>
  <c r="DC24" i="3"/>
  <c r="DC27" i="3"/>
  <c r="DC32" i="3"/>
  <c r="DC34" i="3"/>
  <c r="DC35" i="3"/>
  <c r="DC9" i="3"/>
  <c r="DC13" i="3"/>
  <c r="DC17" i="3"/>
  <c r="DC21" i="3"/>
  <c r="DC25" i="3"/>
  <c r="DC28" i="3"/>
  <c r="DC29" i="3"/>
  <c r="DC33" i="3"/>
  <c r="DC7" i="3"/>
  <c r="DC10" i="3"/>
  <c r="DC14" i="3"/>
  <c r="DC18" i="3"/>
  <c r="DC22" i="3"/>
  <c r="DC26" i="3"/>
  <c r="DC30" i="3"/>
  <c r="N35" i="3"/>
  <c r="L55" i="20"/>
  <c r="CX29" i="3"/>
  <c r="CJ11" i="3"/>
  <c r="CI10" i="3"/>
  <c r="K59" i="17"/>
  <c r="K55" i="17"/>
  <c r="N44" i="3" s="1"/>
  <c r="H55" i="20"/>
  <c r="O24" i="1"/>
  <c r="L60" i="20"/>
  <c r="L59" i="1"/>
  <c r="P14" i="1"/>
  <c r="Q14" i="1" s="1"/>
  <c r="P13" i="1" s="1"/>
  <c r="N37" i="3" l="1"/>
  <c r="BC4" i="3" s="1"/>
  <c r="BP4" i="3"/>
  <c r="AJ64" i="21"/>
  <c r="AH26" i="21"/>
  <c r="AI26" i="21"/>
  <c r="AJ26" i="21"/>
  <c r="AJ83" i="21"/>
  <c r="AJ45" i="21"/>
  <c r="AO27" i="21"/>
  <c r="AK27" i="21"/>
  <c r="AN84" i="21"/>
  <c r="AO84" i="21"/>
  <c r="AN46" i="21"/>
  <c r="AO46" i="21"/>
  <c r="AN65" i="21"/>
  <c r="AO65" i="21"/>
  <c r="AM27" i="21"/>
  <c r="AN27" i="21"/>
  <c r="AL84" i="21"/>
  <c r="AM84" i="21"/>
  <c r="AL65" i="21"/>
  <c r="AM65" i="21"/>
  <c r="AL46" i="21"/>
  <c r="AM46" i="21"/>
  <c r="AL27" i="21"/>
  <c r="U46" i="21" a="1"/>
  <c r="U46" i="21" s="1"/>
  <c r="U84" i="21" a="1"/>
  <c r="U84" i="21" s="1"/>
  <c r="U65" i="21" a="1"/>
  <c r="U65" i="21" s="1"/>
  <c r="CW29" i="3"/>
  <c r="BJ4" i="3"/>
  <c r="N52" i="3"/>
  <c r="BR4" i="3" s="1"/>
  <c r="BA4" i="3"/>
  <c r="AZ4" i="3"/>
  <c r="J55" i="20"/>
  <c r="CU29" i="3"/>
  <c r="U27" i="21" a="1"/>
  <c r="U27" i="21" s="1"/>
  <c r="W65" i="21" a="1"/>
  <c r="W65" i="21" s="1"/>
  <c r="V65" i="21" a="1"/>
  <c r="V65" i="21" s="1"/>
  <c r="W27" i="21" a="1"/>
  <c r="W27" i="21" s="1"/>
  <c r="V27" i="21" a="1"/>
  <c r="V27" i="21" s="1"/>
  <c r="W84" i="21" a="1"/>
  <c r="W84" i="21" s="1"/>
  <c r="V84" i="21" a="1"/>
  <c r="V84" i="21" s="1"/>
  <c r="W46" i="21" a="1"/>
  <c r="W46" i="21" s="1"/>
  <c r="V46" i="21" a="1"/>
  <c r="V46" i="21" s="1"/>
  <c r="AI83" i="21"/>
  <c r="AI64" i="21"/>
  <c r="AI45" i="21"/>
  <c r="I84" i="21"/>
  <c r="I65" i="21"/>
  <c r="I27" i="21"/>
  <c r="I46" i="21"/>
  <c r="Z26" i="21"/>
  <c r="Z83" i="21"/>
  <c r="AH83" i="21"/>
  <c r="S65" i="21"/>
  <c r="T65" i="21"/>
  <c r="AC65" i="21" s="1"/>
  <c r="S84" i="21"/>
  <c r="T84" i="21"/>
  <c r="AC84" i="21" s="1"/>
  <c r="S27" i="21"/>
  <c r="T27" i="21"/>
  <c r="AC27" i="21" s="1"/>
  <c r="AH45" i="21"/>
  <c r="Z45" i="21"/>
  <c r="S46" i="21"/>
  <c r="T46" i="21"/>
  <c r="AC46" i="21" s="1"/>
  <c r="Z64" i="21"/>
  <c r="AH64" i="21"/>
  <c r="Q27" i="21" a="1"/>
  <c r="Q27" i="21" s="1"/>
  <c r="R27" i="21"/>
  <c r="AA27" i="21" s="1"/>
  <c r="Q46" i="21" a="1"/>
  <c r="Q46" i="21" s="1"/>
  <c r="R46" i="21"/>
  <c r="AA46" i="21" s="1"/>
  <c r="Q65" i="21" a="1"/>
  <c r="Q65" i="21" s="1"/>
  <c r="R65" i="21"/>
  <c r="AA65" i="21" s="1"/>
  <c r="Q84" i="21" a="1"/>
  <c r="Q84" i="21" s="1"/>
  <c r="R84" i="21"/>
  <c r="AA84" i="21" s="1"/>
  <c r="O84" i="21" a="1"/>
  <c r="O84" i="21" s="1"/>
  <c r="P84" i="21" a="1"/>
  <c r="P84" i="21" s="1"/>
  <c r="O65" i="21" a="1"/>
  <c r="O65" i="21" s="1"/>
  <c r="P65" i="21" a="1"/>
  <c r="P65" i="21" s="1"/>
  <c r="O27" i="21" a="1"/>
  <c r="O27" i="21" s="1"/>
  <c r="P27" i="21" a="1"/>
  <c r="P27" i="21" s="1"/>
  <c r="O46" i="21" a="1"/>
  <c r="O46" i="21" s="1"/>
  <c r="P46" i="21" a="1"/>
  <c r="P46" i="21" s="1"/>
  <c r="N27" i="21"/>
  <c r="AF63" i="21"/>
  <c r="AB26" i="21" a="1"/>
  <c r="AB26" i="21" s="1"/>
  <c r="AG26" i="21" s="1"/>
  <c r="M46" i="21"/>
  <c r="N46" i="21"/>
  <c r="M65" i="21"/>
  <c r="N65" i="21"/>
  <c r="M84" i="21"/>
  <c r="N84" i="21"/>
  <c r="AB64" i="21" a="1"/>
  <c r="AB64" i="21" s="1"/>
  <c r="AG64" i="21" s="1"/>
  <c r="AG25" i="21"/>
  <c r="AB45" i="21" a="1"/>
  <c r="AB45" i="21" s="1"/>
  <c r="AG45" i="21" s="1"/>
  <c r="L27" i="21"/>
  <c r="M27" i="21"/>
  <c r="AG82" i="21"/>
  <c r="AF44" i="21"/>
  <c r="AB83" i="21" a="1"/>
  <c r="AB83" i="21" s="1"/>
  <c r="AF83" i="21" s="1"/>
  <c r="K46" i="21"/>
  <c r="L46" i="21"/>
  <c r="K84" i="21"/>
  <c r="L84" i="21"/>
  <c r="K65" i="21"/>
  <c r="L65" i="21"/>
  <c r="J27" i="21"/>
  <c r="K27" i="21"/>
  <c r="J84" i="21"/>
  <c r="J65" i="21"/>
  <c r="J46" i="21"/>
  <c r="X26" i="21"/>
  <c r="Y26" i="21"/>
  <c r="H28" i="21"/>
  <c r="H85" i="21"/>
  <c r="AK85" i="21" s="1"/>
  <c r="H66" i="21"/>
  <c r="AK66" i="21" s="1"/>
  <c r="X83" i="21"/>
  <c r="Y83" i="21"/>
  <c r="X64" i="21"/>
  <c r="Y64" i="21"/>
  <c r="X45" i="21"/>
  <c r="Y45" i="21"/>
  <c r="H47" i="21"/>
  <c r="AK47" i="21" s="1"/>
  <c r="CJ12" i="3"/>
  <c r="CI11" i="3"/>
  <c r="L59" i="20"/>
  <c r="CX33" i="3"/>
  <c r="P24" i="1"/>
  <c r="P33" i="1" s="1"/>
  <c r="H57" i="1" s="1"/>
  <c r="O12" i="1"/>
  <c r="AJ27" i="21" l="1"/>
  <c r="AJ84" i="21"/>
  <c r="AI65" i="21"/>
  <c r="AJ65" i="21"/>
  <c r="AJ46" i="21"/>
  <c r="CT33" i="3"/>
  <c r="AO28" i="21"/>
  <c r="AK28" i="21"/>
  <c r="AN47" i="21"/>
  <c r="AO47" i="21"/>
  <c r="AN66" i="21"/>
  <c r="AO66" i="21"/>
  <c r="AN85" i="21"/>
  <c r="AO85" i="21"/>
  <c r="AM28" i="21"/>
  <c r="AN28" i="21"/>
  <c r="AL66" i="21"/>
  <c r="AM66" i="21"/>
  <c r="AL85" i="21"/>
  <c r="AM85" i="21"/>
  <c r="AL47" i="21"/>
  <c r="AM47" i="21"/>
  <c r="AL28" i="21"/>
  <c r="U47" i="21" a="1"/>
  <c r="U47" i="21" s="1"/>
  <c r="U66" i="21" a="1"/>
  <c r="U66" i="21" s="1"/>
  <c r="U85" i="21" a="1"/>
  <c r="U85" i="21" s="1"/>
  <c r="R34" i="1"/>
  <c r="U28" i="21" a="1"/>
  <c r="U28" i="21" s="1"/>
  <c r="W85" i="21" a="1"/>
  <c r="W85" i="21" s="1"/>
  <c r="V85" i="21" a="1"/>
  <c r="V85" i="21" s="1"/>
  <c r="W28" i="21" a="1"/>
  <c r="W28" i="21" s="1"/>
  <c r="V28" i="21" a="1"/>
  <c r="V28" i="21" s="1"/>
  <c r="W66" i="21" a="1"/>
  <c r="W66" i="21" s="1"/>
  <c r="V66" i="21" a="1"/>
  <c r="V66" i="21" s="1"/>
  <c r="W47" i="21" a="1"/>
  <c r="W47" i="21" s="1"/>
  <c r="V47" i="21" a="1"/>
  <c r="V47" i="21" s="1"/>
  <c r="AI84" i="21"/>
  <c r="AI27" i="21"/>
  <c r="AI46" i="21"/>
  <c r="I66" i="21"/>
  <c r="I85" i="21"/>
  <c r="I28" i="21"/>
  <c r="I47" i="21"/>
  <c r="AH46" i="21"/>
  <c r="Z46" i="21"/>
  <c r="AH27" i="21"/>
  <c r="Z27" i="21"/>
  <c r="AH84" i="21"/>
  <c r="Z84" i="21"/>
  <c r="S85" i="21"/>
  <c r="T85" i="21"/>
  <c r="AC85" i="21" s="1"/>
  <c r="AH65" i="21"/>
  <c r="Z65" i="21"/>
  <c r="S28" i="21"/>
  <c r="T28" i="21"/>
  <c r="AC28" i="21" s="1"/>
  <c r="S47" i="21"/>
  <c r="T47" i="21"/>
  <c r="AC47" i="21" s="1"/>
  <c r="S66" i="21"/>
  <c r="T66" i="21"/>
  <c r="AC66" i="21" s="1"/>
  <c r="Q28" i="21" a="1"/>
  <c r="Q28" i="21" s="1"/>
  <c r="R28" i="21"/>
  <c r="AA28" i="21" s="1"/>
  <c r="Q47" i="21" a="1"/>
  <c r="Q47" i="21" s="1"/>
  <c r="R47" i="21"/>
  <c r="AA47" i="21" s="1"/>
  <c r="Q66" i="21" a="1"/>
  <c r="Q66" i="21" s="1"/>
  <c r="R66" i="21"/>
  <c r="AA66" i="21" s="1"/>
  <c r="Q85" i="21" a="1"/>
  <c r="Q85" i="21" s="1"/>
  <c r="R85" i="21"/>
  <c r="AA85" i="21" s="1"/>
  <c r="O66" i="21" a="1"/>
  <c r="O66" i="21" s="1"/>
  <c r="P66" i="21" a="1"/>
  <c r="P66" i="21" s="1"/>
  <c r="O85" i="21" a="1"/>
  <c r="O85" i="21" s="1"/>
  <c r="P85" i="21" a="1"/>
  <c r="P85" i="21" s="1"/>
  <c r="O28" i="21" a="1"/>
  <c r="O28" i="21" s="1"/>
  <c r="P28" i="21" a="1"/>
  <c r="P28" i="21" s="1"/>
  <c r="O47" i="21" a="1"/>
  <c r="O47" i="21" s="1"/>
  <c r="P47" i="21" a="1"/>
  <c r="P47" i="21" s="1"/>
  <c r="N28" i="21"/>
  <c r="AB27" i="21" a="1"/>
  <c r="AB27" i="21" s="1"/>
  <c r="AF27" i="21" s="1"/>
  <c r="AF26" i="21"/>
  <c r="M66" i="21"/>
  <c r="N66" i="21"/>
  <c r="M47" i="21"/>
  <c r="N47" i="21"/>
  <c r="M85" i="21"/>
  <c r="N85" i="21"/>
  <c r="AF64" i="21"/>
  <c r="AB46" i="21" a="1"/>
  <c r="AB46" i="21" s="1"/>
  <c r="AG46" i="21" s="1"/>
  <c r="L28" i="21"/>
  <c r="M28" i="21"/>
  <c r="AF45" i="21"/>
  <c r="AG83" i="21"/>
  <c r="AB65" i="21" a="1"/>
  <c r="AB65" i="21" s="1"/>
  <c r="AF65" i="21" s="1"/>
  <c r="AB84" i="21" a="1"/>
  <c r="AB84" i="21" s="1"/>
  <c r="AG84" i="21" s="1"/>
  <c r="K47" i="21"/>
  <c r="L47" i="21"/>
  <c r="K66" i="21"/>
  <c r="L66" i="21"/>
  <c r="K85" i="21"/>
  <c r="L85" i="21"/>
  <c r="J28" i="21"/>
  <c r="K28" i="21"/>
  <c r="J47" i="21"/>
  <c r="J85" i="21"/>
  <c r="J66" i="21"/>
  <c r="X27" i="21"/>
  <c r="Y27" i="21"/>
  <c r="H29" i="21"/>
  <c r="X65" i="21"/>
  <c r="Y65" i="21"/>
  <c r="X84" i="21"/>
  <c r="Y84" i="21"/>
  <c r="H67" i="21"/>
  <c r="AK67" i="21" s="1"/>
  <c r="H86" i="21"/>
  <c r="AK86" i="21" s="1"/>
  <c r="H48" i="21"/>
  <c r="AK48" i="21" s="1"/>
  <c r="X46" i="21"/>
  <c r="Y46" i="21"/>
  <c r="DB29" i="3"/>
  <c r="DB35" i="3"/>
  <c r="DB27" i="3"/>
  <c r="DB20" i="3"/>
  <c r="DB12" i="3"/>
  <c r="DB24" i="3"/>
  <c r="DB33" i="3"/>
  <c r="DB7" i="3"/>
  <c r="DB28" i="3"/>
  <c r="DB36" i="3"/>
  <c r="DB8" i="3"/>
  <c r="DB11" i="3"/>
  <c r="DB15" i="3"/>
  <c r="DB19" i="3"/>
  <c r="DB23" i="3"/>
  <c r="DB31" i="3"/>
  <c r="DB16" i="3"/>
  <c r="DB32" i="3"/>
  <c r="DB34" i="3"/>
  <c r="DB9" i="3"/>
  <c r="DB13" i="3"/>
  <c r="DB17" i="3"/>
  <c r="DB21" i="3"/>
  <c r="DB25" i="3"/>
  <c r="DB10" i="3"/>
  <c r="DB14" i="3"/>
  <c r="DB18" i="3"/>
  <c r="DB22" i="3"/>
  <c r="DB26" i="3"/>
  <c r="DB30" i="3"/>
  <c r="DB6" i="3"/>
  <c r="CJ13" i="3"/>
  <c r="CI12" i="3"/>
  <c r="Q33" i="1"/>
  <c r="H58" i="1" s="1"/>
  <c r="H56" i="25"/>
  <c r="H58" i="25" s="1"/>
  <c r="AI47" i="21" l="1"/>
  <c r="AJ47" i="21"/>
  <c r="AJ66" i="21"/>
  <c r="AI28" i="21"/>
  <c r="AJ28" i="21"/>
  <c r="AJ85" i="21"/>
  <c r="AO29" i="21"/>
  <c r="AK29" i="21"/>
  <c r="AN67" i="21"/>
  <c r="AO67" i="21"/>
  <c r="AN48" i="21"/>
  <c r="AO48" i="21"/>
  <c r="AN86" i="21"/>
  <c r="AO86" i="21"/>
  <c r="AM29" i="21"/>
  <c r="AN29" i="21"/>
  <c r="AL67" i="21"/>
  <c r="AM67" i="21"/>
  <c r="AL48" i="21"/>
  <c r="AM48" i="21"/>
  <c r="AL86" i="21"/>
  <c r="AM86" i="21"/>
  <c r="AL29" i="21"/>
  <c r="U86" i="21" a="1"/>
  <c r="U86" i="21" s="1"/>
  <c r="U48" i="21" a="1"/>
  <c r="U48" i="21" s="1"/>
  <c r="U67" i="21" a="1"/>
  <c r="U67" i="21" s="1"/>
  <c r="CT32" i="3"/>
  <c r="H57" i="25"/>
  <c r="H59" i="25" s="1"/>
  <c r="U29" i="21" a="1"/>
  <c r="U29" i="21" s="1"/>
  <c r="W29" i="21" a="1"/>
  <c r="W29" i="21" s="1"/>
  <c r="V29" i="21" a="1"/>
  <c r="V29" i="21" s="1"/>
  <c r="W48" i="21" a="1"/>
  <c r="W48" i="21" s="1"/>
  <c r="V48" i="21" a="1"/>
  <c r="V48" i="21" s="1"/>
  <c r="W86" i="21" a="1"/>
  <c r="W86" i="21" s="1"/>
  <c r="V86" i="21" a="1"/>
  <c r="V86" i="21" s="1"/>
  <c r="W67" i="21" a="1"/>
  <c r="W67" i="21" s="1"/>
  <c r="V67" i="21" a="1"/>
  <c r="V67" i="21" s="1"/>
  <c r="AI85" i="21"/>
  <c r="AI66" i="21"/>
  <c r="I29" i="21"/>
  <c r="I48" i="21"/>
  <c r="I86" i="21"/>
  <c r="I67" i="21"/>
  <c r="Z28" i="21"/>
  <c r="AH28" i="21"/>
  <c r="AH47" i="21"/>
  <c r="Z47" i="21"/>
  <c r="S48" i="21"/>
  <c r="T48" i="21"/>
  <c r="AC48" i="21" s="1"/>
  <c r="Z85" i="21"/>
  <c r="AH85" i="21"/>
  <c r="S29" i="21"/>
  <c r="T29" i="21"/>
  <c r="AC29" i="21" s="1"/>
  <c r="S86" i="21"/>
  <c r="T86" i="21"/>
  <c r="AC86" i="21" s="1"/>
  <c r="Z66" i="21"/>
  <c r="AH66" i="21"/>
  <c r="S67" i="21"/>
  <c r="T67" i="21"/>
  <c r="AC67" i="21" s="1"/>
  <c r="Q67" i="21" a="1"/>
  <c r="Q67" i="21" s="1"/>
  <c r="R67" i="21"/>
  <c r="AA67" i="21" s="1"/>
  <c r="Q48" i="21" a="1"/>
  <c r="Q48" i="21" s="1"/>
  <c r="R48" i="21"/>
  <c r="AA48" i="21" s="1"/>
  <c r="Q86" i="21" a="1"/>
  <c r="Q86" i="21" s="1"/>
  <c r="R86" i="21"/>
  <c r="AA86" i="21" s="1"/>
  <c r="Q29" i="21" a="1"/>
  <c r="Q29" i="21" s="1"/>
  <c r="R29" i="21"/>
  <c r="AA29" i="21" s="1"/>
  <c r="O86" i="21" a="1"/>
  <c r="O86" i="21" s="1"/>
  <c r="P86" i="21" a="1"/>
  <c r="P86" i="21" s="1"/>
  <c r="O29" i="21" a="1"/>
  <c r="O29" i="21" s="1"/>
  <c r="P29" i="21" a="1"/>
  <c r="P29" i="21" s="1"/>
  <c r="O48" i="21" a="1"/>
  <c r="O48" i="21" s="1"/>
  <c r="P48" i="21" a="1"/>
  <c r="P48" i="21" s="1"/>
  <c r="O67" i="21" a="1"/>
  <c r="O67" i="21" s="1"/>
  <c r="P67" i="21" a="1"/>
  <c r="P67" i="21" s="1"/>
  <c r="N29" i="21"/>
  <c r="AB28" i="21" a="1"/>
  <c r="AB28" i="21" s="1"/>
  <c r="AG28" i="21" s="1"/>
  <c r="AG27" i="21"/>
  <c r="AB85" i="21" a="1"/>
  <c r="AB85" i="21" s="1"/>
  <c r="AG85" i="21" s="1"/>
  <c r="M86" i="21"/>
  <c r="N86" i="21"/>
  <c r="M67" i="21"/>
  <c r="N67" i="21"/>
  <c r="M48" i="21"/>
  <c r="N48" i="21"/>
  <c r="AB47" i="21" a="1"/>
  <c r="AB47" i="21" s="1"/>
  <c r="AG47" i="21" s="1"/>
  <c r="AF46" i="21"/>
  <c r="L29" i="21"/>
  <c r="M29" i="21"/>
  <c r="AB66" i="21" a="1"/>
  <c r="AB66" i="21" s="1"/>
  <c r="AF66" i="21" s="1"/>
  <c r="AG65" i="21"/>
  <c r="AF84" i="21"/>
  <c r="K48" i="21"/>
  <c r="L48" i="21"/>
  <c r="K67" i="21"/>
  <c r="L67" i="21"/>
  <c r="K86" i="21"/>
  <c r="L86" i="21"/>
  <c r="J29" i="21"/>
  <c r="K29" i="21"/>
  <c r="J86" i="21"/>
  <c r="J67" i="21"/>
  <c r="J48" i="21"/>
  <c r="Y28" i="21"/>
  <c r="X28" i="21"/>
  <c r="H30" i="21"/>
  <c r="H87" i="21"/>
  <c r="AK87" i="21" s="1"/>
  <c r="H68" i="21"/>
  <c r="AK68" i="21" s="1"/>
  <c r="X66" i="21"/>
  <c r="Y66" i="21"/>
  <c r="X85" i="21"/>
  <c r="Y85" i="21"/>
  <c r="H49" i="21"/>
  <c r="AK49" i="21" s="1"/>
  <c r="X47" i="21"/>
  <c r="Y47" i="21"/>
  <c r="CJ14" i="3"/>
  <c r="CI13" i="3"/>
  <c r="H59" i="1"/>
  <c r="CT31" i="3"/>
  <c r="H57" i="17"/>
  <c r="H57" i="20"/>
  <c r="R33" i="1"/>
  <c r="H60" i="1"/>
  <c r="H58" i="20"/>
  <c r="H58" i="17"/>
  <c r="AJ67" i="21" l="1"/>
  <c r="AI86" i="21"/>
  <c r="AJ86" i="21"/>
  <c r="AJ48" i="21"/>
  <c r="AI29" i="21"/>
  <c r="AJ29" i="21"/>
  <c r="AO30" i="21"/>
  <c r="AK30" i="21"/>
  <c r="AN68" i="21"/>
  <c r="AO68" i="21"/>
  <c r="AN87" i="21"/>
  <c r="AO87" i="21"/>
  <c r="AN49" i="21"/>
  <c r="AO49" i="21"/>
  <c r="AM30" i="21"/>
  <c r="AN30" i="21"/>
  <c r="AL49" i="21"/>
  <c r="AM49" i="21"/>
  <c r="AL68" i="21"/>
  <c r="AM68" i="21"/>
  <c r="AL87" i="21"/>
  <c r="AM87" i="21"/>
  <c r="AL30" i="21"/>
  <c r="U49" i="21" a="1"/>
  <c r="U49" i="21" s="1"/>
  <c r="U87" i="21" a="1"/>
  <c r="U87" i="21" s="1"/>
  <c r="U68" i="21" a="1"/>
  <c r="U68" i="21" s="1"/>
  <c r="H59" i="17"/>
  <c r="F37" i="26" s="1"/>
  <c r="N38" i="3"/>
  <c r="H60" i="17"/>
  <c r="F38" i="26" s="1"/>
  <c r="N39" i="3"/>
  <c r="U30" i="21" a="1"/>
  <c r="U30" i="21" s="1"/>
  <c r="W68" i="21" a="1"/>
  <c r="W68" i="21" s="1"/>
  <c r="V68" i="21" a="1"/>
  <c r="V68" i="21" s="1"/>
  <c r="W87" i="21" a="1"/>
  <c r="W87" i="21" s="1"/>
  <c r="V87" i="21" a="1"/>
  <c r="V87" i="21" s="1"/>
  <c r="W30" i="21" a="1"/>
  <c r="W30" i="21" s="1"/>
  <c r="V30" i="21" a="1"/>
  <c r="V30" i="21" s="1"/>
  <c r="W49" i="21" a="1"/>
  <c r="W49" i="21" s="1"/>
  <c r="V49" i="21" a="1"/>
  <c r="V49" i="21" s="1"/>
  <c r="AI48" i="21"/>
  <c r="AI67" i="21"/>
  <c r="I68" i="21"/>
  <c r="I87" i="21"/>
  <c r="I30" i="21"/>
  <c r="I49" i="21"/>
  <c r="AH86" i="21"/>
  <c r="Z86" i="21"/>
  <c r="AH29" i="21"/>
  <c r="Z29" i="21"/>
  <c r="S68" i="21"/>
  <c r="T68" i="21"/>
  <c r="AC68" i="21" s="1"/>
  <c r="AH48" i="21"/>
  <c r="Z48" i="21"/>
  <c r="S87" i="21"/>
  <c r="T87" i="21"/>
  <c r="AC87" i="21" s="1"/>
  <c r="S30" i="21"/>
  <c r="T30" i="21"/>
  <c r="AC30" i="21" s="1"/>
  <c r="Z67" i="21"/>
  <c r="AH67" i="21"/>
  <c r="S49" i="21"/>
  <c r="T49" i="21"/>
  <c r="AC49" i="21" s="1"/>
  <c r="Q49" i="21" a="1"/>
  <c r="Q49" i="21" s="1"/>
  <c r="R49" i="21"/>
  <c r="AA49" i="21" s="1"/>
  <c r="Q68" i="21" a="1"/>
  <c r="Q68" i="21" s="1"/>
  <c r="R68" i="21"/>
  <c r="AA68" i="21" s="1"/>
  <c r="Q87" i="21" a="1"/>
  <c r="Q87" i="21" s="1"/>
  <c r="R87" i="21"/>
  <c r="AA87" i="21" s="1"/>
  <c r="Q30" i="21" a="1"/>
  <c r="Q30" i="21" s="1"/>
  <c r="R30" i="21"/>
  <c r="AA30" i="21" s="1"/>
  <c r="Y48" i="21"/>
  <c r="O68" i="21" a="1"/>
  <c r="O68" i="21" s="1"/>
  <c r="P68" i="21" a="1"/>
  <c r="P68" i="21" s="1"/>
  <c r="O30" i="21" a="1"/>
  <c r="O30" i="21" s="1"/>
  <c r="P30" i="21" a="1"/>
  <c r="P30" i="21" s="1"/>
  <c r="O87" i="21" a="1"/>
  <c r="O87" i="21" s="1"/>
  <c r="P87" i="21" a="1"/>
  <c r="P87" i="21" s="1"/>
  <c r="O49" i="21" a="1"/>
  <c r="O49" i="21" s="1"/>
  <c r="P49" i="21" a="1"/>
  <c r="P49" i="21" s="1"/>
  <c r="N30" i="21"/>
  <c r="AB29" i="21" a="1"/>
  <c r="AB29" i="21" s="1"/>
  <c r="AG29" i="21" s="1"/>
  <c r="AF28" i="21"/>
  <c r="AF85" i="21"/>
  <c r="M68" i="21"/>
  <c r="N68" i="21"/>
  <c r="M87" i="21"/>
  <c r="N87" i="21"/>
  <c r="M49" i="21"/>
  <c r="N49" i="21"/>
  <c r="AF47" i="21"/>
  <c r="AB48" i="21" a="1"/>
  <c r="AB48" i="21" s="1"/>
  <c r="AF48" i="21" s="1"/>
  <c r="L30" i="21"/>
  <c r="M30" i="21"/>
  <c r="AG66" i="21"/>
  <c r="AB67" i="21" a="1"/>
  <c r="AB67" i="21" s="1"/>
  <c r="AF67" i="21" s="1"/>
  <c r="AB86" i="21" a="1"/>
  <c r="AB86" i="21" s="1"/>
  <c r="AF86" i="21" s="1"/>
  <c r="K49" i="21"/>
  <c r="L49" i="21"/>
  <c r="K68" i="21"/>
  <c r="L68" i="21"/>
  <c r="K87" i="21"/>
  <c r="L87" i="21"/>
  <c r="J30" i="21"/>
  <c r="K30" i="21"/>
  <c r="J68" i="21"/>
  <c r="J87" i="21"/>
  <c r="J49" i="21"/>
  <c r="Y29" i="21"/>
  <c r="X29" i="21"/>
  <c r="H31" i="21"/>
  <c r="AK31" i="21" s="1"/>
  <c r="H69" i="21"/>
  <c r="AK69" i="21" s="1"/>
  <c r="X67" i="21"/>
  <c r="Y67" i="21"/>
  <c r="X86" i="21"/>
  <c r="Y86" i="21"/>
  <c r="H88" i="21"/>
  <c r="AK88" i="21" s="1"/>
  <c r="X48" i="21"/>
  <c r="H50" i="21"/>
  <c r="AK50" i="21" s="1"/>
  <c r="H60" i="20"/>
  <c r="H59" i="20"/>
  <c r="CJ15" i="3"/>
  <c r="CI14" i="3"/>
  <c r="F35" i="24" l="1"/>
  <c r="N58" i="3"/>
  <c r="BX4" i="3" s="1"/>
  <c r="F34" i="24"/>
  <c r="N59" i="3"/>
  <c r="BY4" i="3" s="1"/>
  <c r="AJ30" i="21"/>
  <c r="AJ49" i="21"/>
  <c r="AI87" i="21"/>
  <c r="AJ87" i="21"/>
  <c r="AJ68" i="21"/>
  <c r="AH68" i="21"/>
  <c r="AI68" i="21"/>
  <c r="N42" i="3"/>
  <c r="BH4" i="3" s="1"/>
  <c r="BD4" i="3"/>
  <c r="N43" i="3"/>
  <c r="BE4" i="3"/>
  <c r="AN31" i="21"/>
  <c r="AO31" i="21"/>
  <c r="AN50" i="21"/>
  <c r="AO50" i="21"/>
  <c r="AN88" i="21"/>
  <c r="AO88" i="21"/>
  <c r="AN69" i="21"/>
  <c r="AO69" i="21"/>
  <c r="AL50" i="21"/>
  <c r="AM50" i="21"/>
  <c r="AL88" i="21"/>
  <c r="AM88" i="21"/>
  <c r="AL69" i="21"/>
  <c r="AM69" i="21"/>
  <c r="AL31" i="21"/>
  <c r="AM31" i="21"/>
  <c r="U69" i="21" a="1"/>
  <c r="U69" i="21" s="1"/>
  <c r="U31" i="21" a="1"/>
  <c r="U31" i="21" s="1"/>
  <c r="U50" i="21" a="1"/>
  <c r="U50" i="21" s="1"/>
  <c r="U88" i="21" a="1"/>
  <c r="U88" i="21" s="1"/>
  <c r="W69" i="21" a="1"/>
  <c r="W69" i="21" s="1"/>
  <c r="V69" i="21" a="1"/>
  <c r="V69" i="21" s="1"/>
  <c r="W31" i="21" a="1"/>
  <c r="W31" i="21" s="1"/>
  <c r="V31" i="21" a="1"/>
  <c r="V31" i="21" s="1"/>
  <c r="W88" i="21" a="1"/>
  <c r="W88" i="21" s="1"/>
  <c r="V88" i="21" a="1"/>
  <c r="V88" i="21" s="1"/>
  <c r="W50" i="21" a="1"/>
  <c r="W50" i="21" s="1"/>
  <c r="V50" i="21" a="1"/>
  <c r="V50" i="21" s="1"/>
  <c r="AI30" i="21"/>
  <c r="AI49" i="21"/>
  <c r="I69" i="21"/>
  <c r="I31" i="21"/>
  <c r="I88" i="21"/>
  <c r="I50" i="21"/>
  <c r="AH30" i="21"/>
  <c r="Z30" i="21"/>
  <c r="AH87" i="21"/>
  <c r="Z87" i="21"/>
  <c r="S69" i="21"/>
  <c r="T69" i="21"/>
  <c r="AC69" i="21" s="1"/>
  <c r="Z68" i="21"/>
  <c r="S88" i="21"/>
  <c r="T88" i="21"/>
  <c r="AC88" i="21" s="1"/>
  <c r="S50" i="21"/>
  <c r="T50" i="21"/>
  <c r="AC50" i="21" s="1"/>
  <c r="Z49" i="21"/>
  <c r="AH49" i="21"/>
  <c r="S31" i="21"/>
  <c r="T31" i="21"/>
  <c r="AC31" i="21" s="1"/>
  <c r="Q50" i="21" a="1"/>
  <c r="Q50" i="21" s="1"/>
  <c r="R50" i="21"/>
  <c r="AA50" i="21" s="1"/>
  <c r="Q88" i="21" a="1"/>
  <c r="Q88" i="21" s="1"/>
  <c r="R88" i="21"/>
  <c r="AA88" i="21" s="1"/>
  <c r="Q69" i="21" a="1"/>
  <c r="Q69" i="21" s="1"/>
  <c r="R69" i="21"/>
  <c r="AA69" i="21" s="1"/>
  <c r="Q31" i="21" a="1"/>
  <c r="Q31" i="21" s="1"/>
  <c r="R31" i="21"/>
  <c r="AA31" i="21" s="1"/>
  <c r="O88" i="21" a="1"/>
  <c r="O88" i="21" s="1"/>
  <c r="P88" i="21" a="1"/>
  <c r="P88" i="21" s="1"/>
  <c r="O69" i="21" a="1"/>
  <c r="O69" i="21" s="1"/>
  <c r="P69" i="21" a="1"/>
  <c r="P69" i="21" s="1"/>
  <c r="O31" i="21" a="1"/>
  <c r="O31" i="21" s="1"/>
  <c r="P31" i="21" a="1"/>
  <c r="P31" i="21" s="1"/>
  <c r="O50" i="21" a="1"/>
  <c r="O50" i="21" s="1"/>
  <c r="P50" i="21" a="1"/>
  <c r="P50" i="21" s="1"/>
  <c r="N31" i="21"/>
  <c r="AF29" i="21"/>
  <c r="M69" i="21"/>
  <c r="N69" i="21"/>
  <c r="M50" i="21"/>
  <c r="N50" i="21"/>
  <c r="AB49" i="21" a="1"/>
  <c r="AB49" i="21" s="1"/>
  <c r="AG49" i="21" s="1"/>
  <c r="M88" i="21"/>
  <c r="N88" i="21"/>
  <c r="AG48" i="21"/>
  <c r="AB68" i="21" a="1"/>
  <c r="AB68" i="21" s="1"/>
  <c r="AG68" i="21" s="1"/>
  <c r="AB30" i="21" a="1"/>
  <c r="AB30" i="21" s="1"/>
  <c r="AF30" i="21" s="1"/>
  <c r="L31" i="21"/>
  <c r="M31" i="21"/>
  <c r="AG86" i="21"/>
  <c r="AG67" i="21"/>
  <c r="K88" i="21"/>
  <c r="L88" i="21"/>
  <c r="K50" i="21"/>
  <c r="L50" i="21"/>
  <c r="K69" i="21"/>
  <c r="L69" i="21"/>
  <c r="AB87" i="21" a="1"/>
  <c r="AB87" i="21" s="1"/>
  <c r="AF87" i="21" s="1"/>
  <c r="J31" i="21"/>
  <c r="K31" i="21"/>
  <c r="J88" i="21"/>
  <c r="J69" i="21"/>
  <c r="J50" i="21"/>
  <c r="Y30" i="21"/>
  <c r="X30" i="21"/>
  <c r="X87" i="21"/>
  <c r="Y87" i="21"/>
  <c r="X68" i="21"/>
  <c r="Y68" i="21"/>
  <c r="X49" i="21"/>
  <c r="Y49" i="21"/>
  <c r="CY33" i="3"/>
  <c r="CY36" i="3"/>
  <c r="CY30" i="3"/>
  <c r="CY28" i="3"/>
  <c r="CY27" i="3"/>
  <c r="CY25" i="3"/>
  <c r="CY35" i="3"/>
  <c r="CY34" i="3"/>
  <c r="CY32" i="3"/>
  <c r="CY31" i="3"/>
  <c r="CY29" i="3"/>
  <c r="CY26" i="3"/>
  <c r="CY24" i="3"/>
  <c r="CY23" i="3"/>
  <c r="CY21" i="3"/>
  <c r="CY20" i="3"/>
  <c r="CY19" i="3"/>
  <c r="CY17" i="3"/>
  <c r="CY22" i="3"/>
  <c r="CY18" i="3"/>
  <c r="CY16" i="3"/>
  <c r="CY15" i="3"/>
  <c r="CY13" i="3"/>
  <c r="CY12" i="3"/>
  <c r="CY11" i="3"/>
  <c r="CY9" i="3"/>
  <c r="CY8" i="3"/>
  <c r="CY7" i="3"/>
  <c r="CY6" i="3"/>
  <c r="CY14" i="3"/>
  <c r="CY10" i="3"/>
  <c r="CZ32" i="3"/>
  <c r="CZ31" i="3"/>
  <c r="CZ29" i="3"/>
  <c r="CZ26" i="3"/>
  <c r="CZ24" i="3"/>
  <c r="CZ36" i="3"/>
  <c r="CZ34" i="3"/>
  <c r="CZ33" i="3"/>
  <c r="CZ30" i="3"/>
  <c r="CZ28" i="3"/>
  <c r="CZ27" i="3"/>
  <c r="CZ25" i="3"/>
  <c r="CZ22" i="3"/>
  <c r="CZ18" i="3"/>
  <c r="CZ16" i="3"/>
  <c r="CZ15" i="3"/>
  <c r="CZ23" i="3"/>
  <c r="CZ21" i="3"/>
  <c r="CZ19" i="3"/>
  <c r="CZ17" i="3"/>
  <c r="CZ14" i="3"/>
  <c r="CZ10" i="3"/>
  <c r="CZ6" i="3"/>
  <c r="CZ20" i="3"/>
  <c r="CZ13" i="3"/>
  <c r="CZ12" i="3"/>
  <c r="CZ11" i="3"/>
  <c r="CZ9" i="3"/>
  <c r="CZ8" i="3"/>
  <c r="CZ7" i="3"/>
  <c r="CZ35" i="3"/>
  <c r="CI15" i="3"/>
  <c r="CJ16" i="3"/>
  <c r="N47" i="3" l="1"/>
  <c r="BM4" i="3" s="1"/>
  <c r="BI4" i="3"/>
  <c r="AJ31" i="21"/>
  <c r="AJ50" i="21"/>
  <c r="AH88" i="21"/>
  <c r="AI88" i="21"/>
  <c r="AJ88" i="21"/>
  <c r="AJ69" i="21"/>
  <c r="N46" i="3"/>
  <c r="BL4" i="3" s="1"/>
  <c r="AI31" i="21"/>
  <c r="AI50" i="21"/>
  <c r="AI69" i="21"/>
  <c r="AH50" i="21"/>
  <c r="Z50" i="21"/>
  <c r="Z88" i="21"/>
  <c r="AH69" i="21"/>
  <c r="Z69" i="21"/>
  <c r="AH31" i="21"/>
  <c r="Z31" i="21"/>
  <c r="Y50" i="21"/>
  <c r="AB50" i="21" a="1"/>
  <c r="AB50" i="21" s="1"/>
  <c r="AG50" i="21" s="1"/>
  <c r="AF49" i="21"/>
  <c r="AF68" i="21"/>
  <c r="AG30" i="21"/>
  <c r="AB88" i="21" a="1"/>
  <c r="AB88" i="21" s="1"/>
  <c r="AG88" i="21" s="1"/>
  <c r="AG87" i="21"/>
  <c r="AB69" i="21" a="1"/>
  <c r="AB69" i="21" s="1"/>
  <c r="AG69" i="21" s="1"/>
  <c r="X31" i="21"/>
  <c r="AB31" i="21" a="1"/>
  <c r="AB31" i="21" s="1"/>
  <c r="AF31" i="21" s="1"/>
  <c r="X88" i="21"/>
  <c r="Y88" i="21"/>
  <c r="X50" i="21"/>
  <c r="X69" i="21"/>
  <c r="Y69" i="21"/>
  <c r="Y31" i="21"/>
  <c r="CI16" i="3"/>
  <c r="CJ17" i="3"/>
  <c r="AF50" i="21" l="1"/>
  <c r="AF88" i="21"/>
  <c r="AF69" i="21"/>
  <c r="AG31" i="21"/>
  <c r="CJ18" i="3"/>
  <c r="CI17" i="3"/>
  <c r="CJ19" i="3" l="1"/>
  <c r="CI18" i="3"/>
  <c r="CJ20" i="3" l="1"/>
  <c r="CI19" i="3"/>
  <c r="CI20" i="3" l="1"/>
  <c r="CJ21" i="3"/>
  <c r="CJ22" i="3" l="1"/>
  <c r="CI21" i="3"/>
  <c r="CI22" i="3" l="1"/>
  <c r="CJ23" i="3"/>
  <c r="CJ24" i="3" l="1"/>
  <c r="CI23" i="3"/>
  <c r="CI24" i="3" l="1"/>
  <c r="CJ25" i="3"/>
  <c r="CI25" i="3" l="1"/>
  <c r="CJ26" i="3"/>
  <c r="CI26" i="3" l="1"/>
  <c r="CJ27" i="3"/>
  <c r="CI27" i="3" l="1"/>
  <c r="CJ28" i="3"/>
  <c r="CJ29" i="3" l="1"/>
  <c r="CI28" i="3"/>
  <c r="CI29" i="3" l="1"/>
  <c r="CJ30" i="3"/>
  <c r="CJ31" i="3" l="1"/>
  <c r="CI30" i="3"/>
  <c r="CI31" i="3" l="1"/>
  <c r="CJ32" i="3"/>
  <c r="CJ33" i="3" l="1"/>
  <c r="CI32" i="3"/>
  <c r="CJ34" i="3" l="1"/>
  <c r="CI33" i="3"/>
  <c r="CJ35" i="3" l="1"/>
  <c r="CI34" i="3"/>
  <c r="CJ36" i="3" l="1"/>
  <c r="CI36" i="3" s="1"/>
  <c r="CI35" i="3"/>
  <c r="AF4" i="6" l="1"/>
  <c r="AF5" i="6" s="1"/>
  <c r="AF6" i="6" s="1"/>
  <c r="AF7" i="6" l="1"/>
  <c r="AF8" i="6" l="1"/>
  <c r="AF9" i="6" s="1"/>
  <c r="AF10" i="6" s="1"/>
  <c r="AF11" i="6" l="1"/>
  <c r="AF12" i="6" s="1"/>
  <c r="AF13" i="6" s="1"/>
  <c r="AF14" i="6" s="1"/>
  <c r="AF15" i="6" s="1"/>
  <c r="AF16" i="6" s="1"/>
  <c r="AF17" i="6" s="1"/>
  <c r="AF18" i="6" s="1"/>
  <c r="AF19" i="6" s="1"/>
  <c r="AF20" i="6" s="1"/>
  <c r="AF21" i="6" s="1"/>
  <c r="AF22" i="6" s="1"/>
  <c r="AF23" i="6" s="1"/>
  <c r="AF24" i="6" s="1"/>
  <c r="AF25" i="6" s="1"/>
  <c r="AF26" i="6" s="1"/>
  <c r="AF27" i="6" s="1"/>
  <c r="AF28" i="6" s="1"/>
  <c r="AF29" i="6" s="1"/>
  <c r="AF30" i="6" l="1"/>
  <c r="AF31" i="6" s="1"/>
  <c r="AF32" i="6" s="1"/>
  <c r="AF33" i="6" s="1"/>
  <c r="AF34" i="6" s="1"/>
  <c r="AF35" i="6" s="1"/>
  <c r="AF36" i="6" s="1"/>
  <c r="AF37" i="6" s="1"/>
  <c r="AF38" i="6" s="1"/>
  <c r="AF39" i="6" s="1"/>
  <c r="AF40" i="6" s="1"/>
  <c r="AF41" i="6" l="1"/>
  <c r="AF42" i="6" s="1"/>
  <c r="AF43" i="6" s="1"/>
  <c r="AF44" i="6" s="1"/>
  <c r="AF45" i="6" s="1"/>
  <c r="AF46" i="6" s="1"/>
  <c r="AF47" i="6" s="1"/>
  <c r="AF48" i="6" s="1"/>
  <c r="AF49" i="6" s="1"/>
  <c r="AF50" i="6" s="1"/>
  <c r="AF51" i="6" s="1"/>
  <c r="AQ10" i="22"/>
  <c r="AQ11" i="22" s="1"/>
  <c r="AQ12" i="22" s="1"/>
  <c r="AQ13" i="22" s="1"/>
  <c r="AQ14" i="22" s="1"/>
  <c r="AQ15" i="22" s="1"/>
  <c r="AQ16" i="22" s="1"/>
  <c r="AQ17" i="22" s="1"/>
  <c r="AQ18" i="22" s="1"/>
  <c r="AQ19" i="22" s="1"/>
  <c r="AQ20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Ridvan</author>
  </authors>
  <commentList>
    <comment ref="C10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Периодично предаване на данни за:
- План за учебната година
- Отчет за Зимен семестър
- Отчет за Летен семестър
- Отчет за Септември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35FD24A-382E-44C8-9FF0-EE9BCB67A79F}" keepAlive="1" name="Query - db_code_MON" description="Connection to the 'db_code_MON' query in the workbook." type="5" refreshedVersion="0" background="1">
    <dbPr connection="Provider=Microsoft.Mashup.OleDb.1;Data Source=$Workbook$;Location=db_code_MON;Extended Properties=&quot;&quot;" command="SELECT * FROM [db_code_MON]"/>
  </connection>
  <connection id="2" xr16:uid="{E2D2C282-CDA1-4706-9263-820DDF38A5D3}" keepAlive="1" name="Query - db_code_MON_РЗrows" description="Connection to the 'db_code_MON_РЗrows' query in the workbook." type="5" refreshedVersion="8" background="1" saveData="1">
    <dbPr connection="Provider=Microsoft.Mashup.OleDb.1;Data Source=$Workbook$;Location=db_code_MON_РЗrows;Extended Properties=&quot;&quot;" command="SELECT * FROM [db_code_MON_РЗrows]"/>
  </connection>
  <connection id="3" xr16:uid="{1BF0B63B-4BCB-4B85-92A8-E70511FFEBBA}" keepAlive="1" name="Query - db_EducationPlans_МОН_List" description="Connection to the 'db_EducationPlans_МОН_List' query in the workbook." type="5" refreshedVersion="8" background="1" saveData="1">
    <dbPr connection="Provider=Microsoft.Mashup.OleDb.1;Data Source=$Workbook$;Location=db_EducationPlans_МОН_List;Extended Properties=&quot;&quot;" command="SELECT * FROM [db_EducationPlans_МОН_List]"/>
  </connection>
  <connection id="4" xr16:uid="{7C3B9B5B-09A6-4EEF-B79C-06B4AC1AB3EC}" keepAlive="1" name="Query - db_EducationPlans_МОН_List_т1" description="Connection to the 'db_EducationPlans_МОН_List_т1' query in the workbook." type="5" refreshedVersion="0" background="1">
    <dbPr connection="Provider=Microsoft.Mashup.OleDb.1;Data Source=$Workbook$;Location=db_EducationPlans_МОН_List_т1;Extended Properties=&quot;&quot;" command="SELECT * FROM [db_EducationPlans_МОН_List_т1]"/>
  </connection>
  <connection id="5" xr16:uid="{DFEA6D85-F0F6-4F15-9BCD-4AC61AAA7AFC}" keepAlive="1" name="Query - dbеТаблици" description="Connection to the 'dbеТаблици' query in the workbook." type="5" refreshedVersion="0" background="1">
    <dbPr connection="Provider=Microsoft.Mashup.OleDb.1;Data Source=$Workbook$;Location=dbеТаблици;Extended Properties=&quot;&quot;" command="SELECT * FROM [dbеТаблици]"/>
  </connection>
  <connection id="6" xr16:uid="{E39D7E45-E598-4163-9A6E-353BD909DEC9}" keepAlive="1" name="Query - dbеФакултет_ОЗ_Спец" description="Connection to the 'dbеФакултет_ОЗ_Спец' query in the workbook." type="5" refreshedVersion="8" background="1" saveData="1">
    <dbPr connection="Provider=Microsoft.Mashup.OleDb.1;Data Source=$Workbook$;Location=dbеФакултет_ОЗ_Спец;Extended Properties=&quot;&quot;" command="SELECT * FROM [dbеФакултет_ОЗ_Спец]"/>
  </connection>
  <connection id="7" xr16:uid="{199B806B-D467-4AD3-8B0F-2577FC6558FA}" keepAlive="1" name="Query - dbеФакултет_ОЗ_Спец_ОбщоОЗ" description="Connection to the 'dbеФакултет_ОЗ_Спец_ОбщоОЗ' query in the workbook." type="5" refreshedVersion="8" background="1" saveData="1">
    <dbPr connection="Provider=Microsoft.Mashup.OleDb.1;Data Source=$Workbook$;Location=dbеФакултет_ОЗ_Спец_ОбщоОЗ;Extended Properties=&quot;&quot;" command="SELECT * FROM [dbеФакултет_ОЗ_Спец_ОбщоОЗ]"/>
  </connection>
  <connection id="8" xr16:uid="{9631C217-93EA-461E-BBD3-F86FC8CDD3A0}" keepAlive="1" name="Query - dbеФакултет_ОЗ_Спец_ОбщоСпец" description="Connection to the 'dbеФакултет_ОЗ_Спец_ОбщоСпец' query in the workbook." type="5" refreshedVersion="8" background="1" saveData="1">
    <dbPr connection="Provider=Microsoft.Mashup.OleDb.1;Data Source=$Workbook$;Location=dbеФакултет_ОЗ_Спец_ОбщоСпец;Extended Properties=&quot;&quot;" command="SELECT * FROM [dbеФакултет_ОЗ_Спец_ОбщоСпец]"/>
  </connection>
  <connection id="9" xr16:uid="{9A3C04A9-EE63-4F89-BB24-524B43C66097}" keepAlive="1" name="Query - dbТаблици" description="Connection to the 'dbТаблици' query in the workbook." type="5" refreshedVersion="0" background="1">
    <dbPr connection="Provider=Microsoft.Mashup.OleDb.1;Data Source=$Workbook$;Location=dbТаблици;Extended Properties=&quot;&quot;" command="SELECT * FROM [dbТаблици]"/>
  </connection>
  <connection id="10" xr16:uid="{9929C2D2-A7DE-468E-BD56-0066C6FC76E0}" keepAlive="1" name="Query - dbТаблици_БМП_1_учДисциплини" description="Connection to the 'dbТаблици_БМП_1_учДисциплини' query in the workbook." type="5" refreshedVersion="0" background="1">
    <dbPr connection="Provider=Microsoft.Mashup.OleDb.1;Data Source=$Workbook$;Location=dbТаблици_БМП_1_учДисциплини;Extended Properties=&quot;&quot;" command="SELECT * FROM [dbТаблици_БМП_1_учДисциплини]"/>
  </connection>
  <connection id="11" xr16:uid="{6F513234-CBA9-4C59-931E-555E06AE40CB}" keepAlive="1" name="Query - dbТаблици_БМП_2_учПрактика" description="Connection to the 'dbТаблици_БМП_2_учПрактика' query in the workbook." type="5" refreshedVersion="0" background="1">
    <dbPr connection="Provider=Microsoft.Mashup.OleDb.1;Data Source=$Workbook$;Location=dbТаблици_БМП_2_учПрактика;Extended Properties=&quot;&quot;" command="SELECT * FROM [dbТаблици_БМП_2_учПрактика]"/>
  </connection>
  <connection id="12" xr16:uid="{9337555F-B34C-43BA-855B-294F2058D4DD}" keepAlive="1" name="Query - dbТаблици_БМП_3_Дипломиране" description="Connection to the 'dbТаблици_БМП_3_Дипломиране' query in the workbook." type="5" refreshedVersion="0" background="1">
    <dbPr connection="Provider=Microsoft.Mashup.OleDb.1;Data Source=$Workbook$;Location=dbТаблици_БМП_3_Дипломиране;Extended Properties=&quot;&quot;" command="SELECT * FROM [dbТаблици_БМП_3_Дипломиране]"/>
  </connection>
  <connection id="13" xr16:uid="{4E075658-4AD9-4728-8CF2-EAA2B3C17771}" keepAlive="1" name="Query - dbТаблици_БМП_4_Подготовка_курс" description="Connection to the 'dbТаблици_БМП_4_Подготовка_курс' query in the workbook." type="5" refreshedVersion="0" background="1">
    <dbPr connection="Provider=Microsoft.Mashup.OleDb.1;Data Source=$Workbook$;Location=dbТаблици_БМП_4_Подготовка_курс;Extended Properties=&quot;&quot;" command="SELECT * FROM [dbТаблици_БМП_4_Подготовка_курс]"/>
  </connection>
  <connection id="14" xr16:uid="{601880B6-613B-4D0D-8859-DF2CE9D2DF9D}" keepAlive="1" name="Query - EducationPlans" description="Connection to the 'EducationPlans' query in the workbook." type="5" refreshedVersion="0" background="1">
    <dbPr connection="Provider=Microsoft.Mashup.OleDb.1;Data Source=$Workbook$;Location=EducationPlans;Extended Properties=&quot;&quot;" command="SELECT * FROM [EducationPlans]"/>
  </connection>
  <connection id="15" xr16:uid="{4AF092A6-D5E0-49A6-8CBB-4563EB40DB1B}" keepAlive="1" name="Query - EducPlans_кодНАЦИД_Спец" description="Connection to the 'EducPlans_кодНАЦИД_Спец' query in the workbook." type="5" refreshedVersion="8" background="1" saveData="1">
    <dbPr connection="Provider=Microsoft.Mashup.OleDb.1;Data Source=$Workbook$;Location=EducPlans_кодНАЦИД_Спец;Extended Properties=&quot;&quot;" command="SELECT * FROM [EducPlans_кодНАЦИД_Спец]"/>
  </connection>
  <connection id="16" xr16:uid="{7A16263E-7DCB-4DF3-9199-EACD8AACF53C}" keepAlive="1" name="Query - ioTables" description="Connection to the 'ioTables' query in the workbook." type="5" refreshedVersion="0" background="1">
    <dbPr connection="Provider=Microsoft.Mashup.OleDb.1;Data Source=$Workbook$;Location=ioTables;Extended Properties=&quot;&quot;" command="SELECT * FROM [ioTables]"/>
  </connection>
  <connection id="17" xr16:uid="{0464457A-E96F-48BA-8B89-B1CC61012D7F}" keepAlive="1" name="Query - ioTables_БП_1_УчебДисц" description="Connection to the 'ioTables_БП_1_УчебДисц' query in the workbook." type="5" refreshedVersion="0" background="1">
    <dbPr connection="Provider=Microsoft.Mashup.OleDb.1;Data Source=$Workbook$;Location=ioTables_БП_1_УчебДисц;Extended Properties=&quot;&quot;" command="SELECT * FROM [ioTables_БП_1_УчебДисц]"/>
  </connection>
  <connection id="18" xr16:uid="{0266A931-55C3-4479-A23F-B17F90B3D7D0}" keepAlive="1" name="Query - RT_Документация_H_Спр" description="Connection to the 'RT_Документация_H_Спр' query in the workbook." type="5" refreshedVersion="8" background="1" saveData="1">
    <dbPr connection="Provider=Microsoft.Mashup.OleDb.1;Data Source=$Workbook$;Location=RT_Документация_H_Спр;Extended Properties=&quot;&quot;" command="SELECT * FROM [RT_Документация_H_Спр]"/>
  </connection>
  <connection id="19" xr16:uid="{11C3AC1A-D958-4C53-B3AF-3FF99F469A37}" keepAlive="1" name="Query - RT_Документация_HАЦИД_Спр" description="Connection to the 'RT_Документация_HАЦИД_Спр' query in the workbook." type="5" refreshedVersion="8" background="1" saveData="1">
    <dbPr connection="Provider=Microsoft.Mashup.OleDb.1;Data Source=$Workbook$;Location=RT_Документация_HАЦИД_Спр;Extended Properties=&quot;&quot;" command="SELECT * FROM [RT_Документация_HАЦИД_Спр]"/>
  </connection>
  <connection id="20" xr16:uid="{4E6477A7-1342-4E31-B1BC-ED889E56AF0A}" keepAlive="1" name="Query - SU_STUDENTDATABASE" description="Connection to the 'SU_STUDENTDATABASE' query in the workbook." type="5" refreshedVersion="0" background="1">
    <dbPr connection="Provider=Microsoft.Mashup.OleDb.1;Data Source=$Workbook$;Location=SU_STUDENTDATABASE;Extended Properties=&quot;&quot;" command="SELECT * FROM [SU_STUDENTDATABASE]"/>
  </connection>
  <connection id="21" xr16:uid="{9E6D531B-7499-4B76-A05F-07EC84B9FE28}" keepAlive="1" name="Query - Катедра" description="Connection to the 'Катедра' query in the workbook." type="5" refreshedVersion="0" background="1">
    <dbPr connection="Provider=Microsoft.Mashup.OleDb.1;Data Source=$Workbook$;Location=Катедра;Extended Properties=&quot;&quot;" command="SELECT * FROM [Катедра]"/>
  </connection>
  <connection id="22" xr16:uid="{53289E08-F551-41CC-9FC9-17F7F32AA5B4}" keepAlive="1" name="Query - НАЦИД_Обобщен_отчет" description="Connection to the 'НАЦИД_Обобщен_отчет' query in the workbook." type="5" refreshedVersion="8" background="1" saveData="1">
    <dbPr connection="Provider=Microsoft.Mashup.OleDb.1;Data Source=$Workbook$;Location=НАЦИД_Обобщен_отчет;Extended Properties=&quot;&quot;" command="SELECT * FROM [НАЦИД_Обобщен_отчет]"/>
  </connection>
  <connection id="23" xr16:uid="{C3634116-EAD7-4D66-A0F0-0CD4EDA6B98E}" keepAlive="1" name="Query - тЗащСпец" description="Connection to the 'тЗащСпец' query in the workbook." type="5" refreshedVersion="0" background="1">
    <dbPr connection="Provider=Microsoft.Mashup.OleDb.1;Data Source=$Workbook$;Location=тЗащСпец;Extended Properties=&quot;&quot;" command="SELECT * FROM [тЗащСпец]"/>
  </connection>
  <connection id="24" xr16:uid="{74FA152B-C43A-4ACC-8CCF-7515992B6CD1}" keepAlive="1" name="Query - тЗСпец" description="Connection to the 'тЗСпец' query in the workbook." type="5" refreshedVersion="8" background="1" saveData="1">
    <dbPr connection="Provider=Microsoft.Mashup.OleDb.1;Data Source=$Workbook$;Location=тЗСпец;Extended Properties=&quot;&quot;" command="SELECT * FROM [тЗСпец]"/>
  </connection>
  <connection id="25" xr16:uid="{1780B7DC-DD9B-4F18-9334-8787B88E7FE3}" keepAlive="1" name="Query - Факултет" description="Connection to the 'Факултет' query in the workbook." type="5" refreshedVersion="0" background="1">
    <dbPr connection="Provider=Microsoft.Mashup.OleDb.1;Data Source=$Workbook$;Location=Факултет;Extended Properties=&quot;&quot;" command="SELECT * FROM [Факултет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<sst xmlns="http://schemas.openxmlformats.org/spreadsheetml/2006/main" count="40713" uniqueCount="14140">
  <si>
    <t>Индивидуалният план се представя с приложена подробна разбивка на заетостта!</t>
  </si>
  <si>
    <t>Бързи връзки:</t>
  </si>
  <si>
    <t>Начало</t>
  </si>
  <si>
    <t>Общо</t>
  </si>
  <si>
    <t>Общи положения</t>
  </si>
  <si>
    <t>/факултет/</t>
  </si>
  <si>
    <t>/катедра/</t>
  </si>
  <si>
    <t>И Н Д И В И Д У А Л Е Н     П Л А Н</t>
  </si>
  <si>
    <t>Ръководна длъжност:</t>
  </si>
  <si>
    <t>Аудиторна заетост</t>
  </si>
  <si>
    <t>Извънаудиторна заетост</t>
  </si>
  <si>
    <t>Аудиторна заетост:</t>
  </si>
  <si>
    <t>Запознат съм с общите условия.</t>
  </si>
  <si>
    <t>Прилагам подробна разбивка на заетостта си.</t>
  </si>
  <si>
    <t>Бр. студенти</t>
  </si>
  <si>
    <t>Коефициент на редукция</t>
  </si>
  <si>
    <t>Дисциплина</t>
  </si>
  <si>
    <t>Специалност</t>
  </si>
  <si>
    <t>Факултет</t>
  </si>
  <si>
    <t>Вид</t>
  </si>
  <si>
    <t>Курс</t>
  </si>
  <si>
    <t>Език</t>
  </si>
  <si>
    <t>Наименование на практика/курсова работа</t>
  </si>
  <si>
    <t>Ранг</t>
  </si>
  <si>
    <t>Акроним</t>
  </si>
  <si>
    <t>ФАКУЛТЕТ ПО МАТЕМАТИКА И ИНФОРМАТИКА</t>
  </si>
  <si>
    <t>ФМИ</t>
  </si>
  <si>
    <t>ФИЗИЧЕСКИ ФАКУЛТЕТ</t>
  </si>
  <si>
    <t>ФАКУЛТЕТ ПО ХИМИЯ И ФАРМАЦИЯ</t>
  </si>
  <si>
    <t>ФХФ</t>
  </si>
  <si>
    <t>БИОЛОГИЧЕСКИ ФАКУЛТЕТ</t>
  </si>
  <si>
    <t>БФ</t>
  </si>
  <si>
    <t>ФАКУЛТЕТ ПО КЛАСИЧЕСКИ И НОВИ ФИЛОЛОГИИ</t>
  </si>
  <si>
    <t>ФКНФ</t>
  </si>
  <si>
    <t>ФИЛОСОФСКИ ФАКУЛТЕТ</t>
  </si>
  <si>
    <t>ФФ</t>
  </si>
  <si>
    <t>БОГОСЛОВСКИ ФАКУЛТЕТ</t>
  </si>
  <si>
    <t>ФАКУЛТЕТ ПО СЛАВЯНСКИ ФИЛОЛОГИИ</t>
  </si>
  <si>
    <t>ФАКУЛТЕТ ПО ПЕДАГОГИКА</t>
  </si>
  <si>
    <t>ФП</t>
  </si>
  <si>
    <t>СТОПАНСКИ ФАКУЛТЕТ</t>
  </si>
  <si>
    <t>ФАКУЛТЕТ ПО ЖУРНАЛИСТИКА И МАСОВА КОМУНИКАЦИЯ</t>
  </si>
  <si>
    <t>ФЖМК</t>
  </si>
  <si>
    <t>ЮРИДИЧЕСКИ ФАКУЛТЕТ</t>
  </si>
  <si>
    <t>ЮФ</t>
  </si>
  <si>
    <t>МЕДИЦИНСКИ ФАКУЛТЕТ</t>
  </si>
  <si>
    <t>МФ</t>
  </si>
  <si>
    <t>ИСТОРИЧЕСКИ ФАКУЛТЕТ</t>
  </si>
  <si>
    <t>ИФ</t>
  </si>
  <si>
    <t>ГЕОЛОГО-ГЕОГРАФСКИ ФАКУЛТЕТ</t>
  </si>
  <si>
    <t>ГГФ</t>
  </si>
  <si>
    <t>ДЕПАРАМЕНТ ЗА ИНФОРМАЦИЯ И УСЪВЪРШЕНСТВАНЕ НА УЧИТЕЛИ</t>
  </si>
  <si>
    <t>ДИУУ</t>
  </si>
  <si>
    <t>ДЕПАРТАМЕНТ ЗА ЕЗИКОВО ОБУЧЕНИЕ</t>
  </si>
  <si>
    <t>ДЕО</t>
  </si>
  <si>
    <t>ЦСВП "ПРОФ. ИВАН ДУЙЧЕВ"</t>
  </si>
  <si>
    <t>ЦСВП</t>
  </si>
  <si>
    <t>Инд. уч. план / Еразъм</t>
  </si>
  <si>
    <t>Ръководна длъжност</t>
  </si>
  <si>
    <t>%</t>
  </si>
  <si>
    <t>Не</t>
  </si>
  <si>
    <t>Ректор</t>
  </si>
  <si>
    <t>Зам.-ректор</t>
  </si>
  <si>
    <t>Декан / Директор</t>
  </si>
  <si>
    <t>Зам.-декан / Зам.-директор</t>
  </si>
  <si>
    <t>Ръководител катедра</t>
  </si>
  <si>
    <t>Обучение - факултет</t>
  </si>
  <si>
    <t>ОКС "бакалавър"</t>
  </si>
  <si>
    <t>ОКС "магистър"</t>
  </si>
  <si>
    <t>ОНС "доктор"</t>
  </si>
  <si>
    <t>Заетост след отчет за зимен семестър - ОЗ/АЗ</t>
  </si>
  <si>
    <t>Заетост след отчет за летен семестър - ОЗ/АЗ</t>
  </si>
  <si>
    <t>Заетост след отчет септемврийска сесия - ОЗ/АЗ</t>
  </si>
  <si>
    <t>ОЗ:</t>
  </si>
  <si>
    <t>АЗ:</t>
  </si>
  <si>
    <t>Годишна заетост</t>
  </si>
  <si>
    <t>р.об.</t>
  </si>
  <si>
    <t>з.об.</t>
  </si>
  <si>
    <t>д.об.</t>
  </si>
  <si>
    <t>З</t>
  </si>
  <si>
    <t>И</t>
  </si>
  <si>
    <t>Ф</t>
  </si>
  <si>
    <t>ИП</t>
  </si>
  <si>
    <t>чужд</t>
  </si>
  <si>
    <t>БЕ</t>
  </si>
  <si>
    <t>Изпит</t>
  </si>
  <si>
    <t>ТО</t>
  </si>
  <si>
    <t>КИ</t>
  </si>
  <si>
    <t>титуляр</t>
  </si>
  <si>
    <t>прод.</t>
  </si>
  <si>
    <t>Форма на обучение</t>
  </si>
  <si>
    <t>Език на обучение</t>
  </si>
  <si>
    <t>Форма на оценяване</t>
  </si>
  <si>
    <t>Титуляр/асистент по дисциплина извън ФМИ</t>
  </si>
  <si>
    <t>Редукция часове малък брой студенти</t>
  </si>
  <si>
    <t>Коеф.</t>
  </si>
  <si>
    <t>Коеф. титуляр</t>
  </si>
  <si>
    <t>Курсова работа</t>
  </si>
  <si>
    <t>Дипломна работа</t>
  </si>
  <si>
    <t>ДИ/защита</t>
  </si>
  <si>
    <t>Коефициенти за приравняване към упр. и редукция</t>
  </si>
  <si>
    <t>Коефициент редукция 5 студента</t>
  </si>
  <si>
    <t>Коефициент редукция 3 студента</t>
  </si>
  <si>
    <t>Коефициент редукция 2 студента</t>
  </si>
  <si>
    <t>Коефициент редукция 1 студент</t>
  </si>
  <si>
    <t>Рецензия</t>
  </si>
  <si>
    <t>Бр. докторанти</t>
  </si>
  <si>
    <t>3 и повече</t>
  </si>
  <si>
    <t xml:space="preserve">Изплатени часове </t>
  </si>
  <si>
    <t>Наднормена АЗ:</t>
  </si>
  <si>
    <t>Заетост
по МП:</t>
  </si>
  <si>
    <t>ИНСТРУКЦИЯ</t>
  </si>
  <si>
    <t>Инструкция</t>
  </si>
  <si>
    <t>Зимен семестър</t>
  </si>
  <si>
    <t>Летен семестър</t>
  </si>
  <si>
    <t>Обучение в поток</t>
  </si>
  <si>
    <t>Титулна страница</t>
  </si>
  <si>
    <t>При поява на червени полета, запознайте се с изискванията и попълнете необходимото на съответните места!</t>
  </si>
  <si>
    <t>Помощ</t>
  </si>
  <si>
    <t>Допълнително пояснение</t>
  </si>
  <si>
    <t>Дейност</t>
  </si>
  <si>
    <t>Участие в кандидат-докторантски изпит</t>
  </si>
  <si>
    <t>Научно ръководство, редовна форма на подготовка</t>
  </si>
  <si>
    <t>Научно ръководство, задочна форма на подготовка</t>
  </si>
  <si>
    <t>Редукция малък брой докторанти</t>
  </si>
  <si>
    <t>Изпит по учебен план, ОНС "доктор"</t>
  </si>
  <si>
    <t>Участие в кандидатдокторантски изпит, за кандидат-докторант</t>
  </si>
  <si>
    <t>Общи 
положения</t>
  </si>
  <si>
    <t>Контролна работа/Текущ контрол, р. и з.об.</t>
  </si>
  <si>
    <t>Контролна работа/Текущ контрол, д.об.</t>
  </si>
  <si>
    <t>Column1</t>
  </si>
  <si>
    <t>ОНС
"доктор"</t>
  </si>
  <si>
    <t>Дисциплина / Наименование на курс</t>
  </si>
  <si>
    <t>ОКС</t>
  </si>
  <si>
    <t>Специалност / Магистърска програма</t>
  </si>
  <si>
    <t>Семестър</t>
  </si>
  <si>
    <t>Подготовка на курс</t>
  </si>
  <si>
    <t>нов курс</t>
  </si>
  <si>
    <t>бакалавър</t>
  </si>
  <si>
    <t>магистър</t>
  </si>
  <si>
    <t>няколко</t>
  </si>
  <si>
    <r>
      <t xml:space="preserve">Разработване на нов курс, </t>
    </r>
    <r>
      <rPr>
        <b/>
        <sz val="11"/>
        <color theme="1"/>
        <rFont val="Calibri"/>
        <family val="2"/>
        <scheme val="minor"/>
      </rPr>
      <t>р.об. и з.об.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</si>
  <si>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r>
      <t xml:space="preserve">Разработване на нов курс, </t>
    </r>
    <r>
      <rPr>
        <b/>
        <sz val="11"/>
        <color theme="1"/>
        <rFont val="Calibri"/>
        <family val="2"/>
        <scheme val="minor"/>
      </rPr>
      <t>д.об.</t>
    </r>
    <r>
      <rPr>
        <sz val="11"/>
        <color theme="1"/>
        <rFont val="Calibri"/>
        <family val="2"/>
        <scheme val="minor"/>
      </rPr>
      <t>- за час по хорариум на учебната дисциплина</t>
    </r>
  </si>
  <si>
    <r>
      <t xml:space="preserve">Разработване ел. учебни ресурси към нов курс, </t>
    </r>
    <r>
      <rPr>
        <b/>
        <sz val="11"/>
        <color theme="1"/>
        <rFont val="Calibri"/>
        <family val="2"/>
        <scheme val="minor"/>
      </rPr>
      <t>р.об. и з.об.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</si>
  <si>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r>
      <t xml:space="preserve">Разработване ел. учебни ресурси към нов курс, </t>
    </r>
    <r>
      <rPr>
        <b/>
        <sz val="11"/>
        <color theme="1"/>
        <rFont val="Calibri"/>
        <family val="2"/>
        <scheme val="minor"/>
      </rPr>
      <t>д.об</t>
    </r>
    <r>
      <rPr>
        <sz val="11"/>
        <color theme="1"/>
        <rFont val="Calibri"/>
        <family val="2"/>
        <scheme val="minor"/>
      </rPr>
      <t>. - за час по хорариум на учебната дисциплина</t>
    </r>
  </si>
  <si>
    <r>
      <t xml:space="preserve">Актуализация на курс, </t>
    </r>
    <r>
      <rPr>
        <b/>
        <sz val="11"/>
        <color theme="1"/>
        <rFont val="Calibri"/>
        <family val="2"/>
        <scheme val="minor"/>
      </rPr>
      <t>д.об.</t>
    </r>
    <r>
      <rPr>
        <sz val="11"/>
        <color theme="1"/>
        <rFont val="Calibri"/>
        <family val="2"/>
        <scheme val="minor"/>
      </rPr>
      <t>- за час по хорариум на учебната дисциплина</t>
    </r>
  </si>
  <si>
    <t>Тази част от електронния формуляр е свързана с планиране подготовката (дизайна) на нов/актуализиран курс, както и планиране подготовката (дизайна) на електронни учебни ресурси за нов курс.</t>
  </si>
  <si>
    <t>зимен</t>
  </si>
  <si>
    <t>летен</t>
  </si>
  <si>
    <t>Подготовка курс</t>
  </si>
  <si>
    <t>ОКС
"магистър"</t>
  </si>
  <si>
    <t>Корекции в индивидуалните планове/отчети се правят само в рамките на факултетите до изпращането им в сектор „Учебен“.
Вече представен индивидуален план/отчет се коригира, чрез представяне на нов, изрядно попълнен и подписан от съответните лица формуляр.</t>
  </si>
  <si>
    <t>** При аудиторна заетост под утвърдения от АС норматив и при изпитани повече от 150 студенти, могат да бъдат отчетени като аудиторна заетост до 30 часа.</t>
  </si>
  <si>
    <t>При занятия, които изискват индивидуално обучение по учебен план поради спецификата на дисциплината (например музикален инструмент), не се прилага редукция.</t>
  </si>
  <si>
    <t>ОКС "бакалавър" и 
"магистър" след средно обр.</t>
  </si>
  <si>
    <t xml:space="preserve">Програма </t>
  </si>
  <si>
    <t>няма определена</t>
  </si>
  <si>
    <t>до 75% от норматива</t>
  </si>
  <si>
    <t>до 50% от норматива</t>
  </si>
  <si>
    <t>до 40 % от норматива</t>
  </si>
  <si>
    <t>до 25 % от норматива</t>
  </si>
  <si>
    <t>Допустима редукция по КТД:</t>
  </si>
  <si>
    <r>
      <rPr>
        <b/>
        <sz val="12"/>
        <color rgb="FFFF0000"/>
        <rFont val="Arial"/>
        <family val="2"/>
      </rPr>
      <t>Червените полета са задължителни!</t>
    </r>
    <r>
      <rPr>
        <b/>
        <sz val="12"/>
        <color theme="1"/>
        <rFont val="Arial"/>
        <family val="2"/>
      </rPr>
      <t xml:space="preserve">
</t>
    </r>
    <r>
      <rPr>
        <b/>
        <sz val="12"/>
        <color rgb="FFFF0000"/>
        <rFont val="Arial"/>
        <family val="2"/>
        <charset val="204"/>
      </rPr>
      <t>Заетостта за всяка от видовете практики се въвежда в клетките на съответния ред. Всички останали клетки се изчисляват автоматично на база на попълнените данни в следващите листи на електронния формуляр!</t>
    </r>
  </si>
  <si>
    <t>* При аудиторна заетост под утвърдения от АС норматив и при провеждане на практики по т.1 от извънаудиторната заетост, могат да бъдат отчетени като аудиторна заетост до 30 часа.</t>
  </si>
  <si>
    <t>Научно ръководство, р.об.</t>
  </si>
  <si>
    <t>Научно ръководство, з.об.</t>
  </si>
  <si>
    <t>Научно ръководство, самостоятелна п-ка</t>
  </si>
  <si>
    <t>актуализация</t>
  </si>
  <si>
    <t>Част 5 - актуализАция</t>
  </si>
  <si>
    <t>Част 5 - добавена провека за брой участници в екип</t>
  </si>
  <si>
    <t>В този вариант са направени следните корекции и подобрения:</t>
  </si>
  <si>
    <t>Подадени предложения, които не са отразени в този вариант:</t>
  </si>
  <si>
    <t>СПИСЪК КОРЕКЦИИ И ПРЕДЛОЖЕНИЯ ЗА КОРЕКЦИИ</t>
  </si>
  <si>
    <t>Част 1 План - контрол за максимален брой студенти
променен на 400</t>
  </si>
  <si>
    <t>Част 1 План - Формулата за ОБЩО Обща заетост и ОБЩО Аудиторна заетост</t>
  </si>
  <si>
    <t>Част 4. ОНС "доктор" - научно ръководство</t>
  </si>
  <si>
    <t>Да се обсъди дали да се добавят за ОНС "доктор":
- Разработване на нов докторантски курс, за всички форми  - за час по хорариум на учебната дисциплина 
- Актуализация на докторантски курс, за всички форми - за час по хорариум на учебната дисциплина</t>
  </si>
  <si>
    <t>Част 4. ОНС "доктор" - Променена инструкция за  научно ръководство - дейността се планира/отчита на годишна база</t>
  </si>
  <si>
    <t>асистиращ</t>
  </si>
  <si>
    <t>Част 2 и Част 3 - Посоченото в антетките Титуляр/Асистиращ съвпада със стойностите в падащото меню</t>
  </si>
  <si>
    <t>Коеф. асистиращ</t>
  </si>
  <si>
    <t>Коефициент за обучение на чужд език</t>
  </si>
  <si>
    <t>Коефициентът за обучение на чужд език е зададен при коефициентите -&gt; гъвкавост при промяна на стойността</t>
  </si>
  <si>
    <t>Само бели редове - избягват се проблеми при копиране на горен ред</t>
  </si>
  <si>
    <t>Упр.</t>
  </si>
  <si>
    <t>Лекции към упр.</t>
  </si>
  <si>
    <t>Част 5 - Корекция на текста, свързан с броя участници в екип.</t>
  </si>
  <si>
    <t>Проверка ФМИ и коеф. за изпитани 0,9 за дисциплини, завършващи с КИ</t>
  </si>
  <si>
    <t>Премахната формула за изписване на учебната година на титулната страница</t>
  </si>
  <si>
    <t>Коеф. Т/А ФМИ - за дисциплини с КИ</t>
  </si>
  <si>
    <t>Запознат съм с Вътрешните правила за работната заплата и последствията при неизпълнение на норматива заетост за отработеното време.</t>
  </si>
  <si>
    <t>Докторански курс</t>
  </si>
  <si>
    <t>Част 2 и Част 3 - Лекции по учебен план -&gt; Часове лекции-реален брой - Добре е да се обмисли максимално ясна формулировка - ДА</t>
  </si>
  <si>
    <t>При таблиците с практиките към част 2 и част 3 е посочена единствено таблица Учебни практики и курсови работи - ДА</t>
  </si>
  <si>
    <t>Инструкция ОНС "д-р"</t>
  </si>
  <si>
    <t>Добавен с-р за АЗ в ОНС "д-р"</t>
  </si>
  <si>
    <t>Титулна страница - добавен текст ВПРЗ</t>
  </si>
  <si>
    <t>Титулна стр. - добавено поле за ел.поща</t>
  </si>
  <si>
    <t>Подготовката (дизайна) на нов/актуализиран курс, както и на електронни учебни ресурси за нов курс се планират и отчитат в учебната година, от която промяната влиза в сила. 
Това изискване касае и подготовката (дизайна) на курсове и на електронни учебни ресурси, част от разработен нов учебен план.</t>
  </si>
  <si>
    <t>Дисциплина -&gt; Докторантски курс</t>
  </si>
  <si>
    <t>Възможност да се отчита част от ръководство на дипломна работа</t>
  </si>
  <si>
    <t>Част 2 и Част 3: Език на преподаване -&gt; Език на обучение</t>
  </si>
  <si>
    <t>Подготовка на курс/електронни учебни ресурси</t>
  </si>
  <si>
    <t>ФЧЕ</t>
  </si>
  <si>
    <t>Колоните за проверка и калкулации са заложени в началото</t>
  </si>
  <si>
    <t>Корекции ОНС "доктор"</t>
  </si>
  <si>
    <t>Докторантска програма</t>
  </si>
  <si>
    <t>Професионално направление</t>
  </si>
  <si>
    <t>БЕ е равнозначно на ФЧЕ</t>
  </si>
  <si>
    <t>Добавена опция за език ФЧЕ. Оправена формулировка.</t>
  </si>
  <si>
    <t>Опцията ФЧЕ е равностойна на БЕ. Предвид формата на титулната страница, ФЧЕ следва да се приравнява или към БЕ, или към ФЧЕ</t>
  </si>
  <si>
    <t>Шифър</t>
  </si>
  <si>
    <t>Теория и управление на образованието</t>
  </si>
  <si>
    <t>Педагогика</t>
  </si>
  <si>
    <t>Педагогика на обучението по...</t>
  </si>
  <si>
    <t>1.1.</t>
  </si>
  <si>
    <t>1.2.</t>
  </si>
  <si>
    <t>1.3.</t>
  </si>
  <si>
    <t>Филология</t>
  </si>
  <si>
    <t>История и археология</t>
  </si>
  <si>
    <t>Философия</t>
  </si>
  <si>
    <t>Религия и теология</t>
  </si>
  <si>
    <t>2.1.</t>
  </si>
  <si>
    <t>2.2.</t>
  </si>
  <si>
    <t>2.3.</t>
  </si>
  <si>
    <t>2.4.</t>
  </si>
  <si>
    <t>Социология, антропология и науки за културата</t>
  </si>
  <si>
    <t>Психология</t>
  </si>
  <si>
    <t>Политически науки</t>
  </si>
  <si>
    <t>Социални дейности</t>
  </si>
  <si>
    <t>Обществени комуникации и информационни науки</t>
  </si>
  <si>
    <t>Право</t>
  </si>
  <si>
    <t>Администрация и управление</t>
  </si>
  <si>
    <t>Икономика</t>
  </si>
  <si>
    <t>Туризъм</t>
  </si>
  <si>
    <t>3.1.</t>
  </si>
  <si>
    <t>3.2.</t>
  </si>
  <si>
    <t>3.3.</t>
  </si>
  <si>
    <t>3.4.</t>
  </si>
  <si>
    <t>3.5.</t>
  </si>
  <si>
    <t>3.6.</t>
  </si>
  <si>
    <t>3.7.</t>
  </si>
  <si>
    <t>3.8.</t>
  </si>
  <si>
    <t>3.9.</t>
  </si>
  <si>
    <t>Физически науки</t>
  </si>
  <si>
    <t>Химически науки</t>
  </si>
  <si>
    <t>Биологически науки</t>
  </si>
  <si>
    <t>Науки за земята</t>
  </si>
  <si>
    <t>Математика</t>
  </si>
  <si>
    <t>Информатика и компютърни науки</t>
  </si>
  <si>
    <t>4.1.</t>
  </si>
  <si>
    <t>4.2.</t>
  </si>
  <si>
    <t>4.3.</t>
  </si>
  <si>
    <t>4.4.</t>
  </si>
  <si>
    <t>4.5.</t>
  </si>
  <si>
    <t>4.6.</t>
  </si>
  <si>
    <t>Комуникационна и компютърна техника</t>
  </si>
  <si>
    <t>Енергетика</t>
  </si>
  <si>
    <t>Транспорт, корабоплаване и авиация</t>
  </si>
  <si>
    <t>Материали и материалознание</t>
  </si>
  <si>
    <t>Архитектура, строителство и геодезия</t>
  </si>
  <si>
    <t>Проучване, добив и обработка на полезни изкопаеми</t>
  </si>
  <si>
    <t>Металургия</t>
  </si>
  <si>
    <t>Химични технологии</t>
  </si>
  <si>
    <t>Биотехнологии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</si>
  <si>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</si>
  <si>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</si>
  <si>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</si>
  <si>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</si>
  <si>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</si>
  <si>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</si>
  <si>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</si>
  <si>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</si>
  <si>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</si>
  <si>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Медицина</t>
  </si>
  <si>
    <t>Стоматология</t>
  </si>
  <si>
    <t>Фармация</t>
  </si>
  <si>
    <t>Обществено здраве</t>
  </si>
  <si>
    <t>Здравни грижи</t>
  </si>
  <si>
    <t>7.1.</t>
  </si>
  <si>
    <t>7.2.</t>
  </si>
  <si>
    <t>7.3.</t>
  </si>
  <si>
    <t>7.4.</t>
  </si>
  <si>
    <t>7.5.</t>
  </si>
  <si>
    <t>Изобразително изкуство</t>
  </si>
  <si>
    <t>Музикално и танцово изкуство</t>
  </si>
  <si>
    <t>8.2.</t>
  </si>
  <si>
    <t>8.3.</t>
  </si>
  <si>
    <t>Електротехника, електроника и автоматика</t>
  </si>
  <si>
    <t>5.2.</t>
  </si>
  <si>
    <t>Само за ОНС "доктор"</t>
  </si>
  <si>
    <t>Сложена проверка за зимен семестър в ОНС "доктор", ИО за зимен семестър. Да се има предвид и във формуляра за летен семестър.</t>
  </si>
  <si>
    <t>2018/2019</t>
  </si>
  <si>
    <t>Допълнителна забележка, основание за редукция по ВПРЗ или КТД</t>
  </si>
  <si>
    <t>СОФИЙСКИ УНИВЕРСИТЕТ   “СВЕТИ  КЛИМЕНТ  ОХРИДСКИ”</t>
  </si>
  <si>
    <t>ФАКУЛТЕТ ПО НАУКИ ЗА ОБРАЗОВАНИЕТО И ИЗКУСТВАТА</t>
  </si>
  <si>
    <t>ФНОИ</t>
  </si>
  <si>
    <t>Индивидуалният отчет се представя с приложена подробна разбивка на заетостта!</t>
  </si>
  <si>
    <t>СОФИЙСКИ   УНИВЕРСИТЕТ   “СВЕТИ   КЛИМЕНТ   ОХРИДСКИ”</t>
  </si>
  <si>
    <t>И Н Д И В И Д У А Л Е Н     О Т Ч Е Т</t>
  </si>
  <si>
    <t>1 студент</t>
  </si>
  <si>
    <t>1 докторант</t>
  </si>
  <si>
    <t>Реални часове аудиторна заетост по задължителни дисциплини за семестъра</t>
  </si>
  <si>
    <t>Реални часове аудиторна заетост за семестъра</t>
  </si>
  <si>
    <r>
      <rPr>
        <b/>
        <sz val="12"/>
        <color theme="1"/>
        <rFont val="Arial"/>
        <family val="2"/>
        <charset val="204"/>
      </rPr>
      <t>11.</t>
    </r>
    <r>
      <rPr>
        <sz val="12"/>
        <color theme="1"/>
        <rFont val="Arial"/>
        <family val="2"/>
        <charset val="204"/>
      </rPr>
      <t xml:space="preserve"> Изпити, ОНС "доктор"</t>
    </r>
  </si>
  <si>
    <r>
      <rPr>
        <b/>
        <sz val="12"/>
        <color theme="1"/>
        <rFont val="Arial"/>
        <family val="2"/>
        <charset val="204"/>
      </rPr>
      <t>10.</t>
    </r>
    <r>
      <rPr>
        <sz val="12"/>
        <color theme="1"/>
        <rFont val="Arial"/>
        <family val="2"/>
        <charset val="204"/>
      </rPr>
      <t xml:space="preserve"> Актуализация на курс</t>
    </r>
  </si>
  <si>
    <r>
      <rPr>
        <b/>
        <sz val="12"/>
        <color theme="1"/>
        <rFont val="Arial"/>
        <family val="2"/>
        <charset val="204"/>
      </rPr>
      <t>9.</t>
    </r>
    <r>
      <rPr>
        <sz val="12"/>
        <color theme="1"/>
        <rFont val="Arial"/>
        <family val="2"/>
        <charset val="204"/>
      </rPr>
      <t xml:space="preserve"> Подготовка (дизайн) на електронни учебни ресурси за нов курс</t>
    </r>
  </si>
  <si>
    <r>
      <rPr>
        <b/>
        <sz val="12"/>
        <color theme="1"/>
        <rFont val="Arial"/>
        <family val="2"/>
        <charset val="204"/>
      </rPr>
      <t>8.</t>
    </r>
    <r>
      <rPr>
        <sz val="12"/>
        <color theme="1"/>
        <rFont val="Arial"/>
        <family val="2"/>
        <charset val="204"/>
      </rPr>
      <t xml:space="preserve"> Подготовка (дизайн) на нов курс</t>
    </r>
  </si>
  <si>
    <r>
      <rPr>
        <b/>
        <sz val="12"/>
        <color theme="1"/>
        <rFont val="Arial"/>
        <family val="2"/>
        <charset val="204"/>
      </rPr>
      <t>3.</t>
    </r>
    <r>
      <rPr>
        <sz val="12"/>
        <color theme="1"/>
        <rFont val="Arial"/>
        <family val="2"/>
        <charset val="204"/>
      </rPr>
      <t xml:space="preserve"> Текущ контрол</t>
    </r>
  </si>
  <si>
    <t>Титуляр
Асистиращ</t>
  </si>
  <si>
    <t>Коефициент</t>
  </si>
  <si>
    <t>кЕзик</t>
  </si>
  <si>
    <t>кРедукция</t>
  </si>
  <si>
    <t>Проверка</t>
  </si>
  <si>
    <t>пВИД</t>
  </si>
  <si>
    <t>пСтуденти</t>
  </si>
  <si>
    <t>Упражнение</t>
  </si>
  <si>
    <t>Лекции към упражнение</t>
  </si>
  <si>
    <t>Титуляр</t>
  </si>
  <si>
    <t>Асистиращ</t>
  </si>
  <si>
    <t>Редукция 5 студента</t>
  </si>
  <si>
    <t>Редукция 4 студента</t>
  </si>
  <si>
    <t>Редукция 3 студента</t>
  </si>
  <si>
    <t>Редукция 2 студента</t>
  </si>
  <si>
    <t>Редукция 1 студент</t>
  </si>
  <si>
    <t>ЛЕТЕН СЕМЕСТЪР
ЛЯТНА СЕСИЯ</t>
  </si>
  <si>
    <t>ЛЕКЦИИ</t>
  </si>
  <si>
    <t>Изпитани</t>
  </si>
  <si>
    <t>Текущо оценени</t>
  </si>
  <si>
    <t>КР</t>
  </si>
  <si>
    <t>Изпитващ</t>
  </si>
  <si>
    <t>Лекции</t>
  </si>
  <si>
    <t>Брой</t>
  </si>
  <si>
    <t>кTO</t>
  </si>
  <si>
    <t>чTO</t>
  </si>
  <si>
    <t>пИзпитани</t>
  </si>
  <si>
    <t>Часове</t>
  </si>
  <si>
    <t>чУпражнение</t>
  </si>
  <si>
    <t>чЛекции</t>
  </si>
  <si>
    <t>Упражнения</t>
  </si>
  <si>
    <t>Обучение на чужд език</t>
  </si>
  <si>
    <t>Коефициент за обучение на български език</t>
  </si>
  <si>
    <t>Обучение на Български език</t>
  </si>
  <si>
    <t>Контролна работа, р.об.</t>
  </si>
  <si>
    <t>Контролна работа, з.об.</t>
  </si>
  <si>
    <t>Контролна работа, д.об.</t>
  </si>
  <si>
    <t>Текущ контрол, р.об.</t>
  </si>
  <si>
    <t>Текущ контрол, з.об.</t>
  </si>
  <si>
    <t>Текущ контрол, д.об.</t>
  </si>
  <si>
    <t>ЧЕ</t>
  </si>
  <si>
    <t>Ас.</t>
  </si>
  <si>
    <t>Тит.</t>
  </si>
  <si>
    <t>КР_З.О.</t>
  </si>
  <si>
    <t>КР_Р.О.</t>
  </si>
  <si>
    <t>КР_Д.О.</t>
  </si>
  <si>
    <t>ТК_Р.О.</t>
  </si>
  <si>
    <t>ТК_З.О.</t>
  </si>
  <si>
    <t>ТК_Д.О.</t>
  </si>
  <si>
    <t>ДР</t>
  </si>
  <si>
    <t>ДИЗ</t>
  </si>
  <si>
    <t>Р5С</t>
  </si>
  <si>
    <t>Р4С</t>
  </si>
  <si>
    <t>Р3С</t>
  </si>
  <si>
    <t>Р2С</t>
  </si>
  <si>
    <t>Р1С</t>
  </si>
  <si>
    <t>НР_Р.О.</t>
  </si>
  <si>
    <t>НР_З.О.</t>
  </si>
  <si>
    <t>Доктор_Изпит</t>
  </si>
  <si>
    <t>УКДИ_КД</t>
  </si>
  <si>
    <t>РНовКурс_Р.О.</t>
  </si>
  <si>
    <t>РНовКурс_Д.О.</t>
  </si>
  <si>
    <t>РНовКурс_З.О.</t>
  </si>
  <si>
    <r>
      <t xml:space="preserve">Разработване на нов курс, </t>
    </r>
    <r>
      <rPr>
        <b/>
        <sz val="11"/>
        <color theme="1"/>
        <rFont val="Calibri"/>
        <family val="2"/>
        <scheme val="minor"/>
      </rPr>
      <t>з.об.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</si>
  <si>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r>
      <t xml:space="preserve">Разработване на нов курс, </t>
    </r>
    <r>
      <rPr>
        <b/>
        <sz val="11"/>
        <color theme="1"/>
        <rFont val="Calibri"/>
        <family val="2"/>
        <scheme val="minor"/>
      </rPr>
      <t xml:space="preserve">р.об. </t>
    </r>
    <r>
      <rPr>
        <sz val="11"/>
        <color theme="1"/>
        <rFont val="Calibri"/>
        <family val="2"/>
        <scheme val="minor"/>
      </rPr>
      <t>- за час по хорариум на учебната дисциплина</t>
    </r>
  </si>
  <si>
    <t>РеУРНовКурс_Р.О.</t>
  </si>
  <si>
    <t>РеУРНовКурс_З.О.</t>
  </si>
  <si>
    <t>РеУРНовКурс_Д.О.</t>
  </si>
  <si>
    <r>
      <t xml:space="preserve">Разработване ел. учебни ресурси към нов курс, </t>
    </r>
    <r>
      <rPr>
        <b/>
        <sz val="11"/>
        <color theme="1"/>
        <rFont val="Calibri"/>
        <family val="2"/>
        <scheme val="minor"/>
      </rPr>
      <t>р.об.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</si>
  <si>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r>
      <t xml:space="preserve">Разработване ел. учебни ресурси към нов курс, </t>
    </r>
    <r>
      <rPr>
        <b/>
        <sz val="11"/>
        <color theme="1"/>
        <rFont val="Calibri"/>
        <family val="2"/>
        <scheme val="minor"/>
      </rPr>
      <t>з.об.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</si>
  <si>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r>
      <t xml:space="preserve">Актуализация на курс, </t>
    </r>
    <r>
      <rPr>
        <b/>
        <sz val="11"/>
        <color theme="1"/>
        <rFont val="Calibri"/>
        <family val="2"/>
        <scheme val="minor"/>
      </rPr>
      <t>р.об.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</si>
  <si>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r>
      <t xml:space="preserve">Актуализация на курс, </t>
    </r>
    <r>
      <rPr>
        <b/>
        <sz val="11"/>
        <color theme="1"/>
        <rFont val="Calibri"/>
        <family val="2"/>
        <scheme val="minor"/>
      </rPr>
      <t>з.об.</t>
    </r>
    <r>
      <rPr>
        <sz val="11"/>
        <color theme="1"/>
        <rFont val="Calibri"/>
        <family val="2"/>
        <scheme val="minor"/>
      </rPr>
      <t xml:space="preserve"> - за час по хорариум на учебната дисциплина</t>
    </r>
  </si>
  <si>
    <t>АКурс_Р.О.</t>
  </si>
  <si>
    <t>АКурс_З.О.</t>
  </si>
  <si>
    <t>АКурс_Д.О.</t>
  </si>
  <si>
    <t>Докторант_2</t>
  </si>
  <si>
    <t>Докторант_1</t>
  </si>
  <si>
    <t>Докторант_0</t>
  </si>
  <si>
    <t>чИзпитани</t>
  </si>
  <si>
    <t>УПРАЖНЕНИЯ</t>
  </si>
  <si>
    <t>Курсови работи</t>
  </si>
  <si>
    <t>пФорма</t>
  </si>
  <si>
    <t>кИзпитващ</t>
  </si>
  <si>
    <t>р-ва дипломни работи</t>
  </si>
  <si>
    <t>Рецензии</t>
  </si>
  <si>
    <t>Изпитани ДИ/защита</t>
  </si>
  <si>
    <t>Брой студенти</t>
  </si>
  <si>
    <t>ПОТОК</t>
  </si>
  <si>
    <t>ГРУПА</t>
  </si>
  <si>
    <t>Докторанти</t>
  </si>
  <si>
    <t>чУпражнения</t>
  </si>
  <si>
    <t>A</t>
  </si>
  <si>
    <t>пОКС</t>
  </si>
  <si>
    <t>пДейност</t>
  </si>
  <si>
    <t>пЕкип</t>
  </si>
  <si>
    <t>кСеместър</t>
  </si>
  <si>
    <t>Код</t>
  </si>
  <si>
    <t>Зимен</t>
  </si>
  <si>
    <t>Летен</t>
  </si>
  <si>
    <t>ОБЩО аудиторна заетост:</t>
  </si>
  <si>
    <t>Учебна заетост:</t>
  </si>
  <si>
    <t>ОБЩО учебна заетост:</t>
  </si>
  <si>
    <t>Sp</t>
  </si>
  <si>
    <t>Total</t>
  </si>
  <si>
    <t>R1</t>
  </si>
  <si>
    <t>R2</t>
  </si>
  <si>
    <t>Stitle</t>
  </si>
  <si>
    <t>Магистърска програма</t>
  </si>
  <si>
    <t>пВид</t>
  </si>
  <si>
    <t>кСтуденти</t>
  </si>
  <si>
    <t>HR3</t>
  </si>
  <si>
    <r>
      <rPr>
        <b/>
        <sz val="12"/>
        <color theme="1"/>
        <rFont val="Arial"/>
        <family val="2"/>
        <charset val="204"/>
      </rPr>
      <t>1.</t>
    </r>
    <r>
      <rPr>
        <sz val="12"/>
        <color theme="1"/>
        <rFont val="Arial"/>
        <family val="2"/>
        <charset val="204"/>
      </rPr>
      <t xml:space="preserve"> Лекции</t>
    </r>
  </si>
  <si>
    <r>
      <rPr>
        <b/>
        <sz val="12"/>
        <color theme="1"/>
        <rFont val="Arial"/>
        <family val="2"/>
        <charset val="204"/>
      </rPr>
      <t>2. </t>
    </r>
    <r>
      <rPr>
        <sz val="12"/>
        <color theme="1"/>
        <rFont val="Arial"/>
        <family val="2"/>
        <charset val="204"/>
      </rPr>
      <t>Упражнения</t>
    </r>
  </si>
  <si>
    <r>
      <rPr>
        <b/>
        <sz val="12"/>
        <color theme="1"/>
        <rFont val="Arial"/>
        <family val="2"/>
        <charset val="204"/>
      </rPr>
      <t>3. </t>
    </r>
    <r>
      <rPr>
        <sz val="12"/>
        <color theme="1"/>
        <rFont val="Arial"/>
        <family val="2"/>
        <charset val="204"/>
      </rPr>
      <t>Лекции на чужд език</t>
    </r>
  </si>
  <si>
    <r>
      <rPr>
        <b/>
        <sz val="12"/>
        <color theme="1"/>
        <rFont val="Arial"/>
        <family val="2"/>
        <charset val="204"/>
      </rPr>
      <t>4. </t>
    </r>
    <r>
      <rPr>
        <sz val="12"/>
        <color theme="1"/>
        <rFont val="Arial"/>
        <family val="2"/>
        <charset val="204"/>
      </rPr>
      <t>Упражнения на чужд език</t>
    </r>
  </si>
  <si>
    <t>1. Учебна и педагогическа практика *</t>
  </si>
  <si>
    <r>
      <rPr>
        <b/>
        <sz val="12"/>
        <color theme="1"/>
        <rFont val="Arial"/>
        <family val="2"/>
        <charset val="204"/>
      </rPr>
      <t>2.</t>
    </r>
    <r>
      <rPr>
        <sz val="12"/>
        <color theme="1"/>
        <rFont val="Arial"/>
        <family val="2"/>
        <charset val="204"/>
      </rPr>
      <t> Семестриални изпити **</t>
    </r>
  </si>
  <si>
    <r>
      <rPr>
        <b/>
        <sz val="12"/>
        <color theme="1"/>
        <rFont val="Arial"/>
        <family val="2"/>
        <charset val="204"/>
      </rPr>
      <t>4.</t>
    </r>
    <r>
      <rPr>
        <sz val="12"/>
        <color theme="1"/>
        <rFont val="Arial"/>
        <family val="2"/>
        <charset val="204"/>
      </rPr>
      <t xml:space="preserve"> Ръководство на курсова работа</t>
    </r>
  </si>
  <si>
    <r>
      <rPr>
        <b/>
        <sz val="12"/>
        <color theme="1"/>
        <rFont val="Arial"/>
        <family val="2"/>
        <charset val="204"/>
      </rPr>
      <t xml:space="preserve">5. </t>
    </r>
    <r>
      <rPr>
        <sz val="12"/>
        <color theme="1"/>
        <rFont val="Arial"/>
        <family val="2"/>
        <charset val="204"/>
      </rPr>
      <t>Ръководство на дипломна работа</t>
    </r>
  </si>
  <si>
    <r>
      <rPr>
        <b/>
        <sz val="12"/>
        <color theme="1"/>
        <rFont val="Arial"/>
        <family val="2"/>
        <charset val="204"/>
      </rPr>
      <t xml:space="preserve">6. </t>
    </r>
    <r>
      <rPr>
        <sz val="12"/>
        <color theme="1"/>
        <rFont val="Arial"/>
        <family val="2"/>
        <charset val="204"/>
      </rPr>
      <t>Рецензия на дипломна работа</t>
    </r>
  </si>
  <si>
    <r>
      <rPr>
        <b/>
        <sz val="12"/>
        <color theme="1"/>
        <rFont val="Arial"/>
        <family val="2"/>
        <charset val="204"/>
      </rPr>
      <t xml:space="preserve">7. </t>
    </r>
    <r>
      <rPr>
        <sz val="12"/>
        <color theme="1"/>
        <rFont val="Arial"/>
        <family val="2"/>
        <charset val="204"/>
      </rPr>
      <t>Участие в държавен изпит/защита</t>
    </r>
  </si>
  <si>
    <r>
      <rPr>
        <b/>
        <sz val="12"/>
        <color theme="1"/>
        <rFont val="Arial"/>
        <family val="2"/>
        <charset val="204"/>
      </rPr>
      <t xml:space="preserve">12. </t>
    </r>
    <r>
      <rPr>
        <sz val="12"/>
        <color theme="1"/>
        <rFont val="Arial"/>
        <family val="2"/>
        <charset val="204"/>
      </rPr>
      <t>Научно ръководство, ОНС "доктор"</t>
    </r>
  </si>
  <si>
    <t>Учебна година:</t>
  </si>
  <si>
    <t>І. ОКС "бакалавър" и ОКС "магистър"</t>
  </si>
  <si>
    <t>ІІ. ОНС "доктор"</t>
  </si>
  <si>
    <t>Семестър:</t>
  </si>
  <si>
    <t>Септември</t>
  </si>
  <si>
    <t>Учебни години</t>
  </si>
  <si>
    <t>2019/2020</t>
  </si>
  <si>
    <t>План</t>
  </si>
  <si>
    <t>Катедра</t>
  </si>
  <si>
    <t>Преподавател</t>
  </si>
  <si>
    <t>Факултет/Катедра/Преподавател</t>
  </si>
  <si>
    <t>ОКС "бакалавър" - Зимен, Летен</t>
  </si>
  <si>
    <t>ОКС "магистър" - Зимен, Летен</t>
  </si>
  <si>
    <t>ОНС "доктор" - Зимен, Летен</t>
  </si>
  <si>
    <t>Подготовка на курс - Зимен, Летен</t>
  </si>
  <si>
    <t>ОКС "бакалавър" - Зимен</t>
  </si>
  <si>
    <t>ОКС "магистър" - Зимен</t>
  </si>
  <si>
    <t>ОНС "доктор" - Зимен</t>
  </si>
  <si>
    <t>Подготовка на курс - Зимен</t>
  </si>
  <si>
    <t>ОКС "бакалавър" -Летен</t>
  </si>
  <si>
    <t>ОКС "магистър" -Летен</t>
  </si>
  <si>
    <t>ОНС "доктор" -Летен</t>
  </si>
  <si>
    <t>Подготовка на курс -Летен</t>
  </si>
  <si>
    <t>nЗименЛетен</t>
  </si>
  <si>
    <t>Семестър за план и отчет</t>
  </si>
  <si>
    <t>nЗимен</t>
  </si>
  <si>
    <t>nЛетен</t>
  </si>
  <si>
    <t>Семестър №</t>
  </si>
  <si>
    <t>Зимен Летен Текст</t>
  </si>
  <si>
    <t>ЗИМЕН СЕМЕСТЪР
ЗИМНА СЕСИЯ</t>
  </si>
  <si>
    <t>T_УчебнаГодина</t>
  </si>
  <si>
    <t>Специалност/Магистърска програма</t>
  </si>
  <si>
    <t>Дисциплина/Наименование на курс</t>
  </si>
  <si>
    <t>Брой
участници  в екип</t>
  </si>
  <si>
    <t>ПЛАН</t>
  </si>
  <si>
    <t>Магистърска програма
 или слети четения</t>
  </si>
  <si>
    <t>Специалност
 или слети четения</t>
  </si>
  <si>
    <t>Форма на
оценяване</t>
  </si>
  <si>
    <t>(Не приравнявайте към часове упражнения! Не прилагайте коефициенти за по-малък брой студенти!)</t>
  </si>
  <si>
    <t xml:space="preserve"> (В случай на слети четения или четения в поток, посочете дисциплината и опишете включените групи/специалности/магистърски програми.)</t>
  </si>
  <si>
    <t>subStitle</t>
  </si>
  <si>
    <r>
      <rPr>
        <sz val="12"/>
        <color rgb="FFFF0000"/>
        <rFont val="Arial Narrow"/>
        <family val="2"/>
        <charset val="204"/>
      </rPr>
      <t xml:space="preserve">(Не приравнявайте към часове упражнения! Не прилагайте коефициенти за по-малък брой студенти!)    </t>
    </r>
    <r>
      <rPr>
        <sz val="12"/>
        <color theme="1"/>
        <rFont val="Arial Narrow"/>
        <family val="2"/>
        <charset val="204"/>
      </rPr>
      <t xml:space="preserve">    </t>
    </r>
  </si>
  <si>
    <t>(В случай на слети четения или четения в поток, посочете дисциплината и опишете включените групи/специалности/магистърски програми.)</t>
  </si>
  <si>
    <t>Курсови
работи</t>
  </si>
  <si>
    <r>
      <rPr>
        <b/>
        <sz val="12"/>
        <rFont val="Arial Narrow"/>
        <family val="2"/>
        <charset val="204"/>
      </rPr>
      <t>Дисциплина</t>
    </r>
    <r>
      <rPr>
        <sz val="12"/>
        <rFont val="Arial Narrow"/>
        <family val="2"/>
        <charset val="204"/>
      </rPr>
      <t xml:space="preserve"> - Попълнете наименованието на преподаваната от Вас дисциплина. При необходимост, може да добавите допълнително пояснение (Пр.: на английски език, по инд. план и др.)</t>
    </r>
  </si>
  <si>
    <r>
      <rPr>
        <b/>
        <sz val="12"/>
        <color rgb="FFFF0000"/>
        <rFont val="Arial Narrow"/>
        <family val="2"/>
      </rPr>
      <t xml:space="preserve">Възложени часове ЛЕКЦИИ и Възложени часове УПР. </t>
    </r>
    <r>
      <rPr>
        <sz val="12"/>
        <color rgb="FFFF0000"/>
        <rFont val="Arial Narrow"/>
        <family val="2"/>
      </rPr>
      <t xml:space="preserve"> - посочете възложените/проведените часове. Не приравнявайте към часове упражнения! Не прилагайте коефициенти за по-малък брой студенти!</t>
    </r>
  </si>
  <si>
    <r>
      <rPr>
        <b/>
        <sz val="12"/>
        <color theme="1"/>
        <rFont val="Arial Narrow"/>
        <family val="2"/>
      </rPr>
      <t xml:space="preserve">Език </t>
    </r>
    <r>
      <rPr>
        <sz val="12"/>
        <color theme="1"/>
        <rFont val="Arial Narrow"/>
        <family val="2"/>
      </rPr>
      <t>(</t>
    </r>
    <r>
      <rPr>
        <b/>
        <sz val="12"/>
        <color theme="1"/>
        <rFont val="Arial Narrow"/>
        <family val="2"/>
      </rPr>
      <t>БЕ</t>
    </r>
    <r>
      <rPr>
        <sz val="12"/>
        <color theme="1"/>
        <rFont val="Arial Narrow"/>
        <family val="2"/>
      </rPr>
      <t xml:space="preserve"> - български език,  </t>
    </r>
    <r>
      <rPr>
        <b/>
        <sz val="12"/>
        <color theme="1"/>
        <rFont val="Arial Narrow"/>
        <family val="2"/>
      </rPr>
      <t>чужд</t>
    </r>
    <r>
      <rPr>
        <sz val="12"/>
        <color theme="1"/>
        <rFont val="Arial Narrow"/>
        <family val="2"/>
      </rPr>
      <t xml:space="preserve"> - чужд език, </t>
    </r>
    <r>
      <rPr>
        <b/>
        <sz val="12"/>
        <color theme="1"/>
        <rFont val="Arial Narrow"/>
        <family val="2"/>
      </rPr>
      <t xml:space="preserve">ФЧЕ - </t>
    </r>
    <r>
      <rPr>
        <sz val="12"/>
        <color theme="1"/>
        <rFont val="Arial Narrow"/>
        <family val="2"/>
      </rPr>
      <t>чуждоезикова филология) - Посочете езика на обучение, съгласно учебния план на специалността. Опцията</t>
    </r>
    <r>
      <rPr>
        <b/>
        <sz val="12"/>
        <color theme="1"/>
        <rFont val="Arial Narrow"/>
        <family val="2"/>
      </rPr>
      <t xml:space="preserve"> ФЧЕ</t>
    </r>
    <r>
      <rPr>
        <sz val="12"/>
        <color theme="1"/>
        <rFont val="Arial Narrow"/>
        <family val="2"/>
      </rPr>
      <t xml:space="preserve"> се посочва в случаите, при които по учебен план е предвидено обучение на български език, но спецификата на дисциплината предполага преподаване на чужд език.</t>
    </r>
  </si>
  <si>
    <r>
      <rPr>
        <b/>
        <sz val="12"/>
        <color theme="1"/>
        <rFont val="Arial Narrow"/>
        <family val="2"/>
      </rPr>
      <t>Титуляр / Асистиращ</t>
    </r>
    <r>
      <rPr>
        <sz val="12"/>
        <color theme="1"/>
        <rFont val="Arial Narrow"/>
        <family val="2"/>
      </rPr>
      <t xml:space="preserve"> - Посочете статута си по съответната дисциплина/практика.</t>
    </r>
  </si>
  <si>
    <r>
      <rPr>
        <b/>
        <sz val="12"/>
        <color theme="1"/>
        <rFont val="Arial Narrow"/>
        <family val="2"/>
      </rPr>
      <t>Брой изпитани</t>
    </r>
    <r>
      <rPr>
        <sz val="12"/>
        <color theme="1"/>
        <rFont val="Arial Narrow"/>
        <family val="2"/>
      </rPr>
      <t xml:space="preserve"> - Посочете броя изпитани студенти, при предвиден семестриален изпит по съответната дисциплина/практика.</t>
    </r>
  </si>
  <si>
    <r>
      <rPr>
        <b/>
        <sz val="12"/>
        <color theme="1"/>
        <rFont val="Arial Narrow"/>
        <family val="2"/>
        <charset val="204"/>
      </rPr>
      <t>Брой курсови работи</t>
    </r>
    <r>
      <rPr>
        <sz val="12"/>
        <color theme="1"/>
        <rFont val="Arial Narrow"/>
        <family val="2"/>
        <charset val="204"/>
      </rPr>
      <t xml:space="preserve"> - Посочва се броят на предвидените по учебен план ръководства на курсови работи. </t>
    </r>
    <r>
      <rPr>
        <sz val="12"/>
        <color rgb="FFFF0000"/>
        <rFont val="Arial Narrow"/>
        <family val="2"/>
        <charset val="204"/>
      </rPr>
      <t xml:space="preserve"> Веднъж отчетени към дадена дисциплина курсови работи не се отчитат и в </t>
    </r>
    <r>
      <rPr>
        <b/>
        <sz val="12"/>
        <color rgb="FFFF0000"/>
        <rFont val="Arial Narrow"/>
        <family val="2"/>
        <charset val="204"/>
      </rPr>
      <t xml:space="preserve">таблица (1.2. / 2.2.) ОКС "бакалавър" и "магистър" след средно образование – практики и курсови работи – (ЗИМЕН / ЛЕТЕН) семестър </t>
    </r>
  </si>
  <si>
    <r>
      <rPr>
        <b/>
        <sz val="12"/>
        <color theme="1"/>
        <rFont val="Arial Narrow"/>
        <family val="2"/>
        <charset val="204"/>
      </rPr>
      <t>Научно ръководство</t>
    </r>
    <r>
      <rPr>
        <sz val="12"/>
        <color theme="1"/>
        <rFont val="Arial Narrow"/>
        <family val="2"/>
        <charset val="204"/>
      </rPr>
      <t xml:space="preserve"> - Дейността се планира/отчита ежегодно в семестъра, в който приключва съответната кандидат-докторантска година.</t>
    </r>
  </si>
  <si>
    <r>
      <rPr>
        <b/>
        <sz val="12"/>
        <color theme="1"/>
        <rFont val="Arial Narrow"/>
        <family val="2"/>
        <charset val="204"/>
      </rPr>
      <t>Докторантски курс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>Посочете предвиденият по учебен план докторантски курс.</t>
    </r>
  </si>
  <si>
    <r>
      <rPr>
        <b/>
        <sz val="12"/>
        <color theme="1"/>
        <rFont val="Arial Narrow"/>
        <family val="2"/>
        <charset val="204"/>
      </rPr>
      <t>Докторантска програма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>Посочете наименованието на докторантската програма.</t>
    </r>
  </si>
  <si>
    <r>
      <rPr>
        <b/>
        <sz val="12"/>
        <color theme="1"/>
        <rFont val="Arial Narrow"/>
        <family val="2"/>
        <charset val="204"/>
      </rPr>
      <t>Професионално направление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>Посочете професионалното направление, към което е докторантската програма.</t>
    </r>
  </si>
  <si>
    <r>
      <rPr>
        <b/>
        <sz val="12"/>
        <color theme="1"/>
        <rFont val="Arial Narrow"/>
        <family val="2"/>
        <charset val="204"/>
      </rPr>
      <t>Брой докторанти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>Задължително посочете броя включени докторанти!</t>
    </r>
  </si>
  <si>
    <r>
      <rPr>
        <b/>
        <sz val="12"/>
        <color theme="1"/>
        <rFont val="Arial Narrow"/>
        <family val="2"/>
        <charset val="204"/>
      </rPr>
      <t>Брой изпитани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>Посочете прогнозен брой, при план, и действителен брой, при отчет, оценени докторанти за учебната година, по съответният докторантски курс.</t>
    </r>
  </si>
  <si>
    <r>
      <rPr>
        <b/>
        <sz val="12"/>
        <color theme="1"/>
        <rFont val="Arial Narrow"/>
        <family val="2"/>
        <charset val="204"/>
      </rPr>
      <t>Участие в кандидат-докторантски изпит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>Посочете прогнозен брой, при план, и действителен брой, при отчет, изпитани кандидат-докторанти за учебна година.</t>
    </r>
  </si>
  <si>
    <r>
      <t xml:space="preserve">Подготовката (дизайна) на </t>
    </r>
    <r>
      <rPr>
        <b/>
        <sz val="11"/>
        <color theme="1"/>
        <rFont val="Arial Narrow"/>
        <family val="2"/>
        <charset val="204"/>
      </rPr>
      <t>актуализиран курс</t>
    </r>
    <r>
      <rPr>
        <sz val="11"/>
        <color theme="1"/>
        <rFont val="Arial Narrow"/>
        <family val="2"/>
        <charset val="204"/>
      </rPr>
      <t xml:space="preserve"> се планира и отчита когато промяната в съдържанието на съответния курс е </t>
    </r>
    <r>
      <rPr>
        <b/>
        <sz val="11"/>
        <color theme="1"/>
        <rFont val="Arial Narrow"/>
        <family val="2"/>
        <charset val="204"/>
      </rPr>
      <t>над 50%.</t>
    </r>
  </si>
  <si>
    <t>1. Аудиторна заетост и изпити по учебен план</t>
  </si>
  <si>
    <t>2. Кандидатдокторантски изпити и научно ръководство</t>
  </si>
  <si>
    <r>
      <rPr>
        <b/>
        <sz val="12"/>
        <rFont val="Arial Narrow"/>
        <family val="2"/>
        <charset val="204"/>
      </rPr>
      <t>Вид</t>
    </r>
    <r>
      <rPr>
        <sz val="12"/>
        <rFont val="Arial Narrow"/>
        <family val="2"/>
        <charset val="204"/>
      </rPr>
      <t xml:space="preserve"> (</t>
    </r>
    <r>
      <rPr>
        <b/>
        <sz val="12"/>
        <rFont val="Arial Narrow"/>
        <family val="2"/>
        <charset val="204"/>
      </rPr>
      <t xml:space="preserve">З </t>
    </r>
    <r>
      <rPr>
        <sz val="12"/>
        <rFont val="Arial Narrow"/>
        <family val="2"/>
        <charset val="204"/>
      </rPr>
      <t xml:space="preserve">- задължителна дисциплина, </t>
    </r>
    <r>
      <rPr>
        <b/>
        <sz val="12"/>
        <rFont val="Arial Narrow"/>
        <family val="2"/>
        <charset val="204"/>
      </rPr>
      <t xml:space="preserve">И </t>
    </r>
    <r>
      <rPr>
        <sz val="12"/>
        <rFont val="Arial Narrow"/>
        <family val="2"/>
        <charset val="204"/>
      </rPr>
      <t xml:space="preserve">- избираема дисциплина, </t>
    </r>
    <r>
      <rPr>
        <b/>
        <sz val="12"/>
        <rFont val="Arial Narrow"/>
        <family val="2"/>
        <charset val="204"/>
      </rPr>
      <t xml:space="preserve">Ф </t>
    </r>
    <r>
      <rPr>
        <sz val="12"/>
        <rFont val="Arial Narrow"/>
        <family val="2"/>
        <charset val="204"/>
      </rPr>
      <t>- факултативна дисциплина)</t>
    </r>
    <r>
      <rPr>
        <b/>
        <sz val="12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 xml:space="preserve">- ЗАДЪЛЖИТЕЛНО посочете вида на дисциплината, съгласно учебния план на специалността.
При преподаване в поток, опцията </t>
    </r>
    <r>
      <rPr>
        <b/>
        <sz val="12"/>
        <rFont val="Arial Narrow"/>
        <family val="2"/>
        <charset val="204"/>
      </rPr>
      <t>З</t>
    </r>
    <r>
      <rPr>
        <sz val="12"/>
        <rFont val="Arial Narrow"/>
        <family val="2"/>
        <charset val="204"/>
      </rPr>
      <t xml:space="preserve"> се посочва, ако за поне една от специалностите/магистърските програми, включени в потока дисциплината е задължителна.</t>
    </r>
  </si>
  <si>
    <t>Научно ръководство на докторант се планира/отчита ежегодно в семестъра,
в който приключва съответната докторантска година!</t>
  </si>
  <si>
    <r>
      <rPr>
        <b/>
        <sz val="12"/>
        <color theme="1"/>
        <rFont val="Arial Narrow"/>
        <family val="2"/>
        <charset val="204"/>
      </rPr>
      <t>Език</t>
    </r>
    <r>
      <rPr>
        <sz val="12"/>
        <color theme="1"/>
        <rFont val="Arial Narrow"/>
        <family val="2"/>
        <charset val="204"/>
      </rPr>
      <t xml:space="preserve"> (</t>
    </r>
    <r>
      <rPr>
        <b/>
        <sz val="12"/>
        <color theme="1"/>
        <rFont val="Arial Narrow"/>
        <family val="2"/>
        <charset val="204"/>
      </rPr>
      <t>БЕ</t>
    </r>
    <r>
      <rPr>
        <sz val="12"/>
        <color theme="1"/>
        <rFont val="Arial Narrow"/>
        <family val="2"/>
        <charset val="204"/>
      </rPr>
      <t xml:space="preserve"> - преподаване на български език, </t>
    </r>
    <r>
      <rPr>
        <b/>
        <sz val="12"/>
        <color theme="1"/>
        <rFont val="Arial Narrow"/>
        <family val="2"/>
        <charset val="204"/>
      </rPr>
      <t>чужд</t>
    </r>
    <r>
      <rPr>
        <sz val="12"/>
        <color theme="1"/>
        <rFont val="Arial Narrow"/>
        <family val="2"/>
        <charset val="204"/>
      </rPr>
      <t xml:space="preserve"> - преподаване на чужд език) - </t>
    </r>
    <r>
      <rPr>
        <sz val="11"/>
        <color theme="1"/>
        <rFont val="Arial Narrow"/>
        <family val="2"/>
        <charset val="204"/>
      </rPr>
      <t xml:space="preserve">посочете езика, на който се провежда предвиденото по учебен план обучение. </t>
    </r>
  </si>
  <si>
    <r>
      <rPr>
        <b/>
        <sz val="12"/>
        <color theme="1"/>
        <rFont val="Arial Narrow"/>
        <family val="2"/>
      </rPr>
      <t>Форма на оценяване</t>
    </r>
    <r>
      <rPr>
        <sz val="12"/>
        <color theme="1"/>
        <rFont val="Arial Narrow"/>
        <family val="2"/>
      </rPr>
      <t xml:space="preserve"> (</t>
    </r>
    <r>
      <rPr>
        <b/>
        <sz val="12"/>
        <color theme="1"/>
        <rFont val="Arial Narrow"/>
        <family val="2"/>
      </rPr>
      <t>Изпит</t>
    </r>
    <r>
      <rPr>
        <sz val="12"/>
        <color theme="1"/>
        <rFont val="Arial Narrow"/>
        <family val="2"/>
      </rPr>
      <t xml:space="preserve"> - изпит, </t>
    </r>
    <r>
      <rPr>
        <b/>
        <sz val="12"/>
        <color theme="1"/>
        <rFont val="Arial Narrow"/>
        <family val="2"/>
      </rPr>
      <t>ТО</t>
    </r>
    <r>
      <rPr>
        <sz val="12"/>
        <color theme="1"/>
        <rFont val="Arial Narrow"/>
        <family val="2"/>
      </rPr>
      <t xml:space="preserve"> - текущо оценяване, </t>
    </r>
    <r>
      <rPr>
        <b/>
        <sz val="12"/>
        <color theme="1"/>
        <rFont val="Arial Narrow"/>
        <family val="2"/>
      </rPr>
      <t>КИ</t>
    </r>
    <r>
      <rPr>
        <sz val="12"/>
        <color theme="1"/>
        <rFont val="Arial Narrow"/>
        <family val="2"/>
      </rPr>
      <t xml:space="preserve"> - комбинирано изпитване, </t>
    </r>
    <r>
      <rPr>
        <b/>
        <sz val="12"/>
        <color theme="1"/>
        <rFont val="Arial Narrow"/>
        <family val="2"/>
      </rPr>
      <t>прод.</t>
    </r>
    <r>
      <rPr>
        <sz val="12"/>
        <color theme="1"/>
        <rFont val="Arial Narrow"/>
        <family val="2"/>
      </rPr>
      <t xml:space="preserve"> - продължава в следващ семестър) - Посочете предвиденото по учебен план за съответната дисциплина.</t>
    </r>
  </si>
  <si>
    <r>
      <rPr>
        <b/>
        <sz val="12"/>
        <color theme="1"/>
        <rFont val="Arial Narrow"/>
        <family val="2"/>
      </rPr>
      <t>Брой текущо оценени</t>
    </r>
    <r>
      <rPr>
        <sz val="12"/>
        <color theme="1"/>
        <rFont val="Arial Narrow"/>
        <family val="2"/>
      </rPr>
      <t xml:space="preserve"> - При предвидено ТО/КИ по учебен план, посочете броя контролни работи / текущи оценки през семестъра, които участват в оформянето на финалната оценка по дисциплината/практиката.
Броят текущи оценки трябва да е не повече от 3 пъти броя оценени студенти.</t>
    </r>
  </si>
  <si>
    <r>
      <rPr>
        <b/>
        <sz val="12"/>
        <color theme="1"/>
        <rFont val="Arial Narrow"/>
        <family val="2"/>
        <charset val="204"/>
      </rPr>
      <t>1.</t>
    </r>
    <r>
      <rPr>
        <sz val="12"/>
        <color theme="1"/>
        <rFont val="Arial Narrow"/>
        <family val="2"/>
        <charset val="204"/>
      </rPr>
      <t xml:space="preserve"> Часовете лекции и упражнения на чужд език се планират/отчитат като такива, при предвидено по учебен план обучение на чужд език.</t>
    </r>
  </si>
  <si>
    <r>
      <rPr>
        <b/>
        <sz val="12"/>
        <color theme="1"/>
        <rFont val="Arial Narrow"/>
        <family val="2"/>
        <charset val="204"/>
      </rPr>
      <t>2.</t>
    </r>
    <r>
      <rPr>
        <sz val="12"/>
        <color theme="1"/>
        <rFont val="Arial Narrow"/>
        <family val="2"/>
        <charset val="204"/>
      </rPr>
      <t xml:space="preserve"> За провеждане на лекции, по решение на ФС, студентите се разпределят в потоци.
В  зависимост от характера на курса и условията (капацитет и брой на аудиториите), максималният брой студенти в един поток не трябва да надвишава 140.
При специалности с брой на студентите по-малък от 50-60 и при налични условия, обучението да се извършва в един поток.
</t>
    </r>
    <r>
      <rPr>
        <b/>
        <sz val="12"/>
        <color theme="1"/>
        <rFont val="Arial Narrow"/>
        <family val="2"/>
        <charset val="204"/>
      </rPr>
      <t>3.</t>
    </r>
    <r>
      <rPr>
        <sz val="12"/>
        <color theme="1"/>
        <rFont val="Arial Narrow"/>
        <family val="2"/>
        <charset val="204"/>
      </rPr>
      <t xml:space="preserve"> Броят на студентите в една учебна група за провеждане на упражнения от “семинарен тип” е 20-22, като упражнения от “семинарен тип” са всички практически упражнения, извършването, на които не се нуждае от изследователска лабораторна апаратура.
</t>
    </r>
    <r>
      <rPr>
        <b/>
        <sz val="12"/>
        <color theme="1"/>
        <rFont val="Arial Narrow"/>
        <family val="2"/>
        <charset val="204"/>
      </rPr>
      <t>4.</t>
    </r>
    <r>
      <rPr>
        <sz val="12"/>
        <color theme="1"/>
        <rFont val="Arial Narrow"/>
        <family val="2"/>
        <charset val="204"/>
      </rPr>
      <t xml:space="preserve"> Броят на студентите в една група по предклинични дисциплини и лабораторни упражнения е 8-10 души.
</t>
    </r>
    <r>
      <rPr>
        <b/>
        <sz val="12"/>
        <color theme="1"/>
        <rFont val="Arial Narrow"/>
        <family val="2"/>
        <charset val="204"/>
      </rPr>
      <t>5.</t>
    </r>
    <r>
      <rPr>
        <sz val="12"/>
        <color theme="1"/>
        <rFont val="Arial Narrow"/>
        <family val="2"/>
        <charset val="204"/>
      </rPr>
      <t xml:space="preserve"> Броят на студентите в една клинична група е 4 – 5 души.
</t>
    </r>
    <r>
      <rPr>
        <b/>
        <sz val="12"/>
        <color theme="1"/>
        <rFont val="Arial Narrow"/>
        <family val="2"/>
        <charset val="204"/>
      </rPr>
      <t>6.</t>
    </r>
    <r>
      <rPr>
        <sz val="12"/>
        <color theme="1"/>
        <rFont val="Arial Narrow"/>
        <family val="2"/>
        <charset val="204"/>
      </rPr>
      <t xml:space="preserve"> Броят на студентите в група за чуждоезиково обучение е 12-15 души.</t>
    </r>
  </si>
  <si>
    <r>
      <rPr>
        <b/>
        <sz val="12"/>
        <color theme="1"/>
        <rFont val="Arial Narrow"/>
        <family val="2"/>
        <charset val="204"/>
      </rPr>
      <t>7.</t>
    </r>
    <r>
      <rPr>
        <sz val="12"/>
        <color theme="1"/>
        <rFont val="Arial Narrow"/>
        <family val="2"/>
        <charset val="204"/>
      </rPr>
      <t xml:space="preserve"> При обучение за придобиване на ОКС „бакалавър“ и ОКС „магистър“ след придобито средно образование, минималният брой студенти за реализирането на занятията /лекции и упражнения/ по избираеми и факултативни учебни дисциплини е 6 души.
В случай на по-малък брой студенти, часовете се редуцират както следва:</t>
    </r>
  </si>
  <si>
    <r>
      <rPr>
        <b/>
        <sz val="12"/>
        <color theme="1"/>
        <rFont val="Arial Narrow"/>
        <family val="2"/>
        <charset val="204"/>
      </rPr>
      <t>8.</t>
    </r>
    <r>
      <rPr>
        <sz val="12"/>
        <color theme="1"/>
        <rFont val="Arial Narrow"/>
        <family val="2"/>
        <charset val="204"/>
      </rPr>
      <t xml:space="preserve"> При обучение за придобиване на ОКС „магистър“ след придобита степен на висшето образование, минималният брой студенти за реализирането на занятията /лекции и упражнения/ в магистърски програми е 6 души. 
Ако избралите дадена магистърска програма са под 6 души, по решение на Факултетния съвет, кандидатите се насочват в други сродни програми или обучението се извършва във вид на индивидуални занятия с редуцирана натовареност както следва:</t>
    </r>
  </si>
  <si>
    <r>
      <rPr>
        <b/>
        <sz val="12"/>
        <color theme="1"/>
        <rFont val="Arial Narrow"/>
        <family val="2"/>
        <charset val="204"/>
      </rPr>
      <t>1.</t>
    </r>
    <r>
      <rPr>
        <sz val="12"/>
        <color theme="1"/>
        <rFont val="Arial Narrow"/>
        <family val="2"/>
        <charset val="204"/>
      </rPr>
      <t xml:space="preserve"> Минималният брой докторанти за реализирането на занятията (лекции и упражнения) е най-малко от трима души. В случай на по-малък брой докторанти, часовете се редуцират както следва:</t>
    </r>
  </si>
  <si>
    <r>
      <rPr>
        <b/>
        <sz val="12"/>
        <color theme="1"/>
        <rFont val="Arial Narrow"/>
        <family val="2"/>
        <charset val="204"/>
      </rPr>
      <t>2.</t>
    </r>
    <r>
      <rPr>
        <sz val="12"/>
        <color theme="1"/>
        <rFont val="Arial Narrow"/>
        <family val="2"/>
        <charset val="204"/>
      </rPr>
      <t xml:space="preserve"> За научни ръководители, които не изпълняват задълженията си, Факултетският съвет може да реши да не отчитат часовете за ръководените от тях докторанти.</t>
    </r>
  </si>
  <si>
    <t>Студенти
бр.</t>
  </si>
  <si>
    <t xml:space="preserve">Формуляр за </t>
  </si>
  <si>
    <t>Отчет</t>
  </si>
  <si>
    <t>Дата</t>
  </si>
  <si>
    <t>Подобряване на формулярету е таблиците</t>
  </si>
  <si>
    <t>IP-SU</t>
  </si>
  <si>
    <t>IO-1-SU</t>
  </si>
  <si>
    <t>IO-2-SU</t>
  </si>
  <si>
    <t>IO-3-SU</t>
  </si>
  <si>
    <r>
      <t xml:space="preserve">Преподавателски
 </t>
    </r>
    <r>
      <rPr>
        <sz val="11"/>
        <color theme="1"/>
        <rFont val="Calibri"/>
        <family val="2"/>
        <charset val="204"/>
        <scheme val="minor"/>
      </rPr>
      <t>въведени данни</t>
    </r>
  </si>
  <si>
    <t>СЕПТЕМВРИЙСКА
СЕСИЯ</t>
  </si>
  <si>
    <r>
      <rPr>
        <b/>
        <sz val="12"/>
        <color rgb="FFFF0000"/>
        <rFont val="Arial Narrow"/>
        <family val="2"/>
        <charset val="204"/>
      </rPr>
      <t>Възложени часове ЛЕКЦИИ и Възложени часове УПРАЖНЕНИЯ</t>
    </r>
    <r>
      <rPr>
        <sz val="12"/>
        <color rgb="FFFF0000"/>
        <rFont val="Arial Narrow"/>
        <family val="2"/>
        <charset val="204"/>
      </rPr>
      <t xml:space="preserve"> - посочете възложените/проведените часове. Не приравнявайте към часове упражнения! Не прилагайте коефициенти за по-малък брой студенти!</t>
    </r>
  </si>
  <si>
    <r>
      <rPr>
        <b/>
        <sz val="12"/>
        <color theme="1"/>
        <rFont val="Arial Narrow"/>
        <family val="2"/>
        <charset val="204"/>
      </rPr>
      <t>Брой лекции и Брой упражнения по учебен план</t>
    </r>
    <r>
      <rPr>
        <sz val="12"/>
        <color theme="1"/>
        <rFont val="Arial Narrow"/>
        <family val="2"/>
        <charset val="204"/>
      </rPr>
      <t xml:space="preserve"> - </t>
    </r>
    <r>
      <rPr>
        <sz val="11"/>
        <color theme="1"/>
        <rFont val="Arial Narrow"/>
        <family val="2"/>
        <charset val="204"/>
      </rPr>
      <t xml:space="preserve">Посочете предвидения за съответния семестър на учебната година хорариум.
</t>
    </r>
    <r>
      <rPr>
        <b/>
        <sz val="11"/>
        <color rgb="FFFF0000"/>
        <rFont val="Arial Narrow"/>
        <family val="2"/>
        <charset val="204"/>
      </rPr>
      <t>Не приравнявайте към часове упражнения! Не прилагайте коефициенти за по-малък брой студенти!</t>
    </r>
  </si>
  <si>
    <r>
      <rPr>
        <b/>
        <sz val="12"/>
        <color theme="1"/>
        <rFont val="Arial Narrow"/>
        <family val="2"/>
        <charset val="204"/>
      </rPr>
      <t xml:space="preserve">Семестър - </t>
    </r>
    <r>
      <rPr>
        <sz val="12"/>
        <color theme="1"/>
        <rFont val="Arial Narrow"/>
        <family val="2"/>
        <charset val="204"/>
      </rPr>
      <t>Посочете семестъра, в който се чете.</t>
    </r>
  </si>
  <si>
    <r>
      <rPr>
        <b/>
        <sz val="12"/>
        <rFont val="Arial Narrow"/>
        <family val="2"/>
        <charset val="204"/>
      </rPr>
      <t>Курс</t>
    </r>
    <r>
      <rPr>
        <sz val="12"/>
        <rFont val="Arial Narrow"/>
        <family val="2"/>
        <charset val="204"/>
      </rPr>
      <t xml:space="preserve"> - Посочета курса на студентите, слушащи преподаваната от Вас дисциплина.</t>
    </r>
  </si>
  <si>
    <t>Научно ръководство, самостоятелна форма на подготовка</t>
  </si>
  <si>
    <t>Докторантски курс</t>
  </si>
  <si>
    <t>Брой 
кандидат-докторанти;
докторанти</t>
  </si>
  <si>
    <t>Лекторат</t>
  </si>
  <si>
    <t>Заповед №:</t>
  </si>
  <si>
    <t>ВУЗ:</t>
  </si>
  <si>
    <t>от</t>
  </si>
  <si>
    <t>до</t>
  </si>
  <si>
    <r>
      <t>1. </t>
    </r>
    <r>
      <rPr>
        <sz val="12"/>
        <color theme="1"/>
        <rFont val="Arial"/>
        <family val="2"/>
        <charset val="204"/>
      </rPr>
      <t>Учебна и педагогическа практика *</t>
    </r>
  </si>
  <si>
    <r>
      <rPr>
        <b/>
        <sz val="12"/>
        <color theme="1"/>
        <rFont val="Arial"/>
        <family val="2"/>
        <charset val="204"/>
      </rPr>
      <t>·</t>
    </r>
    <r>
      <rPr>
        <sz val="12"/>
        <color theme="1"/>
        <rFont val="Arial"/>
        <family val="2"/>
        <charset val="204"/>
      </rPr>
      <t xml:space="preserve"> </t>
    </r>
    <r>
      <rPr>
        <i/>
        <sz val="12"/>
        <color theme="1"/>
        <rFont val="Arial"/>
        <family val="2"/>
        <charset val="204"/>
      </rPr>
      <t xml:space="preserve">Научно-производствена практика – </t>
    </r>
    <r>
      <rPr>
        <i/>
        <sz val="11"/>
        <color theme="1"/>
        <rFont val="Arial"/>
        <family val="2"/>
        <charset val="204"/>
      </rPr>
      <t>3 ч. упр. на група за ден</t>
    </r>
  </si>
  <si>
    <r>
      <rPr>
        <b/>
        <sz val="12"/>
        <color theme="1"/>
        <rFont val="Arial"/>
        <family val="2"/>
        <charset val="204"/>
      </rPr>
      <t>·</t>
    </r>
    <r>
      <rPr>
        <sz val="12"/>
        <color theme="1"/>
        <rFont val="Arial"/>
        <family val="2"/>
        <charset val="204"/>
      </rPr>
      <t> </t>
    </r>
    <r>
      <rPr>
        <i/>
        <sz val="12"/>
        <color theme="1"/>
        <rFont val="Arial"/>
        <family val="2"/>
        <charset val="204"/>
      </rPr>
      <t xml:space="preserve">Преддипломен стаж/практика по учебен план – </t>
    </r>
    <r>
      <rPr>
        <i/>
        <sz val="11"/>
        <color theme="1"/>
        <rFont val="Arial"/>
        <family val="2"/>
        <charset val="204"/>
      </rPr>
      <t>3 ч. упр. на стажантска група</t>
    </r>
  </si>
  <si>
    <r>
      <rPr>
        <b/>
        <sz val="12"/>
        <color theme="1"/>
        <rFont val="Arial"/>
        <family val="2"/>
        <charset val="204"/>
      </rPr>
      <t>·</t>
    </r>
    <r>
      <rPr>
        <sz val="12"/>
        <color theme="1"/>
        <rFont val="Arial"/>
        <family val="2"/>
        <charset val="204"/>
      </rPr>
      <t xml:space="preserve"> </t>
    </r>
    <r>
      <rPr>
        <i/>
        <sz val="12"/>
        <color theme="1"/>
        <rFont val="Arial"/>
        <family val="2"/>
        <charset val="204"/>
      </rPr>
      <t xml:space="preserve">Теренна практика – </t>
    </r>
    <r>
      <rPr>
        <i/>
        <sz val="11"/>
        <color theme="1"/>
        <rFont val="Arial"/>
        <family val="2"/>
        <charset val="204"/>
      </rPr>
      <t>4 часа упр. на ден</t>
    </r>
  </si>
  <si>
    <r>
      <rPr>
        <b/>
        <sz val="12"/>
        <color theme="1"/>
        <rFont val="Arial"/>
        <family val="2"/>
        <charset val="204"/>
      </rPr>
      <t>·</t>
    </r>
    <r>
      <rPr>
        <sz val="12"/>
        <color theme="1"/>
        <rFont val="Arial"/>
        <family val="2"/>
        <charset val="204"/>
      </rPr>
      <t> </t>
    </r>
    <r>
      <rPr>
        <i/>
        <sz val="12"/>
        <color theme="1"/>
        <rFont val="Arial"/>
        <family val="2"/>
        <charset val="204"/>
      </rPr>
      <t xml:space="preserve">Лятна практика – </t>
    </r>
    <r>
      <rPr>
        <i/>
        <sz val="11"/>
        <color theme="1"/>
        <rFont val="Arial"/>
        <family val="2"/>
        <charset val="204"/>
      </rPr>
      <t>4 часа упр. на ден</t>
    </r>
  </si>
  <si>
    <r>
      <rPr>
        <b/>
        <sz val="12"/>
        <color theme="1"/>
        <rFont val="Arial"/>
        <family val="2"/>
        <charset val="204"/>
      </rPr>
      <t>·</t>
    </r>
    <r>
      <rPr>
        <sz val="12"/>
        <color theme="1"/>
        <rFont val="Arial"/>
        <family val="2"/>
        <charset val="204"/>
      </rPr>
      <t> </t>
    </r>
    <r>
      <rPr>
        <i/>
        <sz val="12"/>
        <color theme="1"/>
        <rFont val="Arial"/>
        <family val="2"/>
        <charset val="204"/>
      </rPr>
      <t xml:space="preserve">Учебно-спортна практика – </t>
    </r>
    <r>
      <rPr>
        <i/>
        <sz val="11"/>
        <color theme="1"/>
        <rFont val="Arial"/>
        <family val="2"/>
        <charset val="204"/>
      </rPr>
      <t>4 часа упр. на ден</t>
    </r>
  </si>
  <si>
    <t>зимен сем.</t>
  </si>
  <si>
    <t>летен сем.</t>
  </si>
  <si>
    <t>Брой докторанти</t>
  </si>
  <si>
    <r>
      <rPr>
        <b/>
        <sz val="12"/>
        <color theme="1"/>
        <rFont val="Arial Narrow"/>
        <family val="2"/>
        <charset val="204"/>
      </rPr>
      <t>1.</t>
    </r>
    <r>
      <rPr>
        <sz val="12"/>
        <color theme="1"/>
        <rFont val="Arial Narrow"/>
        <family val="2"/>
        <charset val="204"/>
      </rPr>
      <t xml:space="preserve"> Минималният брой докторанти за реализирането на занятията (лекции и упражнения) е най-малко от трима души.
    В случай на по-малък брой докторанти, часовете се редуцират както следва:</t>
    </r>
  </si>
  <si>
    <r>
      <rPr>
        <b/>
        <sz val="12"/>
        <color theme="1"/>
        <rFont val="Arial Narrow"/>
        <family val="2"/>
        <charset val="204"/>
      </rPr>
      <t>7.</t>
    </r>
    <r>
      <rPr>
        <sz val="12"/>
        <color theme="1"/>
        <rFont val="Arial Narrow"/>
        <family val="2"/>
        <charset val="204"/>
      </rPr>
      <t xml:space="preserve"> При обучение за придобиване на ОКС „бакалавър“ и ОКС „магистър“ след придобито средно образование, минималният брой студенти за реализирането на занятията /лекции и упражнения/ по избираеми и факултативни учебни дисциплини е 6 души.
    В случай на по-малък брой студенти, часовете се редуцират както следва:</t>
    </r>
  </si>
  <si>
    <t>Заетост по МП:</t>
  </si>
  <si>
    <r>
      <rPr>
        <b/>
        <sz val="11"/>
        <color theme="1"/>
        <rFont val="Arial"/>
        <family val="2"/>
        <charset val="204"/>
      </rPr>
      <t>·</t>
    </r>
    <r>
      <rPr>
        <sz val="11"/>
        <color theme="1"/>
        <rFont val="Arial"/>
        <family val="2"/>
        <charset val="204"/>
      </rPr>
      <t xml:space="preserve"> </t>
    </r>
    <r>
      <rPr>
        <i/>
        <sz val="11"/>
        <color theme="1"/>
        <rFont val="Arial"/>
        <family val="2"/>
        <charset val="204"/>
      </rPr>
      <t>Научно-производствена практика - 3 ч. упр. на група за ден</t>
    </r>
  </si>
  <si>
    <r>
      <rPr>
        <b/>
        <sz val="11"/>
        <color theme="1"/>
        <rFont val="Arial"/>
        <family val="2"/>
        <charset val="204"/>
      </rPr>
      <t>·</t>
    </r>
    <r>
      <rPr>
        <sz val="11"/>
        <color theme="1"/>
        <rFont val="Arial"/>
        <family val="2"/>
        <charset val="204"/>
      </rPr>
      <t> </t>
    </r>
    <r>
      <rPr>
        <i/>
        <sz val="11"/>
        <color theme="1"/>
        <rFont val="Arial"/>
        <family val="2"/>
        <charset val="204"/>
      </rPr>
      <t>Преддипломен стаж/практика по учебен план - 3 ч. упр. на стажантска група</t>
    </r>
  </si>
  <si>
    <r>
      <rPr>
        <b/>
        <sz val="11"/>
        <color theme="1"/>
        <rFont val="Arial"/>
        <family val="2"/>
        <charset val="204"/>
      </rPr>
      <t>·</t>
    </r>
    <r>
      <rPr>
        <sz val="11"/>
        <color theme="1"/>
        <rFont val="Arial"/>
        <family val="2"/>
        <charset val="204"/>
      </rPr>
      <t xml:space="preserve"> </t>
    </r>
    <r>
      <rPr>
        <i/>
        <sz val="11"/>
        <color theme="1"/>
        <rFont val="Arial"/>
        <family val="2"/>
        <charset val="204"/>
      </rPr>
      <t>Теренна практика - 4 часа упр. на ден</t>
    </r>
  </si>
  <si>
    <r>
      <rPr>
        <b/>
        <sz val="11"/>
        <color theme="1"/>
        <rFont val="Arial"/>
        <family val="2"/>
        <charset val="204"/>
      </rPr>
      <t>·</t>
    </r>
    <r>
      <rPr>
        <sz val="11"/>
        <color theme="1"/>
        <rFont val="Arial"/>
        <family val="2"/>
        <charset val="204"/>
      </rPr>
      <t> </t>
    </r>
    <r>
      <rPr>
        <i/>
        <sz val="11"/>
        <color theme="1"/>
        <rFont val="Arial"/>
        <family val="2"/>
        <charset val="204"/>
      </rPr>
      <t>Лятна практика - 4 часа упр. на ден</t>
    </r>
  </si>
  <si>
    <r>
      <rPr>
        <b/>
        <sz val="11"/>
        <color theme="1"/>
        <rFont val="Arial"/>
        <family val="2"/>
        <charset val="204"/>
      </rPr>
      <t>·</t>
    </r>
    <r>
      <rPr>
        <sz val="11"/>
        <color theme="1"/>
        <rFont val="Arial"/>
        <family val="2"/>
        <charset val="204"/>
      </rPr>
      <t> </t>
    </r>
    <r>
      <rPr>
        <i/>
        <sz val="11"/>
        <color theme="1"/>
        <rFont val="Arial"/>
        <family val="2"/>
        <charset val="204"/>
      </rPr>
      <t>Учебно-спортна практика - 4 часа упр. на ден</t>
    </r>
  </si>
  <si>
    <t>Лекторат учебна заетост:</t>
  </si>
  <si>
    <t>Лекторат аудиторна заетост:</t>
  </si>
  <si>
    <t>дд</t>
  </si>
  <si>
    <t>мм</t>
  </si>
  <si>
    <t>гггг</t>
  </si>
  <si>
    <t>Група</t>
  </si>
  <si>
    <t>Теренна практика</t>
  </si>
  <si>
    <t>Лятна практика</t>
  </si>
  <si>
    <t>Вид практика</t>
  </si>
  <si>
    <t>Учебна и педагогическа практика</t>
  </si>
  <si>
    <t>Научно-производствена практика</t>
  </si>
  <si>
    <t>Преддипломен стаж</t>
  </si>
  <si>
    <t>Учебно-спортна практика</t>
  </si>
  <si>
    <t>Практика и курсова работа</t>
  </si>
  <si>
    <t>Теренна п-ка</t>
  </si>
  <si>
    <t>Лятна п-ка</t>
  </si>
  <si>
    <t>Учебно-спортна п-ка</t>
  </si>
  <si>
    <t>Час/Група/Ден</t>
  </si>
  <si>
    <t>Групи</t>
  </si>
  <si>
    <t>Дни</t>
  </si>
  <si>
    <t>Форма на
обучение</t>
  </si>
  <si>
    <t>Час</t>
  </si>
  <si>
    <t>Ден</t>
  </si>
  <si>
    <t>Научно-произв. п-ка</t>
  </si>
  <si>
    <t>Учебно-спортна практика,
4 ч. упр., за 1 ден практика.</t>
  </si>
  <si>
    <t>Лятна практика
4 ч. упр., за 1 ден практика.</t>
  </si>
  <si>
    <t>Практика</t>
  </si>
  <si>
    <t>уфГрупа</t>
  </si>
  <si>
    <t>Часа</t>
  </si>
  <si>
    <t>ВидПрактика</t>
  </si>
  <si>
    <t>чПрактика</t>
  </si>
  <si>
    <t>№</t>
  </si>
  <si>
    <t>Практики и курсови работи</t>
  </si>
  <si>
    <t>пВидПрактика</t>
  </si>
  <si>
    <t>* При аудиторна заетост под утвърдения от АС норматив и при провеждане на практики по т. 1 от извънаудиторната заетост, могат да бъдат отчетени като аудиторна заетост до 30 часа.</t>
  </si>
  <si>
    <t>Версия:</t>
  </si>
  <si>
    <t>Часове по учебен план</t>
  </si>
  <si>
    <t>Хоспитиране</t>
  </si>
  <si>
    <t>Текуща педагогическа практика</t>
  </si>
  <si>
    <t>Row1</t>
  </si>
  <si>
    <t>Row2</t>
  </si>
  <si>
    <t>Теренна практика
4 ч. упр., за 1 ден практика.</t>
  </si>
  <si>
    <t>Преддипломен стаж
3 ч. упр., за 1 група</t>
  </si>
  <si>
    <t>Научно-производствена практика
3 ч. упр.,  1 група за 1 ден.</t>
  </si>
  <si>
    <t>Хоспитиране
30 ч.  упр. , за 1 група</t>
  </si>
  <si>
    <t>Текуща педагогическа практика, 
60 ч. упр.,  за 1 група</t>
  </si>
  <si>
    <t>Тази част от електронния формуляр касае единствено ОКС "бакалавър" и ОКС "магистър".</t>
  </si>
  <si>
    <r>
      <rPr>
        <b/>
        <sz val="11"/>
        <color theme="1"/>
        <rFont val="Arial"/>
        <family val="2"/>
        <charset val="204"/>
      </rPr>
      <t>1.</t>
    </r>
    <r>
      <rPr>
        <sz val="11"/>
        <color theme="1"/>
        <rFont val="Arial"/>
        <family val="2"/>
        <charset val="204"/>
      </rPr>
      <t xml:space="preserve"> Часовете лекции и упражнения на чужд език се планират/отчитат като такива, при предвидено по учебен план обучение на чужд език.</t>
    </r>
  </si>
  <si>
    <r>
      <rPr>
        <b/>
        <sz val="11"/>
        <color theme="1"/>
        <rFont val="Arial"/>
        <family val="2"/>
        <charset val="204"/>
      </rPr>
      <t>7.</t>
    </r>
    <r>
      <rPr>
        <sz val="11"/>
        <color theme="1"/>
        <rFont val="Arial"/>
        <family val="2"/>
        <charset val="204"/>
      </rPr>
      <t xml:space="preserve"> При обучение за придобиване на ОКС „бакалавър“ и ОКС „магистър“ след придобито средно образование, минималният брой студенти за реализирането на занятията /лекции и упражнения/ по избираеми и факултативни учебни дисциплини е 6 души.
В случай на по-малък брой студенти, часовете се редуцират както следва:</t>
    </r>
  </si>
  <si>
    <r>
      <rPr>
        <b/>
        <sz val="11"/>
        <color theme="1"/>
        <rFont val="Arial"/>
        <family val="2"/>
        <charset val="204"/>
      </rPr>
      <t>8.</t>
    </r>
    <r>
      <rPr>
        <sz val="11"/>
        <color theme="1"/>
        <rFont val="Arial"/>
        <family val="2"/>
        <charset val="204"/>
      </rPr>
      <t xml:space="preserve"> При обучение за придобиване на ОКС „магистър“ след придобита степен на висшето образование, минималният брой студенти за реализирането на занятията /лекции и упражнения/ в магистърски програми е 6 души. 
Ако избралите дадена магистърска програма са под 6 души, по решение на Факултетния съвет, кандидатите се насочват в други сродни програми или обучението се извършва във вид на индивидуални занятия с редуцирана натовареност както следва:</t>
    </r>
  </si>
  <si>
    <r>
      <rPr>
        <b/>
        <sz val="11"/>
        <color theme="1"/>
        <rFont val="Arial"/>
        <family val="2"/>
        <charset val="204"/>
      </rPr>
      <t>1.</t>
    </r>
    <r>
      <rPr>
        <sz val="11"/>
        <color theme="1"/>
        <rFont val="Arial"/>
        <family val="2"/>
        <charset val="204"/>
      </rPr>
      <t xml:space="preserve"> Минималният брой докторанти за реализирането на занятията (лекции и упражнения) е най-малко от трима души. В случай на по-малък брой докторанти, часовете се редуцират както следва:</t>
    </r>
  </si>
  <si>
    <r>
      <rPr>
        <b/>
        <sz val="11"/>
        <color theme="1"/>
        <rFont val="Arial"/>
        <family val="2"/>
        <charset val="204"/>
      </rPr>
      <t>2.</t>
    </r>
    <r>
      <rPr>
        <sz val="11"/>
        <color theme="1"/>
        <rFont val="Arial"/>
        <family val="2"/>
        <charset val="204"/>
      </rPr>
      <t xml:space="preserve"> За научни ръководители, които не изпълняват задълженията си, Факултетският съвет може да реши да не отчитат часовете за ръководените от тях докторанти.</t>
    </r>
  </si>
  <si>
    <r>
      <rPr>
        <b/>
        <i/>
        <sz val="11"/>
        <rFont val="Arial"/>
        <family val="2"/>
        <charset val="204"/>
      </rPr>
      <t>*</t>
    </r>
    <r>
      <rPr>
        <i/>
        <sz val="11"/>
        <rFont val="Arial"/>
        <family val="2"/>
        <charset val="204"/>
      </rPr>
      <t xml:space="preserve"> При аудиторна заетост под утвърдения от АС норматив и при провеждане на практики по т.1 от извънаудиторната заетост, могат да бъдат отчетени като аудиторна заетост до 30 часа.</t>
    </r>
  </si>
  <si>
    <r>
      <rPr>
        <b/>
        <i/>
        <sz val="11"/>
        <rFont val="Arial"/>
        <family val="2"/>
        <charset val="204"/>
      </rPr>
      <t>**</t>
    </r>
    <r>
      <rPr>
        <i/>
        <sz val="11"/>
        <rFont val="Arial"/>
        <family val="2"/>
        <charset val="204"/>
      </rPr>
      <t xml:space="preserve"> При аудиторна заетост под утвърдения от АС норматив и при изпитани повече от 150 студенти, могат да бъдат отчетени като аудиторна заетост до 30 часа.</t>
    </r>
  </si>
  <si>
    <t>асистент</t>
  </si>
  <si>
    <t>главен асистент</t>
  </si>
  <si>
    <t>доцент</t>
  </si>
  <si>
    <t>професор</t>
  </si>
  <si>
    <t>старши преподавател</t>
  </si>
  <si>
    <t>Академична длъжност в СУ</t>
  </si>
  <si>
    <t>акад. длъж</t>
  </si>
  <si>
    <t>ас.</t>
  </si>
  <si>
    <t>гл. ас.</t>
  </si>
  <si>
    <t>доц.</t>
  </si>
  <si>
    <t>проф.</t>
  </si>
  <si>
    <t>ст. преп.</t>
  </si>
  <si>
    <t>преподавател</t>
  </si>
  <si>
    <t>преп.</t>
  </si>
  <si>
    <t>първо ниво изслед.</t>
  </si>
  <si>
    <t>второ ниво изслед.</t>
  </si>
  <si>
    <t>трето ниво изслед.</t>
  </si>
  <si>
    <t>четвърто ниво изслед.</t>
  </si>
  <si>
    <t>/академична длъжност/</t>
  </si>
  <si>
    <t xml:space="preserve">/име, презиме, фамилия/                    </t>
  </si>
  <si>
    <t>уфДен</t>
  </si>
  <si>
    <t>Тeкуща педагог. п-ка</t>
  </si>
  <si>
    <t>Студенти</t>
  </si>
  <si>
    <t>И/ДИ/З</t>
  </si>
  <si>
    <t>ФормаОб</t>
  </si>
  <si>
    <t>ФормаОц</t>
  </si>
  <si>
    <t>Екип</t>
  </si>
  <si>
    <t>Данни</t>
  </si>
  <si>
    <t>Препод.</t>
  </si>
  <si>
    <t>Въвед. данни от</t>
  </si>
  <si>
    <t>СтФ</t>
  </si>
  <si>
    <t>ДС</t>
  </si>
  <si>
    <t>ФзФ</t>
  </si>
  <si>
    <t>%2</t>
  </si>
  <si>
    <r>
      <rPr>
        <b/>
        <sz val="11"/>
        <color theme="1"/>
        <rFont val="Arial"/>
        <family val="2"/>
        <charset val="204"/>
      </rPr>
      <t>· </t>
    </r>
    <r>
      <rPr>
        <i/>
        <sz val="11"/>
        <color theme="1"/>
        <rFont val="Arial"/>
        <family val="2"/>
        <charset val="204"/>
      </rPr>
      <t>Хоспитиране ***  – 30 ч. упр. на група</t>
    </r>
  </si>
  <si>
    <r>
      <rPr>
        <b/>
        <sz val="11"/>
        <color theme="1"/>
        <rFont val="Arial"/>
        <family val="2"/>
        <charset val="204"/>
      </rPr>
      <t xml:space="preserve">· </t>
    </r>
    <r>
      <rPr>
        <i/>
        <sz val="11"/>
        <color theme="1"/>
        <rFont val="Arial"/>
        <family val="2"/>
        <charset val="204"/>
      </rPr>
      <t>Текуща педагогическа практика *** – 60 ч. упр. за група</t>
    </r>
  </si>
  <si>
    <r>
      <rPr>
        <b/>
        <sz val="12"/>
        <color theme="1"/>
        <rFont val="Arial"/>
        <family val="2"/>
        <charset val="204"/>
      </rPr>
      <t>· </t>
    </r>
    <r>
      <rPr>
        <sz val="12"/>
        <color theme="1"/>
        <rFont val="Arial"/>
        <family val="2"/>
        <charset val="204"/>
      </rPr>
      <t>Хоспитиране ***  – 30 ч. упр. на група</t>
    </r>
  </si>
  <si>
    <r>
      <rPr>
        <b/>
        <sz val="11"/>
        <color theme="1"/>
        <rFont val="Arial"/>
        <family val="2"/>
        <charset val="204"/>
      </rPr>
      <t xml:space="preserve">· </t>
    </r>
    <r>
      <rPr>
        <i/>
        <sz val="12"/>
        <color theme="1"/>
        <rFont val="Arial"/>
        <family val="2"/>
        <charset val="204"/>
      </rPr>
      <t>Текуща педагогическа практика *** – 60 ч. упр. за група</t>
    </r>
  </si>
  <si>
    <t>Скрива</t>
  </si>
  <si>
    <t>Зимен - 1.1., 1.2., 1.3.</t>
  </si>
  <si>
    <t>Видими</t>
  </si>
  <si>
    <t>Летен - 2.1., 2.2., 2.3.</t>
  </si>
  <si>
    <t>4. Слети четения и четения в поток</t>
  </si>
  <si>
    <t>Акад. длъжн</t>
  </si>
  <si>
    <t>ПОМОЩ</t>
  </si>
  <si>
    <r>
      <rPr>
        <b/>
        <sz val="12"/>
        <color theme="1"/>
        <rFont val="Arial Narrow"/>
        <family val="2"/>
        <charset val="204"/>
      </rPr>
      <t>Титуляр/Асистиращ</t>
    </r>
    <r>
      <rPr>
        <sz val="12"/>
        <color theme="1"/>
        <rFont val="Arial Narrow"/>
        <family val="2"/>
        <charset val="204"/>
      </rPr>
      <t xml:space="preserve"> – Посочете статута си по съответната дисциплина/практика.</t>
    </r>
  </si>
  <si>
    <r>
      <rPr>
        <b/>
        <sz val="12"/>
        <color theme="1"/>
        <rFont val="Arial Narrow"/>
        <family val="2"/>
        <charset val="204"/>
      </rPr>
      <t>Брой изпитани</t>
    </r>
    <r>
      <rPr>
        <sz val="12"/>
        <color theme="1"/>
        <rFont val="Arial Narrow"/>
        <family val="2"/>
        <charset val="204"/>
      </rPr>
      <t xml:space="preserve"> – Посочете броя изпитани студенти, при предвиден семестриален изпит по съответната дисциплина/практика.</t>
    </r>
  </si>
  <si>
    <r>
      <rPr>
        <b/>
        <sz val="12"/>
        <color theme="1"/>
        <rFont val="Arial Narrow"/>
        <family val="2"/>
        <charset val="204"/>
      </rPr>
      <t>Брой текущо оценени</t>
    </r>
    <r>
      <rPr>
        <sz val="12"/>
        <color theme="1"/>
        <rFont val="Arial Narrow"/>
        <family val="2"/>
        <charset val="204"/>
      </rPr>
      <t xml:space="preserve"> – При предвидено </t>
    </r>
    <r>
      <rPr>
        <b/>
        <sz val="12"/>
        <color theme="1"/>
        <rFont val="Arial Narrow"/>
        <family val="2"/>
        <charset val="204"/>
      </rPr>
      <t>ТО</t>
    </r>
    <r>
      <rPr>
        <sz val="12"/>
        <color theme="1"/>
        <rFont val="Arial Narrow"/>
        <family val="2"/>
        <charset val="204"/>
      </rPr>
      <t>/</t>
    </r>
    <r>
      <rPr>
        <b/>
        <sz val="12"/>
        <color theme="1"/>
        <rFont val="Arial Narrow"/>
        <family val="2"/>
        <charset val="204"/>
      </rPr>
      <t>КИ</t>
    </r>
    <r>
      <rPr>
        <sz val="12"/>
        <color theme="1"/>
        <rFont val="Arial Narrow"/>
        <family val="2"/>
        <charset val="204"/>
      </rPr>
      <t xml:space="preserve"> по учебен план, посочете броя контролни работи / текущи оценки през семестъра, които участват в оформянето на финалната оценка по дисциплината/практиката.
Броят текущи оценки трябва да е не повече от 3 пъти броя оценени студенти.</t>
    </r>
  </si>
  <si>
    <r>
      <rPr>
        <b/>
        <sz val="12"/>
        <color theme="1"/>
        <rFont val="Arial Narrow"/>
        <family val="2"/>
        <charset val="204"/>
      </rPr>
      <t xml:space="preserve">Език </t>
    </r>
    <r>
      <rPr>
        <sz val="12"/>
        <color theme="1"/>
        <rFont val="Arial Narrow"/>
        <family val="2"/>
        <charset val="204"/>
      </rPr>
      <t>(</t>
    </r>
    <r>
      <rPr>
        <b/>
        <sz val="12"/>
        <color theme="1"/>
        <rFont val="Arial Narrow"/>
        <family val="2"/>
        <charset val="204"/>
      </rPr>
      <t>БЕ</t>
    </r>
    <r>
      <rPr>
        <sz val="12"/>
        <color theme="1"/>
        <rFont val="Arial Narrow"/>
        <family val="2"/>
        <charset val="204"/>
      </rPr>
      <t xml:space="preserve"> </t>
    </r>
    <r>
      <rPr>
        <b/>
        <sz val="12"/>
        <color theme="1"/>
        <rFont val="Arial Narrow"/>
        <family val="2"/>
        <charset val="204"/>
      </rPr>
      <t>–</t>
    </r>
    <r>
      <rPr>
        <sz val="12"/>
        <color theme="1"/>
        <rFont val="Arial Narrow"/>
        <family val="2"/>
        <charset val="204"/>
      </rPr>
      <t xml:space="preserve"> български език,  </t>
    </r>
    <r>
      <rPr>
        <b/>
        <sz val="12"/>
        <color theme="1"/>
        <rFont val="Arial Narrow"/>
        <family val="2"/>
        <charset val="204"/>
      </rPr>
      <t>чужд</t>
    </r>
    <r>
      <rPr>
        <sz val="12"/>
        <color theme="1"/>
        <rFont val="Arial Narrow"/>
        <family val="2"/>
        <charset val="204"/>
      </rPr>
      <t xml:space="preserve"> </t>
    </r>
    <r>
      <rPr>
        <b/>
        <sz val="12"/>
        <color theme="1"/>
        <rFont val="Arial Narrow"/>
        <family val="2"/>
        <charset val="204"/>
      </rPr>
      <t>–</t>
    </r>
    <r>
      <rPr>
        <sz val="12"/>
        <color theme="1"/>
        <rFont val="Arial Narrow"/>
        <family val="2"/>
        <charset val="204"/>
      </rPr>
      <t xml:space="preserve"> чужд език, </t>
    </r>
    <r>
      <rPr>
        <b/>
        <sz val="12"/>
        <color theme="1"/>
        <rFont val="Arial Narrow"/>
        <family val="2"/>
        <charset val="204"/>
      </rPr>
      <t xml:space="preserve">ФЧЕ – </t>
    </r>
    <r>
      <rPr>
        <sz val="12"/>
        <color theme="1"/>
        <rFont val="Arial Narrow"/>
        <family val="2"/>
        <charset val="204"/>
      </rPr>
      <t>чуждоезикова филология) – Посочете езика на обучение, съгласно учебния план на специалността. Опцията</t>
    </r>
    <r>
      <rPr>
        <b/>
        <sz val="12"/>
        <color theme="1"/>
        <rFont val="Arial Narrow"/>
        <family val="2"/>
        <charset val="204"/>
      </rPr>
      <t xml:space="preserve"> ФЧЕ</t>
    </r>
    <r>
      <rPr>
        <sz val="12"/>
        <color theme="1"/>
        <rFont val="Arial Narrow"/>
        <family val="2"/>
        <charset val="204"/>
      </rPr>
      <t xml:space="preserve"> се посочва в случаите, при които по учебен план е предвидено обучение на български език, но спецификата на дисциплината предполага преподаване на чужд език.</t>
    </r>
  </si>
  <si>
    <r>
      <rPr>
        <b/>
        <sz val="12"/>
        <rFont val="Arial Narrow"/>
        <family val="2"/>
        <charset val="204"/>
      </rPr>
      <t>Форма</t>
    </r>
    <r>
      <rPr>
        <sz val="12"/>
        <rFont val="Arial Narrow"/>
        <family val="2"/>
        <charset val="204"/>
      </rPr>
      <t xml:space="preserve"> (</t>
    </r>
    <r>
      <rPr>
        <b/>
        <sz val="12"/>
        <rFont val="Arial Narrow"/>
        <family val="2"/>
        <charset val="204"/>
      </rPr>
      <t>р.об.</t>
    </r>
    <r>
      <rPr>
        <sz val="12"/>
        <rFont val="Arial Narrow"/>
        <family val="2"/>
        <charset val="204"/>
      </rPr>
      <t xml:space="preserve"> – редовно обучение,</t>
    </r>
    <r>
      <rPr>
        <b/>
        <sz val="12"/>
        <rFont val="Arial Narrow"/>
        <family val="2"/>
        <charset val="204"/>
      </rPr>
      <t xml:space="preserve"> з.об.</t>
    </r>
    <r>
      <rPr>
        <sz val="12"/>
        <rFont val="Arial Narrow"/>
        <family val="2"/>
        <charset val="204"/>
      </rPr>
      <t xml:space="preserve"> – задочно обучение, </t>
    </r>
    <r>
      <rPr>
        <b/>
        <sz val="12"/>
        <rFont val="Arial Narrow"/>
        <family val="2"/>
        <charset val="204"/>
      </rPr>
      <t>д.об.</t>
    </r>
    <r>
      <rPr>
        <sz val="12"/>
        <rFont val="Arial Narrow"/>
        <family val="2"/>
        <charset val="204"/>
      </rPr>
      <t xml:space="preserve"> – дистанционно обучение, </t>
    </r>
    <r>
      <rPr>
        <b/>
        <sz val="12"/>
        <rFont val="Arial Narrow"/>
        <family val="2"/>
        <charset val="204"/>
      </rPr>
      <t>ИП</t>
    </r>
    <r>
      <rPr>
        <sz val="12"/>
        <rFont val="Arial Narrow"/>
        <family val="2"/>
        <charset val="204"/>
      </rPr>
      <t xml:space="preserve"> – обучение по индивидуален план) – Посочете формата на обучение</t>
    </r>
  </si>
  <si>
    <r>
      <rPr>
        <b/>
        <sz val="12"/>
        <color theme="1"/>
        <rFont val="Arial Narrow"/>
        <family val="2"/>
        <charset val="204"/>
      </rPr>
      <t>Форма на оценяване</t>
    </r>
    <r>
      <rPr>
        <sz val="12"/>
        <color theme="1"/>
        <rFont val="Arial Narrow"/>
        <family val="2"/>
        <charset val="204"/>
      </rPr>
      <t xml:space="preserve"> (</t>
    </r>
    <r>
      <rPr>
        <b/>
        <sz val="12"/>
        <color theme="1"/>
        <rFont val="Arial Narrow"/>
        <family val="2"/>
        <charset val="204"/>
      </rPr>
      <t>Изпит</t>
    </r>
    <r>
      <rPr>
        <sz val="12"/>
        <color theme="1"/>
        <rFont val="Arial Narrow"/>
        <family val="2"/>
        <charset val="204"/>
      </rPr>
      <t xml:space="preserve"> </t>
    </r>
    <r>
      <rPr>
        <b/>
        <sz val="12"/>
        <color theme="1"/>
        <rFont val="Arial Narrow"/>
        <family val="2"/>
        <charset val="204"/>
      </rPr>
      <t>–</t>
    </r>
    <r>
      <rPr>
        <sz val="12"/>
        <color theme="1"/>
        <rFont val="Arial Narrow"/>
        <family val="2"/>
        <charset val="204"/>
      </rPr>
      <t xml:space="preserve"> изпит, </t>
    </r>
    <r>
      <rPr>
        <b/>
        <sz val="12"/>
        <color theme="1"/>
        <rFont val="Arial Narrow"/>
        <family val="2"/>
        <charset val="204"/>
      </rPr>
      <t>ТО –</t>
    </r>
    <r>
      <rPr>
        <sz val="12"/>
        <color theme="1"/>
        <rFont val="Arial Narrow"/>
        <family val="2"/>
        <charset val="204"/>
      </rPr>
      <t xml:space="preserve"> текущо оценяване, </t>
    </r>
    <r>
      <rPr>
        <b/>
        <sz val="12"/>
        <color theme="1"/>
        <rFont val="Arial Narrow"/>
        <family val="2"/>
        <charset val="204"/>
      </rPr>
      <t>КИ</t>
    </r>
    <r>
      <rPr>
        <sz val="12"/>
        <color theme="1"/>
        <rFont val="Arial Narrow"/>
        <family val="2"/>
        <charset val="204"/>
      </rPr>
      <t xml:space="preserve"> – комбинирано изпитване, </t>
    </r>
    <r>
      <rPr>
        <b/>
        <sz val="12"/>
        <color theme="1"/>
        <rFont val="Arial Narrow"/>
        <family val="2"/>
        <charset val="204"/>
      </rPr>
      <t>прод.</t>
    </r>
    <r>
      <rPr>
        <sz val="12"/>
        <color theme="1"/>
        <rFont val="Arial Narrow"/>
        <family val="2"/>
        <charset val="204"/>
      </rPr>
      <t xml:space="preserve"> – продължава в следващ семестър) – Посочете предвиденото по учебен план за съответната дисциплина и семестър.</t>
    </r>
  </si>
  <si>
    <t>ФСлФ</t>
  </si>
  <si>
    <r>
      <rPr>
        <b/>
        <sz val="11"/>
        <color theme="1"/>
        <rFont val="Calibri"/>
        <family val="2"/>
        <charset val="204"/>
        <scheme val="minor"/>
      </rPr>
      <t>Учебна и педагогическа практика:</t>
    </r>
    <r>
      <rPr>
        <sz val="11"/>
        <color theme="1"/>
        <rFont val="Calibri"/>
        <family val="2"/>
        <scheme val="minor"/>
      </rPr>
      <t xml:space="preserve">
   *</t>
    </r>
    <r>
      <rPr>
        <b/>
        <sz val="11"/>
        <color theme="1"/>
        <rFont val="Calibri"/>
        <family val="2"/>
        <charset val="204"/>
        <scheme val="minor"/>
      </rPr>
      <t xml:space="preserve"> Вид практика</t>
    </r>
    <r>
      <rPr>
        <sz val="11"/>
        <color theme="1"/>
        <rFont val="Calibri"/>
        <family val="2"/>
        <scheme val="minor"/>
      </rPr>
      <t xml:space="preserve"> (Изберете вида практика и въведете броя на групите и/или дните в полетата група и/или ден, според проведената практика):
     </t>
    </r>
    <r>
      <rPr>
        <b/>
        <sz val="11"/>
        <color theme="1"/>
        <rFont val="Calibri"/>
        <family val="2"/>
        <charset val="204"/>
        <scheme val="minor"/>
      </rPr>
      <t>1. Хоспитиране</t>
    </r>
    <r>
      <rPr>
        <sz val="11"/>
        <color theme="1"/>
        <rFont val="Calibri"/>
        <family val="2"/>
        <scheme val="minor"/>
      </rPr>
      <t xml:space="preserve"> (Хоспитиране) – </t>
    </r>
    <r>
      <rPr>
        <sz val="11"/>
        <color theme="1"/>
        <rFont val="Calibri"/>
        <family val="2"/>
        <charset val="204"/>
        <scheme val="minor"/>
      </rPr>
      <t>30</t>
    </r>
    <r>
      <rPr>
        <sz val="11"/>
        <color theme="1"/>
        <rFont val="Calibri"/>
        <family val="2"/>
        <scheme val="minor"/>
      </rPr>
      <t xml:space="preserve"> ч. урп. за </t>
    </r>
    <r>
      <rPr>
        <b/>
        <i/>
        <sz val="11"/>
        <color theme="1"/>
        <rFont val="Calibri"/>
        <family val="2"/>
        <charset val="204"/>
        <scheme val="minor"/>
      </rPr>
      <t>група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2. Текуща педагог. п-ка</t>
    </r>
    <r>
      <rPr>
        <sz val="11"/>
        <color theme="1"/>
        <rFont val="Calibri"/>
        <family val="2"/>
        <scheme val="minor"/>
      </rPr>
      <t xml:space="preserve"> (Текуща педагогическа практика) – 60 ч. упр. за </t>
    </r>
    <r>
      <rPr>
        <b/>
        <i/>
        <sz val="11"/>
        <color theme="1"/>
        <rFont val="Calibri"/>
        <family val="2"/>
        <charset val="204"/>
        <scheme val="minor"/>
      </rPr>
      <t>група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3. Научно-произв. п-ка</t>
    </r>
    <r>
      <rPr>
        <sz val="11"/>
        <color theme="1"/>
        <rFont val="Calibri"/>
        <family val="2"/>
        <scheme val="minor"/>
      </rPr>
      <t xml:space="preserve"> (Научно-производствена практика) – 3 ч. упр. на </t>
    </r>
    <r>
      <rPr>
        <b/>
        <i/>
        <sz val="11"/>
        <color theme="1"/>
        <rFont val="Calibri"/>
        <family val="2"/>
        <charset val="204"/>
        <scheme val="minor"/>
      </rPr>
      <t>група</t>
    </r>
    <r>
      <rPr>
        <sz val="11"/>
        <color theme="1"/>
        <rFont val="Calibri"/>
        <family val="2"/>
        <scheme val="minor"/>
      </rPr>
      <t xml:space="preserve"> за </t>
    </r>
    <r>
      <rPr>
        <b/>
        <i/>
        <sz val="11"/>
        <color theme="1"/>
        <rFont val="Calibri"/>
        <family val="2"/>
        <charset val="204"/>
        <scheme val="minor"/>
      </rPr>
      <t>ден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4.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Преддипл. стаж/п-ка</t>
    </r>
    <r>
      <rPr>
        <sz val="11"/>
        <color theme="1"/>
        <rFont val="Calibri"/>
        <family val="2"/>
        <scheme val="minor"/>
      </rPr>
      <t xml:space="preserve"> (Преддипломен стаж/практика по учебен план) – 3 ч. упр. на </t>
    </r>
    <r>
      <rPr>
        <b/>
        <i/>
        <sz val="11"/>
        <color theme="1"/>
        <rFont val="Calibri"/>
        <family val="2"/>
        <charset val="204"/>
        <scheme val="minor"/>
      </rPr>
      <t>група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5. Теренна п-ка</t>
    </r>
    <r>
      <rPr>
        <sz val="11"/>
        <color theme="1"/>
        <rFont val="Calibri"/>
        <family val="2"/>
        <scheme val="minor"/>
      </rPr>
      <t xml:space="preserve">  (Теренна практика) – 4 ч. упр. на </t>
    </r>
    <r>
      <rPr>
        <b/>
        <i/>
        <sz val="11"/>
        <color theme="1"/>
        <rFont val="Calibri"/>
        <family val="2"/>
        <charset val="204"/>
        <scheme val="minor"/>
      </rPr>
      <t>ден</t>
    </r>
    <r>
      <rPr>
        <sz val="11"/>
        <color theme="1"/>
        <rFont val="Calibri"/>
        <family val="2"/>
        <scheme val="minor"/>
      </rPr>
      <t xml:space="preserve">), </t>
    </r>
    <r>
      <rPr>
        <b/>
        <sz val="11"/>
        <color theme="1"/>
        <rFont val="Calibri"/>
        <family val="2"/>
        <charset val="204"/>
        <scheme val="minor"/>
      </rPr>
      <t>6. Лятна п-ка</t>
    </r>
    <r>
      <rPr>
        <sz val="11"/>
        <color theme="1"/>
        <rFont val="Calibri"/>
        <family val="2"/>
        <scheme val="minor"/>
      </rPr>
      <t xml:space="preserve"> (Лятна практика) – 4 ч. упр. на </t>
    </r>
    <r>
      <rPr>
        <b/>
        <i/>
        <sz val="11"/>
        <color theme="1"/>
        <rFont val="Calibri"/>
        <family val="2"/>
        <charset val="204"/>
        <scheme val="minor"/>
      </rPr>
      <t>ден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7. Учебно-спортна п-ка</t>
    </r>
    <r>
      <rPr>
        <sz val="11"/>
        <color theme="1"/>
        <rFont val="Calibri"/>
        <family val="2"/>
        <scheme val="minor"/>
      </rPr>
      <t xml:space="preserve"> (Учебно-спортна практика) – 4 ч. упр. на </t>
    </r>
    <r>
      <rPr>
        <b/>
        <i/>
        <sz val="11"/>
        <color theme="1"/>
        <rFont val="Calibri"/>
        <family val="2"/>
        <charset val="204"/>
        <scheme val="minor"/>
      </rPr>
      <t>ден.</t>
    </r>
  </si>
  <si>
    <t>Админ.</t>
  </si>
  <si>
    <r>
      <rPr>
        <b/>
        <sz val="12"/>
        <rFont val="Arial Narrow"/>
        <family val="2"/>
      </rPr>
      <t>Курс</t>
    </r>
    <r>
      <rPr>
        <sz val="12"/>
        <rFont val="Arial Narrow"/>
        <family val="2"/>
      </rPr>
      <t xml:space="preserve"> - Въведете курса на студентите, слушащи преподаваната от Вас дисциплина.</t>
    </r>
  </si>
  <si>
    <r>
      <rPr>
        <b/>
        <sz val="12"/>
        <rFont val="Arial Narrow"/>
        <family val="2"/>
      </rPr>
      <t>Форма на обучение</t>
    </r>
    <r>
      <rPr>
        <sz val="12"/>
        <rFont val="Arial Narrow"/>
        <family val="2"/>
      </rPr>
      <t xml:space="preserve"> (</t>
    </r>
    <r>
      <rPr>
        <b/>
        <sz val="12"/>
        <rFont val="Arial Narrow"/>
        <family val="2"/>
      </rPr>
      <t>р.об.</t>
    </r>
    <r>
      <rPr>
        <sz val="12"/>
        <rFont val="Arial Narrow"/>
        <family val="2"/>
      </rPr>
      <t xml:space="preserve"> - редовно обучение,</t>
    </r>
    <r>
      <rPr>
        <b/>
        <sz val="12"/>
        <rFont val="Arial Narrow"/>
        <family val="2"/>
      </rPr>
      <t xml:space="preserve"> з.об.</t>
    </r>
    <r>
      <rPr>
        <sz val="12"/>
        <rFont val="Arial Narrow"/>
        <family val="2"/>
      </rPr>
      <t xml:space="preserve"> - задочно обучение, </t>
    </r>
    <r>
      <rPr>
        <b/>
        <sz val="12"/>
        <rFont val="Arial Narrow"/>
        <family val="2"/>
      </rPr>
      <t>д.об.</t>
    </r>
    <r>
      <rPr>
        <sz val="12"/>
        <rFont val="Arial Narrow"/>
        <family val="2"/>
      </rPr>
      <t xml:space="preserve"> - дистанционно обучение, </t>
    </r>
    <r>
      <rPr>
        <b/>
        <sz val="12"/>
        <rFont val="Arial Narrow"/>
        <family val="2"/>
      </rPr>
      <t>ИП</t>
    </r>
    <r>
      <rPr>
        <sz val="12"/>
        <rFont val="Arial Narrow"/>
        <family val="2"/>
      </rPr>
      <t xml:space="preserve"> - обучение по индивидуален план) – Изберете формата на обучение.</t>
    </r>
  </si>
  <si>
    <r>
      <rPr>
        <b/>
        <sz val="11"/>
        <color theme="1"/>
        <rFont val="Arial Narrow"/>
        <family val="2"/>
        <charset val="204"/>
      </rPr>
      <t>ОКС</t>
    </r>
    <r>
      <rPr>
        <sz val="11"/>
        <color theme="1"/>
        <rFont val="Arial Narrow"/>
        <family val="2"/>
        <charset val="204"/>
      </rPr>
      <t xml:space="preserve"> – Посочете образователно-квалификационната степен: бакалавър или магистър. В случай, че курсът е включен в учебните планове на програми за обучение и за ОКС "бакалавър", и за ОКС "магистър", посочете "няколко".</t>
    </r>
  </si>
  <si>
    <r>
      <rPr>
        <b/>
        <sz val="11"/>
        <color theme="1"/>
        <rFont val="Arial Narrow"/>
        <family val="2"/>
        <charset val="204"/>
      </rPr>
      <t>Специалност / Магистърска програма</t>
    </r>
    <r>
      <rPr>
        <sz val="11"/>
        <color theme="1"/>
        <rFont val="Arial Narrow"/>
        <family val="2"/>
        <charset val="204"/>
      </rPr>
      <t xml:space="preserve"> – Посочете пълното наименование на програмите за обучение, в които е включен курса.</t>
    </r>
  </si>
  <si>
    <r>
      <rPr>
        <b/>
        <sz val="11"/>
        <color theme="1"/>
        <rFont val="Arial Narrow"/>
        <family val="2"/>
        <charset val="204"/>
      </rPr>
      <t>Факултет</t>
    </r>
    <r>
      <rPr>
        <sz val="11"/>
        <color theme="1"/>
        <rFont val="Arial Narrow"/>
        <family val="2"/>
        <charset val="204"/>
      </rPr>
      <t xml:space="preserve"> – Посочете факултета, в чийто учебен план е включен курсът. В случай, че курсът е включен в няколко учебни плана към няколко факултета, можете да посочите "няколко".</t>
    </r>
  </si>
  <si>
    <r>
      <t xml:space="preserve">Форма на обучение (р.об. </t>
    </r>
    <r>
      <rPr>
        <sz val="11"/>
        <color theme="1"/>
        <rFont val="Arial Narrow"/>
        <family val="2"/>
        <charset val="204"/>
      </rPr>
      <t>- редовно обучение,</t>
    </r>
    <r>
      <rPr>
        <b/>
        <sz val="11"/>
        <color theme="1"/>
        <rFont val="Arial Narrow"/>
        <family val="2"/>
        <charset val="204"/>
      </rPr>
      <t xml:space="preserve"> з.об. </t>
    </r>
    <r>
      <rPr>
        <sz val="11"/>
        <color theme="1"/>
        <rFont val="Arial Narrow"/>
        <family val="2"/>
        <charset val="204"/>
      </rPr>
      <t>- задочно обучение,</t>
    </r>
    <r>
      <rPr>
        <b/>
        <sz val="11"/>
        <color theme="1"/>
        <rFont val="Arial Narrow"/>
        <family val="2"/>
        <charset val="204"/>
      </rPr>
      <t xml:space="preserve"> д.об.</t>
    </r>
    <r>
      <rPr>
        <sz val="11"/>
        <color theme="1"/>
        <rFont val="Arial Narrow"/>
        <family val="2"/>
        <charset val="204"/>
      </rPr>
      <t xml:space="preserve"> - дистанционно обучение,</t>
    </r>
    <r>
      <rPr>
        <b/>
        <sz val="11"/>
        <color theme="1"/>
        <rFont val="Arial Narrow"/>
        <family val="2"/>
        <charset val="204"/>
      </rPr>
      <t xml:space="preserve"> ИП </t>
    </r>
    <r>
      <rPr>
        <sz val="11"/>
        <color theme="1"/>
        <rFont val="Arial Narrow"/>
        <family val="2"/>
        <charset val="204"/>
      </rPr>
      <t>- обучение по индивидуален план</t>
    </r>
    <r>
      <rPr>
        <b/>
        <sz val="11"/>
        <color theme="1"/>
        <rFont val="Arial Narrow"/>
        <family val="2"/>
        <charset val="204"/>
      </rPr>
      <t xml:space="preserve">) – ЗАДЪЛЖИТЕЛНО </t>
    </r>
    <r>
      <rPr>
        <sz val="11"/>
        <color theme="1"/>
        <rFont val="Arial Narrow"/>
        <family val="2"/>
        <charset val="204"/>
      </rPr>
      <t>посочете формата на обучение</t>
    </r>
    <r>
      <rPr>
        <b/>
        <sz val="11"/>
        <color theme="1"/>
        <rFont val="Arial Narrow"/>
        <family val="2"/>
        <charset val="204"/>
      </rPr>
      <t>.</t>
    </r>
  </si>
  <si>
    <r>
      <rPr>
        <b/>
        <sz val="11"/>
        <color theme="1"/>
        <rFont val="Arial Narrow"/>
        <family val="2"/>
        <charset val="204"/>
      </rPr>
      <t>Вид</t>
    </r>
    <r>
      <rPr>
        <sz val="11"/>
        <color theme="1"/>
        <rFont val="Arial Narrow"/>
        <family val="2"/>
        <charset val="204"/>
      </rPr>
      <t xml:space="preserve"> (</t>
    </r>
    <r>
      <rPr>
        <b/>
        <sz val="11"/>
        <color theme="1"/>
        <rFont val="Arial Narrow"/>
        <family val="2"/>
        <charset val="204"/>
      </rPr>
      <t>З</t>
    </r>
    <r>
      <rPr>
        <sz val="11"/>
        <color theme="1"/>
        <rFont val="Arial Narrow"/>
        <family val="2"/>
        <charset val="204"/>
      </rPr>
      <t xml:space="preserve"> - задължителен, </t>
    </r>
    <r>
      <rPr>
        <b/>
        <sz val="11"/>
        <color theme="1"/>
        <rFont val="Arial Narrow"/>
        <family val="2"/>
        <charset val="204"/>
      </rPr>
      <t>И</t>
    </r>
    <r>
      <rPr>
        <sz val="11"/>
        <color theme="1"/>
        <rFont val="Arial Narrow"/>
        <family val="2"/>
        <charset val="204"/>
      </rPr>
      <t xml:space="preserve"> - избираем и </t>
    </r>
    <r>
      <rPr>
        <b/>
        <sz val="11"/>
        <color theme="1"/>
        <rFont val="Arial Narrow"/>
        <family val="2"/>
        <charset val="204"/>
      </rPr>
      <t>Ф</t>
    </r>
    <r>
      <rPr>
        <sz val="11"/>
        <color theme="1"/>
        <rFont val="Arial Narrow"/>
        <family val="2"/>
        <charset val="204"/>
      </rPr>
      <t xml:space="preserve"> - факултативен) – Посочете вида на курса.</t>
    </r>
  </si>
  <si>
    <r>
      <rPr>
        <b/>
        <sz val="11"/>
        <color theme="1"/>
        <rFont val="Arial Narrow"/>
        <family val="2"/>
        <charset val="204"/>
      </rPr>
      <t>Лекции, Семинарни упр., Практически упр.</t>
    </r>
    <r>
      <rPr>
        <sz val="11"/>
        <color theme="1"/>
        <rFont val="Arial Narrow"/>
        <family val="2"/>
        <charset val="204"/>
      </rPr>
      <t xml:space="preserve"> – Посочете предвидения по съответната дисциплина хорариум.</t>
    </r>
  </si>
  <si>
    <t>ел. учебни ресурси</t>
  </si>
  <si>
    <t>пФормаОб</t>
  </si>
  <si>
    <t>пСеместър</t>
  </si>
  <si>
    <r>
      <rPr>
        <b/>
        <sz val="11"/>
        <color theme="1"/>
        <rFont val="Arial Narrow"/>
        <family val="2"/>
        <charset val="204"/>
      </rPr>
      <t>Семестър</t>
    </r>
    <r>
      <rPr>
        <sz val="11"/>
        <color theme="1"/>
        <rFont val="Arial Narrow"/>
        <family val="2"/>
        <charset val="204"/>
      </rPr>
      <t xml:space="preserve"> – Посочете семестъра, от който стартира предлагането на разработения курс - зимен или летен. В случай, че оставите полето празно, дейността няма да се калкулира.</t>
    </r>
  </si>
  <si>
    <r>
      <rPr>
        <b/>
        <sz val="11"/>
        <color theme="1"/>
        <rFont val="Arial Narrow"/>
        <family val="2"/>
        <charset val="204"/>
      </rPr>
      <t>Дейност</t>
    </r>
    <r>
      <rPr>
        <sz val="11"/>
        <color theme="1"/>
        <rFont val="Arial Narrow"/>
        <family val="2"/>
        <charset val="204"/>
      </rPr>
      <t xml:space="preserve"> (</t>
    </r>
    <r>
      <rPr>
        <b/>
        <sz val="11"/>
        <color theme="1"/>
        <rFont val="Arial Narrow"/>
        <family val="2"/>
        <charset val="204"/>
      </rPr>
      <t>нов курс</t>
    </r>
    <r>
      <rPr>
        <sz val="11"/>
        <color theme="1"/>
        <rFont val="Arial Narrow"/>
        <family val="2"/>
        <charset val="204"/>
      </rPr>
      <t xml:space="preserve"> – подготовка/дизайн на нов курс, </t>
    </r>
    <r>
      <rPr>
        <b/>
        <sz val="11"/>
        <color theme="1"/>
        <rFont val="Arial Narrow"/>
        <family val="2"/>
        <charset val="204"/>
      </rPr>
      <t>ел. учебни ресурси</t>
    </r>
    <r>
      <rPr>
        <sz val="11"/>
        <color theme="1"/>
        <rFont val="Arial Narrow"/>
        <family val="2"/>
        <charset val="204"/>
      </rPr>
      <t xml:space="preserve"> – подготовка/дизайн на електронни учебни ресурси за нов курс, </t>
    </r>
    <r>
      <rPr>
        <b/>
        <sz val="11"/>
        <color theme="1"/>
        <rFont val="Arial Narrow"/>
        <family val="2"/>
        <charset val="204"/>
      </rPr>
      <t>актуализация</t>
    </r>
    <r>
      <rPr>
        <sz val="11"/>
        <color theme="1"/>
        <rFont val="Arial Narrow"/>
        <family val="2"/>
        <charset val="204"/>
      </rPr>
      <t xml:space="preserve"> – актуализация на курс) – Посочете дейността, която планирате.</t>
    </r>
  </si>
  <si>
    <r>
      <rPr>
        <b/>
        <sz val="12"/>
        <color theme="1"/>
        <rFont val="Arial Narrow"/>
        <family val="2"/>
        <charset val="204"/>
      </rPr>
      <t>Брой участници в екип</t>
    </r>
    <r>
      <rPr>
        <sz val="11"/>
        <color theme="1"/>
        <rFont val="Arial Narrow"/>
        <family val="2"/>
        <charset val="204"/>
      </rPr>
      <t xml:space="preserve"> – Посочете броя участници в екипа, подготвящ курса/електронните учебни материали. В общия брой не се включват лицата, които са ангажирани единствено с административни дейности.
</t>
    </r>
    <r>
      <rPr>
        <b/>
        <u/>
        <sz val="11"/>
        <color rgb="FFFF0000"/>
        <rFont val="Arial Narrow"/>
        <family val="2"/>
        <charset val="204"/>
      </rPr>
      <t>За да се калкулира заетостта Ви по дейността, посоченият брой участници в екип трябва да е по-голям или равен на 1!</t>
    </r>
  </si>
  <si>
    <r>
      <rPr>
        <b/>
        <sz val="12"/>
        <color theme="1"/>
        <rFont val="Arial Narrow"/>
        <family val="2"/>
        <charset val="204"/>
      </rPr>
      <t xml:space="preserve">Дисциплина / Наименование на курс </t>
    </r>
    <r>
      <rPr>
        <sz val="11"/>
        <color theme="1"/>
        <rFont val="Arial Narrow"/>
        <family val="2"/>
        <charset val="204"/>
      </rPr>
      <t>– Посочете пълното наименование на дисциплината/курса.</t>
    </r>
  </si>
  <si>
    <t>Брой кандДок</t>
  </si>
  <si>
    <t>Програма</t>
  </si>
  <si>
    <r>
      <rPr>
        <b/>
        <i/>
        <sz val="11"/>
        <rFont val="Arial"/>
        <family val="2"/>
        <charset val="204"/>
      </rPr>
      <t>***</t>
    </r>
    <r>
      <rPr>
        <i/>
        <sz val="11"/>
        <rFont val="Arial"/>
        <family val="2"/>
        <charset val="204"/>
      </rPr>
      <t xml:space="preserve"> Часовете могат да бъдат отчетени като аудиторна заетост по този ред, ако вече не са включени в ред 2. Упражнения.</t>
    </r>
  </si>
  <si>
    <r>
      <rPr>
        <b/>
        <sz val="12"/>
        <color theme="1"/>
        <rFont val="Arial Narrow"/>
        <family val="2"/>
        <charset val="204"/>
      </rPr>
      <t>Специалност</t>
    </r>
    <r>
      <rPr>
        <sz val="12"/>
        <color theme="1"/>
        <rFont val="Arial Narrow"/>
        <family val="2"/>
        <charset val="204"/>
      </rPr>
      <t xml:space="preserve"> - Попълнете специалността, в която преподавате съответната дисциплина.  
При преподаване в поток, можете да добавите допълнителни пояснения в графата. В този случай, подробно попълнете и </t>
    </r>
    <r>
      <rPr>
        <b/>
        <sz val="12"/>
        <color theme="1"/>
        <rFont val="Arial Narrow"/>
        <family val="2"/>
        <charset val="204"/>
      </rPr>
      <t>таблица 4. Слети четения и четения в поток.</t>
    </r>
    <r>
      <rPr>
        <sz val="12"/>
        <color theme="1"/>
        <rFont val="Arial Narrow"/>
        <family val="2"/>
        <charset val="204"/>
      </rPr>
      <t xml:space="preserve">
При преподаване по индивидуален уч. план, запишете това в графата.
При включени студенти по програма "Еразъм", може да добавите допълнително пояснение за това в графата. В този случай, подробно попълнете и </t>
    </r>
    <r>
      <rPr>
        <b/>
        <sz val="12"/>
        <color theme="1"/>
        <rFont val="Arial Narrow"/>
        <family val="2"/>
        <charset val="204"/>
      </rPr>
      <t>таблица 4. Слети четения и четения в поток.</t>
    </r>
  </si>
  <si>
    <r>
      <rPr>
        <b/>
        <sz val="12"/>
        <color theme="1"/>
        <rFont val="Arial Narrow"/>
        <family val="2"/>
        <charset val="204"/>
      </rPr>
      <t>Факултет</t>
    </r>
    <r>
      <rPr>
        <sz val="12"/>
        <color theme="1"/>
        <rFont val="Arial Narrow"/>
        <family val="2"/>
        <charset val="204"/>
      </rPr>
      <t xml:space="preserve"> - Посочете факултета, към който е специалността, в която преподавате.
При преподаване в поток с включени студенти от няколко факултета, изберете опцията "Няколко". В този случай, подробно попълнете таблица </t>
    </r>
    <r>
      <rPr>
        <b/>
        <sz val="12"/>
        <color theme="1"/>
        <rFont val="Arial Narrow"/>
        <family val="2"/>
        <charset val="204"/>
      </rPr>
      <t xml:space="preserve">таблица 4. Слети четения и четения </t>
    </r>
    <r>
      <rPr>
        <b/>
        <sz val="12"/>
        <rFont val="Arial Narrow"/>
        <family val="2"/>
        <charset val="204"/>
      </rPr>
      <t>в поток</t>
    </r>
    <r>
      <rPr>
        <b/>
        <sz val="12"/>
        <color rgb="FF0070C0"/>
        <rFont val="Arial Narrow"/>
        <family val="2"/>
        <charset val="204"/>
      </rPr>
      <t>.</t>
    </r>
  </si>
  <si>
    <r>
      <rPr>
        <b/>
        <sz val="12"/>
        <rFont val="Arial Narrow"/>
        <family val="2"/>
        <charset val="204"/>
      </rPr>
      <t xml:space="preserve">Студенти бр. </t>
    </r>
    <r>
      <rPr>
        <sz val="12"/>
        <rFont val="Arial Narrow"/>
        <family val="2"/>
        <charset val="204"/>
      </rPr>
      <t xml:space="preserve">– ЗАДЪЛЖИТЕЛНО посочете броя студенти в потока/групата. При преподаване в поток, задължително попълнете и </t>
    </r>
    <r>
      <rPr>
        <b/>
        <sz val="12"/>
        <rFont val="Arial Narrow"/>
        <family val="2"/>
        <charset val="204"/>
      </rPr>
      <t>таблица 4. Слети четения и четения в поток.</t>
    </r>
  </si>
  <si>
    <r>
      <rPr>
        <b/>
        <sz val="12"/>
        <color theme="1"/>
        <rFont val="Arial Narrow"/>
        <family val="2"/>
      </rPr>
      <t>Магистърска програма</t>
    </r>
    <r>
      <rPr>
        <sz val="12"/>
        <color theme="1"/>
        <rFont val="Arial Narrow"/>
        <family val="2"/>
      </rPr>
      <t xml:space="preserve"> - Попълнете магистърската програма, в която преподавате съответната дисциплина.  
В случай на слети четения или при преподаване в поток, посочете слети четения, можете да добавите допълнителни пояснения в графата. В този случай, подробно попълнете</t>
    </r>
    <r>
      <rPr>
        <b/>
        <sz val="12"/>
        <color theme="1"/>
        <rFont val="Arial Narrow"/>
        <family val="2"/>
      </rPr>
      <t xml:space="preserve"> таблица 4. Слети четения и четения в поток</t>
    </r>
    <r>
      <rPr>
        <sz val="12"/>
        <color theme="1"/>
        <rFont val="Arial Narrow"/>
        <family val="2"/>
      </rPr>
      <t>.
При преподаване по индивидуален учебен план, запишете това в графата.
При включени студенти по програма "Еразъм", може да добавите допълнително пояснение за това в графата. В този случай, подробно попълнете и</t>
    </r>
    <r>
      <rPr>
        <b/>
        <sz val="12"/>
        <rFont val="Arial Narrow"/>
        <family val="2"/>
      </rPr>
      <t xml:space="preserve"> таблица 4. Слети четения и четения в поток</t>
    </r>
    <r>
      <rPr>
        <b/>
        <sz val="12"/>
        <color theme="1"/>
        <rFont val="Arial Narrow"/>
        <family val="2"/>
      </rPr>
      <t>.</t>
    </r>
  </si>
  <si>
    <r>
      <rPr>
        <b/>
        <sz val="12"/>
        <color theme="1"/>
        <rFont val="Arial Narrow"/>
        <family val="2"/>
      </rPr>
      <t>Факултет</t>
    </r>
    <r>
      <rPr>
        <sz val="12"/>
        <color theme="1"/>
        <rFont val="Arial Narrow"/>
        <family val="2"/>
      </rPr>
      <t xml:space="preserve"> - Посочете факултета, към който е програмата, в която преподавате.
При преподаване в поток с включени студенти от няколко факултета, изберете опцията "Няколко". В този случай, подробно попълнете </t>
    </r>
    <r>
      <rPr>
        <b/>
        <sz val="12"/>
        <color theme="1"/>
        <rFont val="Arial Narrow"/>
        <family val="2"/>
      </rPr>
      <t>таблица 4. Слети четения и четения в поток.</t>
    </r>
  </si>
  <si>
    <r>
      <rPr>
        <b/>
        <sz val="12"/>
        <rFont val="Arial Narrow"/>
        <family val="2"/>
      </rPr>
      <t>Вид</t>
    </r>
    <r>
      <rPr>
        <sz val="12"/>
        <rFont val="Arial Narrow"/>
        <family val="2"/>
      </rPr>
      <t xml:space="preserve"> </t>
    </r>
    <r>
      <rPr>
        <sz val="12"/>
        <rFont val="Arial Narrow"/>
        <family val="2"/>
        <charset val="204"/>
      </rPr>
      <t>(</t>
    </r>
    <r>
      <rPr>
        <b/>
        <sz val="12"/>
        <rFont val="Arial Narrow"/>
        <family val="2"/>
        <charset val="204"/>
      </rPr>
      <t xml:space="preserve">З </t>
    </r>
    <r>
      <rPr>
        <sz val="12"/>
        <rFont val="Arial Narrow"/>
        <family val="2"/>
        <charset val="204"/>
      </rPr>
      <t xml:space="preserve">- задължителна дисциплина, </t>
    </r>
    <r>
      <rPr>
        <b/>
        <sz val="12"/>
        <rFont val="Arial Narrow"/>
        <family val="2"/>
        <charset val="204"/>
      </rPr>
      <t xml:space="preserve">И </t>
    </r>
    <r>
      <rPr>
        <sz val="12"/>
        <rFont val="Arial Narrow"/>
        <family val="2"/>
        <charset val="204"/>
      </rPr>
      <t xml:space="preserve">- избираема дисциплина, </t>
    </r>
    <r>
      <rPr>
        <b/>
        <sz val="12"/>
        <rFont val="Arial Narrow"/>
        <family val="2"/>
        <charset val="204"/>
      </rPr>
      <t xml:space="preserve">Ф </t>
    </r>
    <r>
      <rPr>
        <sz val="12"/>
        <rFont val="Arial Narrow"/>
        <family val="2"/>
        <charset val="204"/>
      </rPr>
      <t>- факултативна дисциплина)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 xml:space="preserve">- ЗАДЪЛЖИТЕЛНО посочете вида на дисциплината, съгласно учебния план на специалността.
При преподаване в поток, опцията </t>
    </r>
    <r>
      <rPr>
        <b/>
        <sz val="12"/>
        <rFont val="Arial Narrow"/>
        <family val="2"/>
      </rPr>
      <t>З</t>
    </r>
    <r>
      <rPr>
        <sz val="12"/>
        <rFont val="Arial Narrow"/>
        <family val="2"/>
      </rPr>
      <t xml:space="preserve"> се посочва, ако за поне една от специалностите/магистърските програми, включени в потока дисциплината е задължителна. В този случай, подробно попълнете </t>
    </r>
    <r>
      <rPr>
        <b/>
        <sz val="12"/>
        <rFont val="Arial Narrow"/>
        <family val="2"/>
      </rPr>
      <t>таблица 4. Слети четения и четения в поток.</t>
    </r>
  </si>
  <si>
    <r>
      <rPr>
        <b/>
        <sz val="12"/>
        <rFont val="Arial Narrow"/>
        <family val="2"/>
      </rPr>
      <t xml:space="preserve">Студенти бр. </t>
    </r>
    <r>
      <rPr>
        <sz val="12"/>
        <rFont val="Arial Narrow"/>
        <family val="2"/>
      </rPr>
      <t xml:space="preserve">– ЗАДЪЛЖИТЕЛНО посочете броя студенти в потока/групата. При преподаване в поток, задължително попълнете и </t>
    </r>
    <r>
      <rPr>
        <b/>
        <sz val="12"/>
        <rFont val="Arial Narrow"/>
        <family val="2"/>
        <charset val="204"/>
      </rPr>
      <t>таблица 4. Слети четения и четения в поток</t>
    </r>
    <r>
      <rPr>
        <sz val="12"/>
        <rFont val="Arial Narrow"/>
        <family val="2"/>
      </rPr>
      <t>.</t>
    </r>
  </si>
  <si>
    <r>
      <rPr>
        <b/>
        <sz val="12"/>
        <rFont val="Arial Narrow"/>
        <family val="2"/>
      </rPr>
      <t>Дисциплина</t>
    </r>
    <r>
      <rPr>
        <sz val="12"/>
        <rFont val="Arial Narrow"/>
        <family val="2"/>
      </rPr>
      <t xml:space="preserve"> - Попълнете наименованието на преподаваната от Вас дисциплина. При необходимост, може да добавите допълнително пояснение (Пример: на английски език, по инд. план и др.)</t>
    </r>
  </si>
  <si>
    <r>
      <rPr>
        <b/>
        <sz val="12"/>
        <color rgb="FFFF0000"/>
        <rFont val="Arial Narrow"/>
        <family val="2"/>
        <charset val="204"/>
      </rPr>
      <t>Проведени часове ЛЕКЦИИ и УПРАЖНЕНИЯ</t>
    </r>
    <r>
      <rPr>
        <sz val="12"/>
        <color rgb="FFFF0000"/>
        <rFont val="Arial Narrow"/>
        <family val="2"/>
        <charset val="204"/>
      </rPr>
      <t xml:space="preserve"> - посочете възложените/проведените часове. Не приравнявайте към часове упражнения! Не прилагайте коефициенти за по-малък брой студенти!</t>
    </r>
  </si>
  <si>
    <t>2019-2020-IO-1-FMI-OMI-XxxxxYyyyy</t>
  </si>
  <si>
    <r>
      <rPr>
        <b/>
        <sz val="11"/>
        <color theme="1"/>
        <rFont val="Arial"/>
        <family val="2"/>
        <charset val="204"/>
      </rPr>
      <t>2.</t>
    </r>
    <r>
      <rPr>
        <sz val="11"/>
        <color theme="1"/>
        <rFont val="Arial"/>
        <family val="2"/>
        <charset val="204"/>
      </rPr>
      <t xml:space="preserve"> За провеждане на лекции, по решение на ФС, студентите се разпределят в потоци.
В  зависимост от характера на курса и условията (капацитет и брой на аудиториите), максималният брой студенти в един поток не трябва да надвишава 140.
При специалности с брой на студентите по-малък от 50-60 и при налични условия, обучението да се извършва в един поток.
</t>
    </r>
    <r>
      <rPr>
        <b/>
        <sz val="11"/>
        <color theme="1"/>
        <rFont val="Arial"/>
        <family val="2"/>
        <charset val="204"/>
      </rPr>
      <t>3.</t>
    </r>
    <r>
      <rPr>
        <sz val="11"/>
        <color theme="1"/>
        <rFont val="Arial"/>
        <family val="2"/>
        <charset val="204"/>
      </rPr>
      <t xml:space="preserve"> Броят на студентите в една учебна група за провеждане на упражнения от “семинарен тип” е 20-22, като упражнения от “семинарен тип” са всички практически упражнения, извършването, на които не се нуждае от изследователска лабораторна апаратура.
</t>
    </r>
    <r>
      <rPr>
        <b/>
        <sz val="11"/>
        <color theme="1"/>
        <rFont val="Arial"/>
        <family val="2"/>
        <charset val="204"/>
      </rPr>
      <t xml:space="preserve">4а. </t>
    </r>
    <r>
      <rPr>
        <sz val="11"/>
        <color theme="1"/>
        <rFont val="Arial"/>
        <family val="2"/>
        <charset val="204"/>
      </rPr>
      <t>Броят на студентите в една група по предклинични дисциплини и лабораторни упражнения е 8-10 души.</t>
    </r>
    <r>
      <rPr>
        <b/>
        <sz val="11"/>
        <color theme="1"/>
        <rFont val="Arial"/>
        <family val="2"/>
        <charset val="204"/>
      </rPr>
      <t xml:space="preserve">
4б. </t>
    </r>
    <r>
      <rPr>
        <sz val="11"/>
        <color theme="1"/>
        <rFont val="Arial"/>
        <family val="2"/>
        <charset val="204"/>
      </rPr>
      <t xml:space="preserve">Броят на студентите в една група по хоспитиране и текуща педагогическа практика е 6-10 души.
</t>
    </r>
    <r>
      <rPr>
        <b/>
        <sz val="11"/>
        <color theme="1"/>
        <rFont val="Arial"/>
        <family val="2"/>
        <charset val="204"/>
      </rPr>
      <t>5.</t>
    </r>
    <r>
      <rPr>
        <sz val="11"/>
        <color theme="1"/>
        <rFont val="Arial"/>
        <family val="2"/>
        <charset val="204"/>
      </rPr>
      <t xml:space="preserve"> Броят на студентите в една клинична група е 4 – 5 души.
</t>
    </r>
    <r>
      <rPr>
        <b/>
        <sz val="11"/>
        <color theme="1"/>
        <rFont val="Arial"/>
        <family val="2"/>
        <charset val="204"/>
      </rPr>
      <t>6.</t>
    </r>
    <r>
      <rPr>
        <sz val="11"/>
        <color theme="1"/>
        <rFont val="Arial"/>
        <family val="2"/>
        <charset val="204"/>
      </rPr>
      <t xml:space="preserve"> Броят на студентите в група за чуждоезиково обучение е 12-15 души.</t>
    </r>
  </si>
  <si>
    <t>Преддипл. стаж/п-ка</t>
  </si>
  <si>
    <t/>
  </si>
  <si>
    <t>Бакалавър</t>
  </si>
  <si>
    <t>Магистър</t>
  </si>
  <si>
    <t>Доктор</t>
  </si>
  <si>
    <t>1. Семестър</t>
  </si>
  <si>
    <t>2. Sheets - Show, Hide</t>
  </si>
  <si>
    <t>3. Column - Show, Hide</t>
  </si>
  <si>
    <t>4. Rows - Show, Hide</t>
  </si>
  <si>
    <t>5. Table Header - Show, Hide</t>
  </si>
  <si>
    <t>Генериране на Шаблон</t>
  </si>
  <si>
    <t>Row_Бакалавър_План</t>
  </si>
  <si>
    <t>Row_Бакалавър_План_Hide</t>
  </si>
  <si>
    <t>Col_Hide_1_ОтчетЗЛ</t>
  </si>
  <si>
    <t>Col_Hide_1_План</t>
  </si>
  <si>
    <t>Col_Hide_2_ОКС_Бакалавър</t>
  </si>
  <si>
    <t>Col_Hide_3_ОКС_Магистър</t>
  </si>
  <si>
    <t>Col_Hide_4_ОНС_Доктор</t>
  </si>
  <si>
    <t>Col_Hide_5_Подготовка_курс</t>
  </si>
  <si>
    <t>Row_Бакалавър_Table_Header</t>
  </si>
  <si>
    <t>Row_Бакалавър_Зимен_семестър</t>
  </si>
  <si>
    <t>Row_Бакалавър_Летен_семестър</t>
  </si>
  <si>
    <t>Row_Магистър_Table_Header</t>
  </si>
  <si>
    <t>Row_Магистър_Зимен_семестър</t>
  </si>
  <si>
    <t>Row_Магистър_Летен_семестър</t>
  </si>
  <si>
    <t>Row_Магистър_План</t>
  </si>
  <si>
    <t>Row_Магистър_План_Hide</t>
  </si>
  <si>
    <t>План, Зимен, Летен, Септември</t>
  </si>
  <si>
    <t>h</t>
  </si>
  <si>
    <t>s</t>
  </si>
  <si>
    <t>ShowHide</t>
  </si>
  <si>
    <t>1. План</t>
  </si>
  <si>
    <t>2. ОКС "бакалавър"</t>
  </si>
  <si>
    <t>3. ОКС "магистър"</t>
  </si>
  <si>
    <t>4. ОНС "доктор"</t>
  </si>
  <si>
    <t>5. Подготовка на курс</t>
  </si>
  <si>
    <t>Зимен, Летен, Септември</t>
  </si>
  <si>
    <t>1. Отчет</t>
  </si>
  <si>
    <t>Col</t>
  </si>
  <si>
    <t>Sheet</t>
  </si>
  <si>
    <t>Object</t>
  </si>
  <si>
    <t>Name</t>
  </si>
  <si>
    <t>0. Академична Година</t>
  </si>
  <si>
    <t>2020/2021</t>
  </si>
  <si>
    <t>2021/2022</t>
  </si>
  <si>
    <t>2022/2023</t>
  </si>
  <si>
    <t>Row</t>
  </si>
  <si>
    <t xml:space="preserve"> Летен</t>
  </si>
  <si>
    <t>Row_Бакалавър_Септември</t>
  </si>
  <si>
    <t>Row_Магистър_Септември</t>
  </si>
  <si>
    <t>Row_Магистър_Отчет_Hide</t>
  </si>
  <si>
    <t>Row_Бакалавър_Отчет_Hide</t>
  </si>
  <si>
    <t>Print</t>
  </si>
  <si>
    <t>set</t>
  </si>
  <si>
    <t>Print_2_Бакалавър_План</t>
  </si>
  <si>
    <t>Print_3_Магистър_План</t>
  </si>
  <si>
    <t>Print_2_Бакалавър_Зимен</t>
  </si>
  <si>
    <t>Print_3_Магистър_Зимен</t>
  </si>
  <si>
    <t>Print_2_Бакалавър_Летен</t>
  </si>
  <si>
    <t>Print_3_Магистър_Летен</t>
  </si>
  <si>
    <t>Print_2_Бакалавър_Септември</t>
  </si>
  <si>
    <t>Print_3_Магистър_Септември</t>
  </si>
  <si>
    <t>ДЕПАРТАМЕНТ ПО СПОРТ</t>
  </si>
  <si>
    <t>кДейност</t>
  </si>
  <si>
    <t>кЧасове</t>
  </si>
  <si>
    <t>код</t>
  </si>
  <si>
    <t>пПразни</t>
  </si>
  <si>
    <t>уФорматиране</t>
  </si>
  <si>
    <t>пЛ_У</t>
  </si>
  <si>
    <t>пДисциплина</t>
  </si>
  <si>
    <t>пДокторанти</t>
  </si>
  <si>
    <t>чУпр</t>
  </si>
  <si>
    <t>Row_Бакалавър_Hide</t>
  </si>
  <si>
    <t>Row_Магистър_Hide</t>
  </si>
  <si>
    <r>
      <rPr>
        <b/>
        <sz val="12"/>
        <color theme="1"/>
        <rFont val="Arial Narrow"/>
        <family val="2"/>
      </rPr>
      <t>Брой курсови работи</t>
    </r>
    <r>
      <rPr>
        <sz val="12"/>
        <color theme="1"/>
        <rFont val="Arial Narrow"/>
        <family val="2"/>
      </rPr>
      <t xml:space="preserve"> - Посочва се броят на предвидените по учебен план ръководства на курсови работи. </t>
    </r>
    <r>
      <rPr>
        <sz val="12"/>
        <color rgb="FFFF0000"/>
        <rFont val="Arial Narrow"/>
        <family val="2"/>
      </rPr>
      <t xml:space="preserve"> Веднъж отчетени към дадена дисциплина курсови работи не се отчитат и в </t>
    </r>
    <r>
      <rPr>
        <b/>
        <sz val="12"/>
        <color rgb="FFFF0000"/>
        <rFont val="Arial Narrow"/>
        <family val="2"/>
      </rPr>
      <t xml:space="preserve">таблица (1.2./ 2.2.) ОКС "магистър" след придобита образователно-квалификационна степен на висшето образование - практики и курсови работи – (ЗИМЕН / ЛЕТЕН) семестър </t>
    </r>
  </si>
  <si>
    <r>
      <rPr>
        <b/>
        <sz val="12"/>
        <color theme="1"/>
        <rFont val="Arial Narrow"/>
        <family val="2"/>
        <charset val="204"/>
      </rPr>
      <t>Брой курсови работи</t>
    </r>
    <r>
      <rPr>
        <sz val="12"/>
        <color theme="1"/>
        <rFont val="Arial Narrow"/>
        <family val="2"/>
        <charset val="204"/>
      </rPr>
      <t xml:space="preserve"> - Посочва се броят на предвидените по учебен план ръководства на курсови работи. </t>
    </r>
    <r>
      <rPr>
        <sz val="12"/>
        <color rgb="FFFF0000"/>
        <rFont val="Arial Narrow"/>
        <family val="2"/>
        <charset val="204"/>
      </rPr>
      <t xml:space="preserve"> Веднъж отчетени към дадена дисциплина курсови работи не се отчитат и в </t>
    </r>
    <r>
      <rPr>
        <b/>
        <sz val="12"/>
        <color rgb="FFFF0000"/>
        <rFont val="Arial Narrow"/>
        <family val="2"/>
        <charset val="204"/>
      </rPr>
      <t xml:space="preserve">таблица (1. / 2.) ОКС "бакалавър" и "магистър" след средно образование – практики и курсови работи – ЛЕТЕН семестър </t>
    </r>
  </si>
  <si>
    <r>
      <rPr>
        <b/>
        <sz val="12"/>
        <color theme="1"/>
        <rFont val="Arial Narrow"/>
        <family val="2"/>
      </rPr>
      <t>Брой курсови работи</t>
    </r>
    <r>
      <rPr>
        <sz val="12"/>
        <color theme="1"/>
        <rFont val="Arial Narrow"/>
        <family val="2"/>
      </rPr>
      <t xml:space="preserve"> - Посочва се броят на предвидените по учебен план ръководства на курсови работи. </t>
    </r>
    <r>
      <rPr>
        <sz val="12"/>
        <color rgb="FFFF0000"/>
        <rFont val="Arial Narrow"/>
        <family val="2"/>
      </rPr>
      <t xml:space="preserve"> Веднъж отчетени към дадена дисциплина курсови работи не се отчитат и в </t>
    </r>
    <r>
      <rPr>
        <b/>
        <sz val="12"/>
        <color rgb="FFFF0000"/>
        <rFont val="Arial Narrow"/>
        <family val="2"/>
      </rPr>
      <t xml:space="preserve">таблица (1. / 2.) ОКС "магистър" след придобита образователно-квалификационна степен на висшето образование – практики и курсови работи – ЛЕТЕН семестър </t>
    </r>
  </si>
  <si>
    <r>
      <rPr>
        <b/>
        <i/>
        <sz val="12"/>
        <color theme="1"/>
        <rFont val="Arial"/>
        <family val="2"/>
        <charset val="204"/>
      </rPr>
      <t>1.</t>
    </r>
    <r>
      <rPr>
        <i/>
        <sz val="12"/>
        <color theme="1"/>
        <rFont val="Arial"/>
        <family val="2"/>
        <charset val="204"/>
      </rPr>
      <t>  Лекции</t>
    </r>
  </si>
  <si>
    <r>
      <rPr>
        <b/>
        <i/>
        <sz val="12"/>
        <color theme="1"/>
        <rFont val="Arial"/>
        <family val="2"/>
        <charset val="204"/>
      </rPr>
      <t>2.</t>
    </r>
    <r>
      <rPr>
        <i/>
        <sz val="12"/>
        <color theme="1"/>
        <rFont val="Arial"/>
        <family val="2"/>
        <charset val="204"/>
      </rPr>
      <t>  Упражнения</t>
    </r>
  </si>
  <si>
    <r>
      <rPr>
        <b/>
        <i/>
        <sz val="12"/>
        <color theme="1"/>
        <rFont val="Arial"/>
        <family val="2"/>
        <charset val="204"/>
      </rPr>
      <t>3.</t>
    </r>
    <r>
      <rPr>
        <i/>
        <sz val="12"/>
        <color theme="1"/>
        <rFont val="Arial"/>
        <family val="2"/>
        <charset val="204"/>
      </rPr>
      <t>  Лекции на чужд език</t>
    </r>
  </si>
  <si>
    <r>
      <rPr>
        <b/>
        <i/>
        <sz val="12"/>
        <color theme="1"/>
        <rFont val="Arial"/>
        <family val="2"/>
        <charset val="204"/>
      </rPr>
      <t>4.</t>
    </r>
    <r>
      <rPr>
        <i/>
        <sz val="12"/>
        <color theme="1"/>
        <rFont val="Arial"/>
        <family val="2"/>
        <charset val="204"/>
      </rPr>
      <t>  Упражнения на чужд език</t>
    </r>
  </si>
  <si>
    <r>
      <rPr>
        <b/>
        <i/>
        <sz val="12"/>
        <color theme="1"/>
        <rFont val="Arial"/>
        <family val="2"/>
        <charset val="204"/>
      </rPr>
      <t>1.</t>
    </r>
    <r>
      <rPr>
        <i/>
        <sz val="12"/>
        <color theme="1"/>
        <rFont val="Arial"/>
        <family val="2"/>
        <charset val="204"/>
      </rPr>
      <t>  Учебна и педагогическа практика *</t>
    </r>
  </si>
  <si>
    <r>
      <rPr>
        <b/>
        <i/>
        <sz val="12"/>
        <color theme="1"/>
        <rFont val="Arial"/>
        <family val="2"/>
        <charset val="204"/>
      </rPr>
      <t>· </t>
    </r>
    <r>
      <rPr>
        <i/>
        <sz val="12"/>
        <color theme="1"/>
        <rFont val="Arial"/>
        <family val="2"/>
        <charset val="204"/>
      </rPr>
      <t xml:space="preserve">Хоспитиране ***  – </t>
    </r>
    <r>
      <rPr>
        <i/>
        <sz val="11"/>
        <color theme="1"/>
        <rFont val="Arial"/>
        <family val="2"/>
        <charset val="204"/>
      </rPr>
      <t>30 ч. упр. на група</t>
    </r>
  </si>
  <si>
    <r>
      <rPr>
        <b/>
        <i/>
        <sz val="11"/>
        <color theme="1"/>
        <rFont val="Arial"/>
        <family val="2"/>
        <charset val="204"/>
      </rPr>
      <t xml:space="preserve">· </t>
    </r>
    <r>
      <rPr>
        <i/>
        <sz val="12"/>
        <color theme="1"/>
        <rFont val="Arial"/>
        <family val="2"/>
        <charset val="204"/>
      </rPr>
      <t>Текуща педагогическа практика *** –</t>
    </r>
    <r>
      <rPr>
        <i/>
        <sz val="11"/>
        <color theme="1"/>
        <rFont val="Arial"/>
        <family val="2"/>
        <charset val="204"/>
      </rPr>
      <t xml:space="preserve"> 60 ч. упр. за група</t>
    </r>
  </si>
  <si>
    <r>
      <rPr>
        <b/>
        <i/>
        <sz val="12"/>
        <color theme="1"/>
        <rFont val="Arial"/>
        <family val="2"/>
        <charset val="204"/>
      </rPr>
      <t>·</t>
    </r>
    <r>
      <rPr>
        <i/>
        <sz val="12"/>
        <color theme="1"/>
        <rFont val="Arial"/>
        <family val="2"/>
        <charset val="204"/>
      </rPr>
      <t xml:space="preserve"> Научно-производствена практика – </t>
    </r>
    <r>
      <rPr>
        <i/>
        <sz val="11"/>
        <color theme="1"/>
        <rFont val="Arial"/>
        <family val="2"/>
        <charset val="204"/>
      </rPr>
      <t>3 ч. упр. на група за ден</t>
    </r>
  </si>
  <si>
    <r>
      <rPr>
        <b/>
        <i/>
        <sz val="12"/>
        <color theme="1"/>
        <rFont val="Arial"/>
        <family val="2"/>
        <charset val="204"/>
      </rPr>
      <t>·</t>
    </r>
    <r>
      <rPr>
        <i/>
        <sz val="12"/>
        <color theme="1"/>
        <rFont val="Arial"/>
        <family val="2"/>
        <charset val="204"/>
      </rPr>
      <t xml:space="preserve"> Преддипломен стаж/практика по учебен план – </t>
    </r>
    <r>
      <rPr>
        <i/>
        <sz val="11"/>
        <color theme="1"/>
        <rFont val="Arial"/>
        <family val="2"/>
        <charset val="204"/>
      </rPr>
      <t>3 ч. упр. на стажантска група</t>
    </r>
  </si>
  <si>
    <r>
      <rPr>
        <b/>
        <i/>
        <sz val="12"/>
        <color theme="1"/>
        <rFont val="Arial"/>
        <family val="2"/>
        <charset val="204"/>
      </rPr>
      <t>·</t>
    </r>
    <r>
      <rPr>
        <i/>
        <sz val="12"/>
        <color theme="1"/>
        <rFont val="Arial"/>
        <family val="2"/>
        <charset val="204"/>
      </rPr>
      <t xml:space="preserve"> Теренна практика – </t>
    </r>
    <r>
      <rPr>
        <i/>
        <sz val="11"/>
        <color theme="1"/>
        <rFont val="Arial"/>
        <family val="2"/>
        <charset val="204"/>
      </rPr>
      <t>4 часа упр. на ден</t>
    </r>
  </si>
  <si>
    <r>
      <rPr>
        <b/>
        <i/>
        <sz val="12"/>
        <color theme="1"/>
        <rFont val="Arial"/>
        <family val="2"/>
        <charset val="204"/>
      </rPr>
      <t>·</t>
    </r>
    <r>
      <rPr>
        <i/>
        <sz val="12"/>
        <color theme="1"/>
        <rFont val="Arial"/>
        <family val="2"/>
        <charset val="204"/>
      </rPr>
      <t xml:space="preserve"> Лятна практика – </t>
    </r>
    <r>
      <rPr>
        <i/>
        <sz val="11"/>
        <color theme="1"/>
        <rFont val="Arial"/>
        <family val="2"/>
        <charset val="204"/>
      </rPr>
      <t>4 часа упр. на ден</t>
    </r>
  </si>
  <si>
    <r>
      <rPr>
        <b/>
        <i/>
        <sz val="12"/>
        <color theme="1"/>
        <rFont val="Arial"/>
        <family val="2"/>
        <charset val="204"/>
      </rPr>
      <t>·</t>
    </r>
    <r>
      <rPr>
        <i/>
        <sz val="12"/>
        <color theme="1"/>
        <rFont val="Arial"/>
        <family val="2"/>
        <charset val="204"/>
      </rPr>
      <t xml:space="preserve"> Учебно-спортна практика – </t>
    </r>
    <r>
      <rPr>
        <i/>
        <sz val="11"/>
        <color theme="1"/>
        <rFont val="Arial"/>
        <family val="2"/>
        <charset val="204"/>
      </rPr>
      <t>4 часа упр. на ден</t>
    </r>
  </si>
  <si>
    <r>
      <rPr>
        <b/>
        <i/>
        <sz val="12"/>
        <color theme="1"/>
        <rFont val="Arial"/>
        <family val="2"/>
        <charset val="204"/>
      </rPr>
      <t>5.</t>
    </r>
    <r>
      <rPr>
        <i/>
        <sz val="12"/>
        <color theme="1"/>
        <rFont val="Arial"/>
        <family val="2"/>
        <charset val="204"/>
      </rPr>
      <t xml:space="preserve"> Ръководство на дипломна работа</t>
    </r>
  </si>
  <si>
    <r>
      <rPr>
        <b/>
        <i/>
        <sz val="12"/>
        <color theme="1"/>
        <rFont val="Arial"/>
        <family val="2"/>
        <charset val="204"/>
      </rPr>
      <t>8.</t>
    </r>
    <r>
      <rPr>
        <i/>
        <sz val="12"/>
        <color theme="1"/>
        <rFont val="Arial"/>
        <family val="2"/>
        <charset val="204"/>
      </rPr>
      <t xml:space="preserve"> Подготовка (дизайн) на нов курс</t>
    </r>
  </si>
  <si>
    <r>
      <rPr>
        <b/>
        <i/>
        <sz val="12"/>
        <color theme="1"/>
        <rFont val="Arial"/>
        <family val="2"/>
        <charset val="204"/>
      </rPr>
      <t>9.</t>
    </r>
    <r>
      <rPr>
        <i/>
        <sz val="12"/>
        <color theme="1"/>
        <rFont val="Arial"/>
        <family val="2"/>
        <charset val="204"/>
      </rPr>
      <t xml:space="preserve"> Подготовка (дизайн) на електронни учебни ресурси за нов курс</t>
    </r>
  </si>
  <si>
    <r>
      <rPr>
        <b/>
        <i/>
        <sz val="12"/>
        <color theme="1"/>
        <rFont val="Arial"/>
        <family val="2"/>
        <charset val="204"/>
      </rPr>
      <t>10.</t>
    </r>
    <r>
      <rPr>
        <i/>
        <sz val="12"/>
        <color theme="1"/>
        <rFont val="Arial"/>
        <family val="2"/>
        <charset val="204"/>
      </rPr>
      <t xml:space="preserve"> Актуализация на курс</t>
    </r>
  </si>
  <si>
    <r>
      <rPr>
        <b/>
        <i/>
        <sz val="12"/>
        <color theme="1"/>
        <rFont val="Arial"/>
        <family val="2"/>
        <charset val="204"/>
      </rPr>
      <t>11.</t>
    </r>
    <r>
      <rPr>
        <i/>
        <sz val="12"/>
        <color theme="1"/>
        <rFont val="Arial"/>
        <family val="2"/>
        <charset val="204"/>
      </rPr>
      <t xml:space="preserve"> Изпити, ОНС "доктор"</t>
    </r>
  </si>
  <si>
    <r>
      <rPr>
        <b/>
        <i/>
        <sz val="12"/>
        <color theme="1"/>
        <rFont val="Arial"/>
        <family val="2"/>
        <charset val="204"/>
      </rPr>
      <t>12.</t>
    </r>
    <r>
      <rPr>
        <i/>
        <sz val="12"/>
        <color theme="1"/>
        <rFont val="Arial"/>
        <family val="2"/>
        <charset val="204"/>
      </rPr>
      <t xml:space="preserve"> Научно ръководство, ОНС "доктор"</t>
    </r>
  </si>
  <si>
    <t>Групи
бр.</t>
  </si>
  <si>
    <t>Дни
бр.</t>
  </si>
  <si>
    <t>6 и повече студенти</t>
  </si>
  <si>
    <t>5 студенти</t>
  </si>
  <si>
    <t>4 студенти</t>
  </si>
  <si>
    <t>3 студенти</t>
  </si>
  <si>
    <t>2 студенти</t>
  </si>
  <si>
    <t>3 и повече докторанти</t>
  </si>
  <si>
    <t>2 докторанти</t>
  </si>
  <si>
    <r>
      <rPr>
        <sz val="12"/>
        <color theme="1"/>
        <rFont val="Arial Narrow"/>
        <family val="2"/>
        <charset val="204"/>
      </rPr>
      <t>(Не приравнявайте към часове упражнения! Не прилагайте коефициенти за по-малък брой студенти!</t>
    </r>
    <r>
      <rPr>
        <sz val="12"/>
        <color rgb="FFFF0000"/>
        <rFont val="Arial Narrow"/>
        <family val="2"/>
        <charset val="204"/>
      </rPr>
      <t xml:space="preserve">   Данните за учебните дисциплини са изтеглени от СУСИ, при несъответствие могат да бъдат редактирани в таблицата!</t>
    </r>
    <r>
      <rPr>
        <sz val="12"/>
        <color theme="1"/>
        <rFont val="Arial Narrow"/>
        <family val="2"/>
        <charset val="204"/>
      </rPr>
      <t>)</t>
    </r>
  </si>
  <si>
    <r>
      <t>(За дейностите, описани в таблиците, предвидени за учебни практики и курсови работи в учебния план.</t>
    </r>
    <r>
      <rPr>
        <sz val="12"/>
        <color rgb="FFFF0000"/>
        <rFont val="Arial Narrow"/>
        <family val="2"/>
        <charset val="204"/>
      </rPr>
      <t xml:space="preserve"> Данните за учебни практики и курсови работи са изтеглени от СУСИ, при несъответствие могат да бъдат редактирани в таблицата!</t>
    </r>
    <r>
      <rPr>
        <sz val="12"/>
        <color theme="1"/>
        <rFont val="Arial Narrow"/>
        <family val="2"/>
        <charset val="204"/>
      </rPr>
      <t>)</t>
    </r>
  </si>
  <si>
    <r>
      <rPr>
        <sz val="12"/>
        <color theme="1"/>
        <rFont val="Arial Narrow"/>
        <family val="2"/>
        <charset val="204"/>
      </rPr>
      <t>(Не приравнявайте към часове упражнения! Не прилагайте коефициенти за по-малък брой студенти!</t>
    </r>
    <r>
      <rPr>
        <sz val="12"/>
        <color rgb="FFFF0000"/>
        <rFont val="Arial Narrow"/>
        <family val="2"/>
      </rPr>
      <t xml:space="preserve">  </t>
    </r>
    <r>
      <rPr>
        <sz val="12"/>
        <color rgb="FFFF0000"/>
        <rFont val="Arial Narrow"/>
        <family val="2"/>
        <charset val="204"/>
      </rPr>
      <t>Данните за учебните дисциплини са изтеглени от СУСИ, при несъответствие могат да бъдат редактирани в таблицата!</t>
    </r>
    <r>
      <rPr>
        <sz val="12"/>
        <color theme="1"/>
        <rFont val="Arial Narrow"/>
        <family val="2"/>
        <charset val="204"/>
      </rPr>
      <t>)</t>
    </r>
  </si>
  <si>
    <r>
      <t xml:space="preserve">(За дейностите, описани в таблиците, предвидени за учебни практики и курсови работи в учебния план. </t>
    </r>
    <r>
      <rPr>
        <sz val="12"/>
        <color rgb="FFFF0000"/>
        <rFont val="Arial Narrow"/>
        <family val="2"/>
        <charset val="204"/>
      </rPr>
      <t>Данните за учебни практики и курсови работи са изтеглени от СУСИ, при несъответствие могат да бъдат редактирани в таблицата!</t>
    </r>
    <r>
      <rPr>
        <sz val="12"/>
        <color theme="1"/>
        <rFont val="Arial Narrow"/>
        <family val="2"/>
      </rPr>
      <t>)</t>
    </r>
  </si>
  <si>
    <t>Корекции в индивидуалните отчети се правят само в рамките на факултетите до изпращането им в сектор „Учебен“.
Вече представен индивидуален отчет се коригира, чрез представяне на нов, изрядно попълнен и подписан от съответните лица формуляр.</t>
  </si>
  <si>
    <t>първо ниво изследовател</t>
  </si>
  <si>
    <t>второ ниво изследовател</t>
  </si>
  <si>
    <t>трето ниво изследовател</t>
  </si>
  <si>
    <t>четвърто ниво изследовател</t>
  </si>
  <si>
    <t>Категория</t>
  </si>
  <si>
    <r>
      <t>Служебни</t>
    </r>
    <r>
      <rPr>
        <sz val="11"/>
        <color theme="1"/>
        <rFont val="Calibri"/>
        <family val="2"/>
        <charset val="204"/>
        <scheme val="minor"/>
      </rPr>
      <t xml:space="preserve">
въведени данни</t>
    </r>
  </si>
  <si>
    <t>аУчебна година:</t>
  </si>
  <si>
    <t>аСeместър:</t>
  </si>
  <si>
    <t>аВерсия:</t>
  </si>
  <si>
    <t>аАдмин:</t>
  </si>
  <si>
    <t>аАкад. длъжност:</t>
  </si>
  <si>
    <t>аРък. длъжност:</t>
  </si>
  <si>
    <t>аПреподавател:</t>
  </si>
  <si>
    <t>аЕГН:</t>
  </si>
  <si>
    <t>аФакултет:</t>
  </si>
  <si>
    <t>аКатедра:</t>
  </si>
  <si>
    <t>аОтчет - Файл:</t>
  </si>
  <si>
    <t>аПлан - Път:</t>
  </si>
  <si>
    <t>пПреподавател:</t>
  </si>
  <si>
    <t>пФакултет:</t>
  </si>
  <si>
    <t>пКатедра:</t>
  </si>
  <si>
    <t>пАкад. длъжност:</t>
  </si>
  <si>
    <t>пРък. длъжност:</t>
  </si>
  <si>
    <t>пЗабележка:</t>
  </si>
  <si>
    <t>пЛекторат:</t>
  </si>
  <si>
    <t>пЗаповед №:</t>
  </si>
  <si>
    <t>пВУЗ:</t>
  </si>
  <si>
    <t>потДата:</t>
  </si>
  <si>
    <t>пдоДата:</t>
  </si>
  <si>
    <t>пФайл:</t>
  </si>
  <si>
    <t>пПът:</t>
  </si>
  <si>
    <t>бакУЗ:</t>
  </si>
  <si>
    <t>бакАз:</t>
  </si>
  <si>
    <r>
      <t xml:space="preserve">Преподавателски
 </t>
    </r>
    <r>
      <rPr>
        <sz val="11"/>
        <color theme="1"/>
        <rFont val="Calibri"/>
        <family val="2"/>
        <charset val="204"/>
        <scheme val="minor"/>
      </rPr>
      <t>Обобщени учебни дейности</t>
    </r>
  </si>
  <si>
    <t>магУЗ:</t>
  </si>
  <si>
    <t>магАЗ:</t>
  </si>
  <si>
    <t>докУЗ:</t>
  </si>
  <si>
    <t>докАЗ:</t>
  </si>
  <si>
    <t>бакАЗ_рЧасове</t>
  </si>
  <si>
    <t>АЗ (Зад. дисц.)_рЧасове</t>
  </si>
  <si>
    <t>магАЗ_рЧасове</t>
  </si>
  <si>
    <t>Маг. - АЗ (Зад. дисц.)_рЧасове</t>
  </si>
  <si>
    <t>Административни данни</t>
  </si>
  <si>
    <t>Контрол</t>
  </si>
  <si>
    <t>Преподавателски данни</t>
  </si>
  <si>
    <t>Академична година</t>
  </si>
  <si>
    <t>Резултати</t>
  </si>
  <si>
    <t>Индивидуален отчет</t>
  </si>
  <si>
    <t>Обобщен отчет</t>
  </si>
  <si>
    <t>аФакултет</t>
  </si>
  <si>
    <t>аКатедра</t>
  </si>
  <si>
    <t>аАкадДлъжност</t>
  </si>
  <si>
    <t>аРъкДлъжност</t>
  </si>
  <si>
    <t>аПреподавател</t>
  </si>
  <si>
    <t>аЕГН</t>
  </si>
  <si>
    <t>акадДлъжност</t>
  </si>
  <si>
    <t>ръкДлъжност</t>
  </si>
  <si>
    <t>Забележка</t>
  </si>
  <si>
    <t>уГодина</t>
  </si>
  <si>
    <t>Заетост</t>
  </si>
  <si>
    <t>Дейности</t>
  </si>
  <si>
    <t>зБакалавър</t>
  </si>
  <si>
    <t>лБакалавър</t>
  </si>
  <si>
    <t>зМагистър</t>
  </si>
  <si>
    <t>лМагистър</t>
  </si>
  <si>
    <t>ОЗ</t>
  </si>
  <si>
    <t>АЗ</t>
  </si>
  <si>
    <t>рЧасове</t>
  </si>
  <si>
    <t>дОЗ</t>
  </si>
  <si>
    <t>дАЗ</t>
  </si>
  <si>
    <t>1.  Лекции</t>
  </si>
  <si>
    <t>2.  Упражнения</t>
  </si>
  <si>
    <t>3.  Лекции на чужд език</t>
  </si>
  <si>
    <t>4.  Упражнения на чужд език</t>
  </si>
  <si>
    <t>ИЗ</t>
  </si>
  <si>
    <t>1. Учебна и педагогическа практика</t>
  </si>
  <si>
    <t>· Хоспитиране</t>
  </si>
  <si>
    <t>· Текуща педагогическа практика</t>
  </si>
  <si>
    <t>· Научно-производствена практика</t>
  </si>
  <si>
    <t>· Преддипломен стаж/практика по учебен план</t>
  </si>
  <si>
    <t>· Теренна практика</t>
  </si>
  <si>
    <t>· Лятна практика</t>
  </si>
  <si>
    <t>· Учебно-спортна практика</t>
  </si>
  <si>
    <t>2. Семестриални изпити</t>
  </si>
  <si>
    <t>3. Текущ контрол</t>
  </si>
  <si>
    <t>4. Ръководство на курсова работа</t>
  </si>
  <si>
    <t>5. Ръководство на дипломна работа</t>
  </si>
  <si>
    <t>6. Рецензия на дипломна работа</t>
  </si>
  <si>
    <t>7. Участие в държавен изпит/защита</t>
  </si>
  <si>
    <t>8. Подготовка (дизайн) на нов курс</t>
  </si>
  <si>
    <t>9. Подготовка (дизайн) на електронни учебни ресурси за нов курс</t>
  </si>
  <si>
    <t>10. Актуализация на курс</t>
  </si>
  <si>
    <t>11. Изпити, ОНС "доктор"</t>
  </si>
  <si>
    <t>12. Научно ръководство, ОНС "доктор"</t>
  </si>
  <si>
    <t>рЧасове АЗ</t>
  </si>
  <si>
    <t>рЧасове АЗ по зад. дисц</t>
  </si>
  <si>
    <r>
      <rPr>
        <sz val="12"/>
        <rFont val="Arial Narrow"/>
        <family val="2"/>
        <charset val="204"/>
      </rPr>
      <t xml:space="preserve">(Не приравнявайте към часове упражнения! Не прилагайте коефициенти за по-малък брой студенти! </t>
    </r>
    <r>
      <rPr>
        <sz val="12"/>
        <color rgb="FFFF0000"/>
        <rFont val="Arial Narrow"/>
        <family val="2"/>
        <charset val="204"/>
      </rPr>
      <t xml:space="preserve"> Данните за учебните дисциплини са изтеглени от СУСИ, при несъответствие могат да бъдат редактирани в таблицата!</t>
    </r>
    <r>
      <rPr>
        <sz val="12"/>
        <rFont val="Arial Narrow"/>
        <family val="2"/>
        <charset val="204"/>
      </rPr>
      <t>)</t>
    </r>
  </si>
  <si>
    <t>▪ Учебна практика – 15 ч. упр. на група</t>
  </si>
  <si>
    <t>Учебна п-ка</t>
  </si>
  <si>
    <t>▪ Учебно-производствена практика – 60 ч. упр. на група</t>
  </si>
  <si>
    <t>Учебно-произв. п-ка</t>
  </si>
  <si>
    <t>▪ Научно-изследователска практика/стаж – 3 ч. упр. на студент за ден</t>
  </si>
  <si>
    <t>Научно-изслед. п-ка/стаж</t>
  </si>
  <si>
    <t>▪ Изследователска практика с курсов проект – 3 ч. упр. на студент за ден</t>
  </si>
  <si>
    <t>Изслед. п-ка с курсов проект</t>
  </si>
  <si>
    <t>Code</t>
  </si>
  <si>
    <t>уфСтуденти</t>
  </si>
  <si>
    <t>Code_MON</t>
  </si>
  <si>
    <t>2.1</t>
  </si>
  <si>
    <t>20100182</t>
  </si>
  <si>
    <t>Арабистика</t>
  </si>
  <si>
    <t>Арб(рб)</t>
  </si>
  <si>
    <t>20100202</t>
  </si>
  <si>
    <t>Индология</t>
  </si>
  <si>
    <t>Инд(рб)</t>
  </si>
  <si>
    <t>20100212</t>
  </si>
  <si>
    <t>Иранистика</t>
  </si>
  <si>
    <t>Ирн(рб)</t>
  </si>
  <si>
    <t>20100242</t>
  </si>
  <si>
    <t>Китаистика</t>
  </si>
  <si>
    <t>Кит(рб)</t>
  </si>
  <si>
    <t>20100262</t>
  </si>
  <si>
    <t>Кореистика</t>
  </si>
  <si>
    <t>Кор(рб)</t>
  </si>
  <si>
    <t>20100272</t>
  </si>
  <si>
    <t>Новогръцка филология</t>
  </si>
  <si>
    <t>НГФ(рб)</t>
  </si>
  <si>
    <t>20100282</t>
  </si>
  <si>
    <t>Португалска филология</t>
  </si>
  <si>
    <t>ПорФ(рб)</t>
  </si>
  <si>
    <t>20100292</t>
  </si>
  <si>
    <t>Румънска филология</t>
  </si>
  <si>
    <t>РумФ(рб)</t>
  </si>
  <si>
    <t>20100312</t>
  </si>
  <si>
    <t>Унгарска филология</t>
  </si>
  <si>
    <t>УнгФ(рб)</t>
  </si>
  <si>
    <t>3.1</t>
  </si>
  <si>
    <t>30100682</t>
  </si>
  <si>
    <t>Хебраистика</t>
  </si>
  <si>
    <t>Хебра(рб)</t>
  </si>
  <si>
    <t>20100322</t>
  </si>
  <si>
    <t>Японистика</t>
  </si>
  <si>
    <t>Япо(рб)</t>
  </si>
  <si>
    <t>Code_ПН</t>
  </si>
  <si>
    <t>нСпециалност</t>
  </si>
  <si>
    <t>Арб</t>
  </si>
  <si>
    <t>Араб</t>
  </si>
  <si>
    <t>аСпец</t>
  </si>
  <si>
    <t>Инд</t>
  </si>
  <si>
    <t>Ирн</t>
  </si>
  <si>
    <t>Кит</t>
  </si>
  <si>
    <t>Кор</t>
  </si>
  <si>
    <t>НГФ</t>
  </si>
  <si>
    <t>ПорФ</t>
  </si>
  <si>
    <t>РумФ</t>
  </si>
  <si>
    <t>УнгФ</t>
  </si>
  <si>
    <t>Хебра</t>
  </si>
  <si>
    <t>Япо</t>
  </si>
  <si>
    <t>Арменистика и кавказология</t>
  </si>
  <si>
    <t>АрмКав</t>
  </si>
  <si>
    <t>Япон</t>
  </si>
  <si>
    <t>Индол</t>
  </si>
  <si>
    <t>Иран</t>
  </si>
  <si>
    <t>АрмКав(рб)</t>
  </si>
  <si>
    <t>Хебр</t>
  </si>
  <si>
    <t>Рум</t>
  </si>
  <si>
    <t>Унг</t>
  </si>
  <si>
    <t>Пор</t>
  </si>
  <si>
    <t>Нов</t>
  </si>
  <si>
    <t>Ядрена химия</t>
  </si>
  <si>
    <t>ЯХ(рб)</t>
  </si>
  <si>
    <t>ЯХ</t>
  </si>
  <si>
    <t>Ядр</t>
  </si>
  <si>
    <t>ях(рб)</t>
  </si>
  <si>
    <t>ях</t>
  </si>
  <si>
    <t>ядрена химия</t>
  </si>
  <si>
    <t>ядр</t>
  </si>
  <si>
    <t>Специалност/Магистърска програма
 или слети четения</t>
  </si>
  <si>
    <t>Специалност/МагПрогр</t>
  </si>
  <si>
    <t>кКР</t>
  </si>
  <si>
    <t>чКР</t>
  </si>
  <si>
    <t>Учебдни дисциплини</t>
  </si>
  <si>
    <t>Магистрър</t>
  </si>
  <si>
    <t>Учебна практика и курсови работи</t>
  </si>
  <si>
    <t>Специалност/МП</t>
  </si>
  <si>
    <t>брСтуденти</t>
  </si>
  <si>
    <t>видИзпитващ</t>
  </si>
  <si>
    <t>обФорма</t>
  </si>
  <si>
    <t>обфакултет</t>
  </si>
  <si>
    <t>Директор</t>
  </si>
  <si>
    <t>Декан</t>
  </si>
  <si>
    <t>т%</t>
  </si>
  <si>
    <t>обЕзик</t>
  </si>
  <si>
    <t>ВидДисц</t>
  </si>
  <si>
    <t>оцФорма</t>
  </si>
  <si>
    <t>Спец</t>
  </si>
  <si>
    <t>Арменистика</t>
  </si>
  <si>
    <t>Китаи</t>
  </si>
  <si>
    <t>Кореи</t>
  </si>
  <si>
    <t>Новог</t>
  </si>
  <si>
    <t>Португ</t>
  </si>
  <si>
    <t>Румънска</t>
  </si>
  <si>
    <t>Унгарска</t>
  </si>
  <si>
    <t>Япони</t>
  </si>
  <si>
    <t>аСпец1</t>
  </si>
  <si>
    <t>аСпец2</t>
  </si>
  <si>
    <t>аСпец3</t>
  </si>
  <si>
    <t>чДР</t>
  </si>
  <si>
    <t>чРецензия</t>
  </si>
  <si>
    <t>чИ/ДИ</t>
  </si>
  <si>
    <t>КР_ДР_Рец_ДИ</t>
  </si>
  <si>
    <t>коеф</t>
  </si>
  <si>
    <t>Дипломиране</t>
  </si>
  <si>
    <t>Дисциплина 
Наименование на курс</t>
  </si>
  <si>
    <r>
      <rPr>
        <b/>
        <i/>
        <sz val="12"/>
        <color rgb="FFFF0000"/>
        <rFont val="Arial"/>
        <family val="2"/>
        <charset val="204"/>
      </rPr>
      <t>7.</t>
    </r>
    <r>
      <rPr>
        <i/>
        <sz val="12"/>
        <color rgb="FFFF0000"/>
        <rFont val="Arial"/>
        <family val="2"/>
        <charset val="204"/>
      </rPr>
      <t xml:space="preserve"> Държавен изпит (Защита)</t>
    </r>
  </si>
  <si>
    <r>
      <rPr>
        <b/>
        <i/>
        <sz val="12"/>
        <color rgb="FFFF0000"/>
        <rFont val="Arial"/>
        <family val="2"/>
        <charset val="204"/>
      </rPr>
      <t>12.</t>
    </r>
    <r>
      <rPr>
        <i/>
        <sz val="12"/>
        <color rgb="FFFF0000"/>
        <rFont val="Arial"/>
        <family val="2"/>
        <charset val="204"/>
      </rPr>
      <t xml:space="preserve"> Ръководство на докторанти - 80 ч. упр. годишно</t>
    </r>
  </si>
  <si>
    <r>
      <rPr>
        <b/>
        <i/>
        <sz val="12"/>
        <color rgb="FFFF0000"/>
        <rFont val="Arial"/>
        <family val="2"/>
        <charset val="204"/>
      </rPr>
      <t>6.</t>
    </r>
    <r>
      <rPr>
        <i/>
        <sz val="12"/>
        <color rgb="FFFF0000"/>
        <rFont val="Arial"/>
        <family val="2"/>
        <charset val="204"/>
      </rPr>
      <t xml:space="preserve"> Рецензия на дипломна работа</t>
    </r>
  </si>
  <si>
    <r>
      <rPr>
        <b/>
        <i/>
        <sz val="12"/>
        <color rgb="FFFF0000"/>
        <rFont val="Arial"/>
        <family val="2"/>
        <charset val="204"/>
      </rPr>
      <t>4.</t>
    </r>
    <r>
      <rPr>
        <i/>
        <sz val="12"/>
        <color rgb="FFFF0000"/>
        <rFont val="Arial"/>
        <family val="2"/>
        <charset val="204"/>
      </rPr>
      <t xml:space="preserve"> Ръководство на курсова работа – 5 ч. упр.</t>
    </r>
  </si>
  <si>
    <r>
      <rPr>
        <b/>
        <i/>
        <sz val="12"/>
        <color rgb="FFFF0000"/>
        <rFont val="Arial"/>
        <family val="2"/>
        <charset val="204"/>
      </rPr>
      <t>9.</t>
    </r>
    <r>
      <rPr>
        <i/>
        <sz val="12"/>
        <color rgb="FFFF0000"/>
        <rFont val="Arial"/>
        <family val="2"/>
        <charset val="204"/>
      </rPr>
      <t xml:space="preserve"> Подготовка на електронни учебни ресурси – 50 часа за един модул</t>
    </r>
  </si>
  <si>
    <t>СОФИЙСКИ УНИВЕРСИТЕТ "СВ. КЛИМЕНТ ОХРИДСКИ"</t>
  </si>
  <si>
    <t>АУДИТОРНА ЗАЕТОСТ</t>
  </si>
  <si>
    <t>ИЗВЪНАУДИТОРНА ЗАЕТОСТ</t>
  </si>
  <si>
    <t>ОБЩА НАТОВАРЕНОСТ:</t>
  </si>
  <si>
    <t>ОТ НЕЯ АУДИТОРНА*:</t>
  </si>
  <si>
    <t>СОФИЙСКИ   УНИВЕРСИТЕТ   “СВ.   КЛИМЕНТ   ОХРИДСКИ”</t>
  </si>
  <si>
    <r>
      <rPr>
        <b/>
        <i/>
        <sz val="12"/>
        <color rgb="FFFF0000"/>
        <rFont val="Arial"/>
        <family val="2"/>
        <charset val="204"/>
      </rPr>
      <t>5.</t>
    </r>
    <r>
      <rPr>
        <i/>
        <sz val="12"/>
        <color rgb="FFFF0000"/>
        <rFont val="Arial"/>
        <family val="2"/>
        <charset val="204"/>
      </rPr>
      <t xml:space="preserve"> Финален годишен изпит</t>
    </r>
  </si>
  <si>
    <r>
      <rPr>
        <b/>
        <i/>
        <sz val="12"/>
        <color rgb="FFFF0000"/>
        <rFont val="Arial"/>
        <family val="2"/>
        <charset val="204"/>
      </rPr>
      <t>6.</t>
    </r>
    <r>
      <rPr>
        <i/>
        <sz val="12"/>
        <color rgb="FFFF0000"/>
        <rFont val="Arial"/>
        <family val="2"/>
        <charset val="204"/>
      </rPr>
      <t xml:space="preserve"> Изготвяне на сертификатни тестове - 20 ч. за един тест</t>
    </r>
  </si>
  <si>
    <t>ПРЕПОДАВАТЕЛ:</t>
  </si>
  <si>
    <t>РЪКОВОДИТЕЛ НА КАТЕДРА:</t>
  </si>
  <si>
    <t>ДИРЕКТОР:</t>
  </si>
  <si>
    <t>/департамент/</t>
  </si>
  <si>
    <t>Допълнителна забележка, основание
за редукция по ВПРЗ или КТД:</t>
  </si>
  <si>
    <t>ОТЧЕТ</t>
  </si>
  <si>
    <r>
      <rPr>
        <b/>
        <sz val="11"/>
        <color theme="1"/>
        <rFont val="Arial Narrow"/>
        <family val="2"/>
        <charset val="204"/>
      </rPr>
      <t>ОБЩА аудиторна заетост</t>
    </r>
    <r>
      <rPr>
        <sz val="11"/>
        <color theme="1"/>
        <rFont val="Arial Narrow"/>
        <family val="2"/>
        <charset val="204"/>
      </rPr>
      <t xml:space="preserve"> (с друго звено на СУ):</t>
    </r>
  </si>
  <si>
    <t>ДЕПАРТАМЕНТ ЗА ИНФОРМАЦИЯ И УСЪВЪРШЕНСТВАНЕ НА УЧИТЕЛИ</t>
  </si>
  <si>
    <t>ИНДИВИДУАЛЕН ОТЧЕТ</t>
  </si>
  <si>
    <t>I. АУДИТОРНА ЗАЕТОСТ</t>
  </si>
  <si>
    <r>
      <rPr>
        <b/>
        <sz val="11"/>
        <color theme="1"/>
        <rFont val="Arial Narrow"/>
        <family val="2"/>
        <charset val="204"/>
      </rPr>
      <t>1.2</t>
    </r>
    <r>
      <rPr>
        <sz val="11"/>
        <color theme="1"/>
        <rFont val="Arial Narrow"/>
        <family val="2"/>
        <charset val="204"/>
      </rPr>
      <t>. Упражнения</t>
    </r>
  </si>
  <si>
    <t>II. ИЗВЪНАУДИТОРНА ЗАЕТОСТ</t>
  </si>
  <si>
    <t>2.1. Провеждане на изпити</t>
  </si>
  <si>
    <r>
      <rPr>
        <b/>
        <sz val="10"/>
        <color theme="1"/>
        <rFont val="Arial Narrow"/>
        <family val="2"/>
        <charset val="204"/>
      </rPr>
      <t>2.1.2</t>
    </r>
    <r>
      <rPr>
        <sz val="10"/>
        <color theme="1"/>
        <rFont val="Arial Narrow"/>
        <family val="2"/>
        <charset val="204"/>
      </rPr>
      <t>. За IV ПКС (писмена разработка) – по 2 часа за 1 прегледана и рецензирана работа</t>
    </r>
  </si>
  <si>
    <t>2.2. Рецензиране</t>
  </si>
  <si>
    <r>
      <rPr>
        <b/>
        <sz val="10"/>
        <color theme="1"/>
        <rFont val="Arial Narrow"/>
        <family val="2"/>
        <charset val="204"/>
      </rPr>
      <t>2.2.1</t>
    </r>
    <r>
      <rPr>
        <sz val="10"/>
        <color theme="1"/>
        <rFont val="Arial Narrow"/>
        <family val="2"/>
        <charset val="204"/>
      </rPr>
      <t>. Рецензия на дипломна работа – по 5 часа за една прегледана и рецензирана дипломна работа</t>
    </r>
  </si>
  <si>
    <r>
      <rPr>
        <b/>
        <sz val="10"/>
        <color theme="1"/>
        <rFont val="Arial Narrow"/>
        <family val="2"/>
        <charset val="204"/>
      </rPr>
      <t>2.2.2</t>
    </r>
    <r>
      <rPr>
        <sz val="10"/>
        <color theme="1"/>
        <rFont val="Arial Narrow"/>
        <family val="2"/>
        <charset val="204"/>
      </rPr>
      <t>. Рецензия на писмена разработка за II ПКС – по 5 часа за една прегледана и рецензирана разработка</t>
    </r>
  </si>
  <si>
    <r>
      <rPr>
        <b/>
        <sz val="10"/>
        <color theme="1"/>
        <rFont val="Arial Narrow"/>
        <family val="2"/>
        <charset val="204"/>
      </rPr>
      <t>2.2.3</t>
    </r>
    <r>
      <rPr>
        <sz val="10"/>
        <color theme="1"/>
        <rFont val="Arial Narrow"/>
        <family val="2"/>
        <charset val="204"/>
      </rPr>
      <t>. Рецензия на писмена разработка за I ПКС – по 8 часа за една прегледана и рецензирана разработка</t>
    </r>
  </si>
  <si>
    <r>
      <t>2.3. Научно ръководство на дипломанти</t>
    </r>
    <r>
      <rPr>
        <sz val="11"/>
        <color theme="1"/>
        <rFont val="Arial Narrow"/>
        <family val="2"/>
        <charset val="204"/>
      </rPr>
      <t xml:space="preserve"> (включително преддипломен проект) – до 30 часа</t>
    </r>
  </si>
  <si>
    <t>2.4. Консултиране на кандидати</t>
  </si>
  <si>
    <r>
      <t xml:space="preserve">2.6. Педагогическа практика </t>
    </r>
    <r>
      <rPr>
        <sz val="11"/>
        <color theme="1"/>
        <rFont val="Arial Narrow"/>
        <family val="2"/>
        <charset val="204"/>
      </rPr>
      <t>(хоспитиране) – по 2 за 1 час наблюдаван урок и конфериране</t>
    </r>
  </si>
  <si>
    <r>
      <t>2.5. Ръководство на едногодишна програма</t>
    </r>
    <r>
      <rPr>
        <sz val="11"/>
        <color theme="1"/>
        <rFont val="Arial Narrow"/>
        <family val="2"/>
        <charset val="204"/>
      </rPr>
      <t xml:space="preserve"> – 20 часа</t>
    </r>
  </si>
  <si>
    <t>Общо:</t>
  </si>
  <si>
    <r>
      <rPr>
        <b/>
        <sz val="10"/>
        <color theme="1"/>
        <rFont val="Arial Narrow"/>
        <family val="2"/>
        <charset val="204"/>
      </rPr>
      <t>2.1.1</t>
    </r>
    <r>
      <rPr>
        <sz val="10"/>
        <color theme="1"/>
        <rFont val="Arial Narrow"/>
        <family val="2"/>
        <charset val="204"/>
      </rPr>
      <t>. За V ПКС, както и за студенти – по 0,6 часа за един изпитан курсист/студент</t>
    </r>
  </si>
  <si>
    <r>
      <rPr>
        <b/>
        <sz val="11"/>
        <color theme="1"/>
        <rFont val="Arial Narrow"/>
        <family val="2"/>
        <charset val="204"/>
      </rPr>
      <t>1.1.</t>
    </r>
    <r>
      <rPr>
        <sz val="11"/>
        <color theme="1"/>
        <rFont val="Arial Narrow"/>
        <family val="2"/>
        <charset val="204"/>
      </rPr>
      <t xml:space="preserve"> Лекции – 1 час лекции* = 2 часа упражнения</t>
    </r>
  </si>
  <si>
    <t>Забележка:* За главен асистент доктор – до 80 часа лекции
Общи положения</t>
  </si>
  <si>
    <r>
      <rPr>
        <b/>
        <sz val="10"/>
        <color theme="1"/>
        <rFont val="Arial Narrow"/>
        <family val="2"/>
        <charset val="204"/>
      </rPr>
      <t>1.</t>
    </r>
    <r>
      <rPr>
        <sz val="10"/>
        <color theme="1"/>
        <rFont val="Arial Narrow"/>
        <family val="2"/>
        <charset val="204"/>
      </rPr>
      <t xml:space="preserve"> Най-малко 270 часа от годишната учебна заетост на преподавателите да се изпълнява от лекции и упражнения.</t>
    </r>
  </si>
  <si>
    <r>
      <rPr>
        <b/>
        <sz val="10"/>
        <color theme="1"/>
        <rFont val="Arial Narrow"/>
        <family val="2"/>
        <charset val="204"/>
      </rPr>
      <t>2.4.1</t>
    </r>
    <r>
      <rPr>
        <sz val="10"/>
        <color theme="1"/>
        <rFont val="Arial Narrow"/>
        <family val="2"/>
        <charset val="204"/>
      </rPr>
      <t>. за I ПКС (до 40 часа за един кандидат) – по 0,5 за 1 час</t>
    </r>
  </si>
  <si>
    <r>
      <rPr>
        <b/>
        <sz val="10"/>
        <color theme="1"/>
        <rFont val="Arial Narrow"/>
        <family val="2"/>
        <charset val="204"/>
      </rPr>
      <t>2.4.2</t>
    </r>
    <r>
      <rPr>
        <sz val="10"/>
        <color theme="1"/>
        <rFont val="Arial Narrow"/>
        <family val="2"/>
        <charset val="204"/>
      </rPr>
      <t>. за II ПКС (до 30 часа за един кандидат) – по 0,5 за 1 час</t>
    </r>
  </si>
  <si>
    <r>
      <rPr>
        <b/>
        <sz val="10"/>
        <color theme="1"/>
        <rFont val="Arial Narrow"/>
        <family val="2"/>
        <charset val="204"/>
      </rPr>
      <t>2.4.3</t>
    </r>
    <r>
      <rPr>
        <sz val="10"/>
        <color theme="1"/>
        <rFont val="Arial Narrow"/>
        <family val="2"/>
        <charset val="204"/>
      </rPr>
      <t>. за IV и V ПКС (до 10 часа за един кандидат) – по 0,5 за 1 час</t>
    </r>
  </si>
  <si>
    <r>
      <rPr>
        <b/>
        <sz val="10"/>
        <color theme="1"/>
        <rFont val="Arial Narrow"/>
        <family val="2"/>
        <charset val="204"/>
      </rPr>
      <t>2.1.5</t>
    </r>
    <r>
      <rPr>
        <sz val="10"/>
        <color theme="1"/>
        <rFont val="Arial Narrow"/>
        <family val="2"/>
        <charset val="204"/>
      </rPr>
      <t>. За участие в комисия в държавен изпит за придобиване на професионална квалификация "учител" – по 0,8 часа за всеки изпитан курсист (за всеки член на комисията)</t>
    </r>
  </si>
  <si>
    <t xml:space="preserve"> </t>
  </si>
  <si>
    <t>ИНДИВИДУАЛЕН  ОТЧЕТ</t>
  </si>
  <si>
    <r>
      <rPr>
        <b/>
        <sz val="10"/>
        <color theme="1"/>
        <rFont val="Arial Narrow"/>
        <family val="2"/>
        <charset val="204"/>
      </rPr>
      <t>5</t>
    </r>
    <r>
      <rPr>
        <sz val="10"/>
        <color theme="1"/>
        <rFont val="Arial Narrow"/>
        <family val="2"/>
        <charset val="204"/>
      </rPr>
      <t>. Финален годишен изпит - 0.6 ч. упр. на изпитан студент</t>
    </r>
  </si>
  <si>
    <r>
      <rPr>
        <b/>
        <sz val="10"/>
        <color theme="1"/>
        <rFont val="Arial Narrow"/>
        <family val="2"/>
        <charset val="204"/>
      </rPr>
      <t>6</t>
    </r>
    <r>
      <rPr>
        <sz val="10"/>
        <color theme="1"/>
        <rFont val="Arial Narrow"/>
        <family val="2"/>
        <charset val="204"/>
      </rPr>
      <t>. Изготвяне на сертификатни тестове – 20 ч. упр. за един тест</t>
    </r>
  </si>
  <si>
    <r>
      <rPr>
        <b/>
        <sz val="10"/>
        <color theme="1"/>
        <rFont val="Arial Narrow"/>
        <family val="2"/>
        <charset val="204"/>
      </rPr>
      <t>7</t>
    </r>
    <r>
      <rPr>
        <sz val="10"/>
        <color theme="1"/>
        <rFont val="Arial Narrow"/>
        <family val="2"/>
        <charset val="204"/>
      </rPr>
      <t>. Държавен изпит (защита) – 0.8 час. упр.</t>
    </r>
  </si>
  <si>
    <r>
      <rPr>
        <b/>
        <sz val="10"/>
        <color theme="1"/>
        <rFont val="Arial Narrow"/>
        <family val="2"/>
        <charset val="204"/>
      </rPr>
      <t>8</t>
    </r>
    <r>
      <rPr>
        <sz val="10"/>
        <color theme="1"/>
        <rFont val="Arial Narrow"/>
        <family val="2"/>
        <charset val="204"/>
      </rPr>
      <t>. Ръководство на докторанти – до 80 ч. упр. годишно</t>
    </r>
  </si>
  <si>
    <r>
      <rPr>
        <b/>
        <sz val="10"/>
        <color theme="1"/>
        <rFont val="Arial Narrow"/>
        <family val="2"/>
        <charset val="204"/>
      </rPr>
      <t>9</t>
    </r>
    <r>
      <rPr>
        <sz val="10"/>
        <color theme="1"/>
        <rFont val="Arial Narrow"/>
        <family val="2"/>
        <charset val="204"/>
      </rPr>
      <t>. Рецензия на дипломна работа – 5 ч. упр.</t>
    </r>
  </si>
  <si>
    <r>
      <rPr>
        <b/>
        <sz val="10"/>
        <color theme="1"/>
        <rFont val="Arial Narrow"/>
        <family val="2"/>
        <charset val="204"/>
      </rPr>
      <t>10</t>
    </r>
    <r>
      <rPr>
        <sz val="10"/>
        <color theme="1"/>
        <rFont val="Arial Narrow"/>
        <family val="2"/>
        <charset val="204"/>
      </rPr>
      <t>. Рецензия на докторска работа – 30 ч. упр.</t>
    </r>
  </si>
  <si>
    <r>
      <rPr>
        <b/>
        <sz val="10"/>
        <color theme="1"/>
        <rFont val="Arial Narrow"/>
        <family val="2"/>
        <charset val="204"/>
      </rPr>
      <t>11</t>
    </r>
    <r>
      <rPr>
        <sz val="10"/>
        <color theme="1"/>
        <rFont val="Arial Narrow"/>
        <family val="2"/>
        <charset val="204"/>
      </rPr>
      <t>. Ръководство на курсова работа – 5 ч. упр.</t>
    </r>
  </si>
  <si>
    <r>
      <rPr>
        <b/>
        <sz val="10"/>
        <color theme="1"/>
        <rFont val="Arial Narrow"/>
        <family val="2"/>
        <charset val="204"/>
      </rPr>
      <t>12</t>
    </r>
    <r>
      <rPr>
        <sz val="10"/>
        <color theme="1"/>
        <rFont val="Arial Narrow"/>
        <family val="2"/>
        <charset val="204"/>
      </rPr>
      <t>. Ръководство на дипломна работа – 30 ч. упр.</t>
    </r>
  </si>
  <si>
    <r>
      <rPr>
        <b/>
        <sz val="10"/>
        <color theme="1"/>
        <rFont val="Arial Narrow"/>
        <family val="2"/>
        <charset val="204"/>
      </rPr>
      <t>14</t>
    </r>
    <r>
      <rPr>
        <sz val="10"/>
        <color theme="1"/>
        <rFont val="Arial Narrow"/>
        <family val="2"/>
        <charset val="204"/>
      </rPr>
      <t>. Ръководство на група (чуждестранни студенти) – 20 ч. упр.</t>
    </r>
  </si>
  <si>
    <r>
      <rPr>
        <b/>
        <sz val="10"/>
        <color theme="1"/>
        <rFont val="Arial Narrow"/>
        <family val="2"/>
        <charset val="204"/>
      </rPr>
      <t>16</t>
    </r>
    <r>
      <rPr>
        <sz val="10"/>
        <color theme="1"/>
        <rFont val="Arial Narrow"/>
        <family val="2"/>
        <charset val="204"/>
      </rPr>
      <t>. Тематични консултации – 20 ч. упр.</t>
    </r>
  </si>
  <si>
    <r>
      <rPr>
        <b/>
        <sz val="10"/>
        <color theme="1"/>
        <rFont val="Arial Narrow"/>
        <family val="2"/>
        <charset val="204"/>
      </rPr>
      <t>1</t>
    </r>
    <r>
      <rPr>
        <sz val="10"/>
        <color theme="1"/>
        <rFont val="Arial Narrow"/>
        <family val="2"/>
        <charset val="204"/>
      </rPr>
      <t>. Лекции</t>
    </r>
  </si>
  <si>
    <r>
      <rPr>
        <b/>
        <sz val="10"/>
        <color theme="1"/>
        <rFont val="Arial Narrow"/>
        <family val="2"/>
        <charset val="204"/>
      </rPr>
      <t>2</t>
    </r>
    <r>
      <rPr>
        <sz val="10"/>
        <color theme="1"/>
        <rFont val="Arial Narrow"/>
        <family val="2"/>
        <charset val="204"/>
      </rPr>
      <t>. Упражнения</t>
    </r>
  </si>
  <si>
    <r>
      <rPr>
        <b/>
        <sz val="10"/>
        <color theme="1"/>
        <rFont val="Arial Narrow"/>
        <family val="2"/>
        <charset val="204"/>
      </rPr>
      <t>3</t>
    </r>
    <r>
      <rPr>
        <sz val="10"/>
        <color theme="1"/>
        <rFont val="Arial Narrow"/>
        <family val="2"/>
        <charset val="204"/>
      </rPr>
      <t>. Лекции (Призната аудиторна заетост за лекторат)</t>
    </r>
  </si>
  <si>
    <r>
      <rPr>
        <b/>
        <sz val="10"/>
        <color theme="1"/>
        <rFont val="Arial Narrow"/>
        <family val="2"/>
        <charset val="204"/>
      </rPr>
      <t>4</t>
    </r>
    <r>
      <rPr>
        <sz val="10"/>
        <color theme="1"/>
        <rFont val="Arial Narrow"/>
        <family val="2"/>
        <charset val="204"/>
      </rPr>
      <t>. Упражнения (Призната аудиторна заетост за лекторат)</t>
    </r>
  </si>
  <si>
    <t>Африканистика</t>
  </si>
  <si>
    <t>Афр</t>
  </si>
  <si>
    <t>Африкан</t>
  </si>
  <si>
    <t>Класическа филология</t>
  </si>
  <si>
    <t>/име, презиме, фамилия/</t>
  </si>
  <si>
    <r>
      <t xml:space="preserve">Обща заетост:
</t>
    </r>
    <r>
      <rPr>
        <vertAlign val="superscript"/>
        <sz val="11"/>
        <color theme="1"/>
        <rFont val="Arial Narrow"/>
        <family val="2"/>
        <charset val="204"/>
      </rPr>
      <t>(аудиторна + извънаудиторна)</t>
    </r>
  </si>
  <si>
    <r>
      <t xml:space="preserve">Преподавател: </t>
    </r>
    <r>
      <rPr>
        <sz val="10"/>
        <color theme="1"/>
        <rFont val="Arial Narrow"/>
        <family val="2"/>
        <charset val="204"/>
      </rPr>
      <t>….....................</t>
    </r>
    <r>
      <rPr>
        <b/>
        <sz val="10"/>
        <color theme="1"/>
        <rFont val="Arial Narrow"/>
        <family val="2"/>
        <charset val="204"/>
      </rPr>
      <t xml:space="preserve">             Ръководител катедра: </t>
    </r>
    <r>
      <rPr>
        <sz val="10"/>
        <color theme="1"/>
        <rFont val="Arial Narrow"/>
        <family val="2"/>
        <charset val="204"/>
      </rPr>
      <t>…........................</t>
    </r>
    <r>
      <rPr>
        <b/>
        <sz val="10"/>
        <color theme="1"/>
        <rFont val="Arial Narrow"/>
        <family val="2"/>
        <charset val="204"/>
      </rPr>
      <t xml:space="preserve">                 Директор: </t>
    </r>
    <r>
      <rPr>
        <sz val="10"/>
        <color theme="1"/>
        <rFont val="Arial Narrow"/>
        <family val="2"/>
        <charset val="204"/>
      </rPr>
      <t>……....................</t>
    </r>
  </si>
  <si>
    <t>КлФ(рб)</t>
  </si>
  <si>
    <t>КлФ</t>
  </si>
  <si>
    <t>Класическа</t>
  </si>
  <si>
    <t>Афр(рб</t>
  </si>
  <si>
    <t>Учебно-клинична практика – 3 ч. упр.,  1 група за 1 ден</t>
  </si>
  <si>
    <t>Учебно-клинична п-ка</t>
  </si>
  <si>
    <r>
      <rPr>
        <b/>
        <sz val="11"/>
        <color theme="5" tint="-0.499984740745262"/>
        <rFont val="Arial"/>
        <family val="2"/>
        <charset val="204"/>
      </rPr>
      <t xml:space="preserve">· </t>
    </r>
    <r>
      <rPr>
        <i/>
        <sz val="12"/>
        <color theme="5" tint="-0.499984740745262"/>
        <rFont val="Arial"/>
        <family val="2"/>
        <charset val="204"/>
      </rPr>
      <t>Учебно-клинична практика **** – 3 ч. упр. на група за ден</t>
    </r>
  </si>
  <si>
    <r>
      <rPr>
        <b/>
        <sz val="11"/>
        <color theme="1"/>
        <rFont val="Arial Narrow"/>
        <family val="2"/>
        <charset val="204"/>
      </rPr>
      <t>ОБЩА учебна заетост</t>
    </r>
    <r>
      <rPr>
        <sz val="11"/>
        <color theme="1"/>
        <rFont val="Arial Narrow"/>
        <family val="2"/>
        <charset val="204"/>
      </rPr>
      <t xml:space="preserve"> (с друго звено на СУ):</t>
    </r>
  </si>
  <si>
    <r>
      <t>Часове</t>
    </r>
    <r>
      <rPr>
        <b/>
        <vertAlign val="superscript"/>
        <sz val="12"/>
        <color theme="1"/>
        <rFont val="Arial Narrow"/>
        <family val="2"/>
        <charset val="204"/>
      </rPr>
      <t>1</t>
    </r>
  </si>
  <si>
    <r>
      <rPr>
        <vertAlign val="superscript"/>
        <sz val="9"/>
        <color theme="1"/>
        <rFont val="Times New Roman"/>
        <family val="1"/>
        <charset val="204"/>
      </rPr>
      <t>1</t>
    </r>
    <r>
      <rPr>
        <sz val="9"/>
        <color theme="1"/>
        <rFont val="Times New Roman"/>
        <family val="1"/>
        <charset val="204"/>
      </rPr>
      <t>Часове – всички учебни занятия се приравняват към упражнения</t>
    </r>
  </si>
  <si>
    <r>
      <rPr>
        <vertAlign val="superscript"/>
        <sz val="9"/>
        <color theme="1"/>
        <rFont val="Times New Roman"/>
        <family val="1"/>
        <charset val="204"/>
      </rPr>
      <t>2</t>
    </r>
    <r>
      <rPr>
        <sz val="9"/>
        <color theme="1"/>
        <rFont val="Times New Roman"/>
        <family val="1"/>
        <charset val="204"/>
      </rPr>
      <t>ПКС – професионално-квалификационна степен</t>
    </r>
  </si>
  <si>
    <t>T_УчПрактики</t>
  </si>
  <si>
    <t>тПодгКурс</t>
  </si>
  <si>
    <t>тОКС</t>
  </si>
  <si>
    <t>тСеместър</t>
  </si>
  <si>
    <t>тПН</t>
  </si>
  <si>
    <r>
      <t>▪ Текуща педагогическа практика *** –</t>
    </r>
    <r>
      <rPr>
        <i/>
        <sz val="11"/>
        <color theme="1"/>
        <rFont val="Arial Narrow"/>
        <family val="2"/>
        <charset val="204"/>
      </rPr>
      <t xml:space="preserve"> 60 ч. упр. за група</t>
    </r>
  </si>
  <si>
    <r>
      <t xml:space="preserve">▪ Хоспитиране ***  – </t>
    </r>
    <r>
      <rPr>
        <i/>
        <sz val="11"/>
        <color theme="1"/>
        <rFont val="Arial Narrow"/>
        <family val="2"/>
        <charset val="204"/>
      </rPr>
      <t>30 ч. упр. на група</t>
    </r>
  </si>
  <si>
    <r>
      <t xml:space="preserve">▪ Научно-производствена практика – </t>
    </r>
    <r>
      <rPr>
        <i/>
        <sz val="11"/>
        <color theme="1"/>
        <rFont val="Arial Narrow"/>
        <family val="2"/>
        <charset val="204"/>
      </rPr>
      <t>3 ч. упр. на група за ден</t>
    </r>
  </si>
  <si>
    <r>
      <t xml:space="preserve">▪ Преддипломен стаж/практика по учебен план – </t>
    </r>
    <r>
      <rPr>
        <i/>
        <sz val="11"/>
        <color theme="1"/>
        <rFont val="Arial Narrow"/>
        <family val="2"/>
        <charset val="204"/>
      </rPr>
      <t>3 ч. упр. на стажантска група</t>
    </r>
  </si>
  <si>
    <r>
      <t xml:space="preserve">▪ Теренна практика – </t>
    </r>
    <r>
      <rPr>
        <i/>
        <sz val="11"/>
        <color theme="1"/>
        <rFont val="Arial Narrow"/>
        <family val="2"/>
        <charset val="204"/>
      </rPr>
      <t>4 часа упр. на ден</t>
    </r>
  </si>
  <si>
    <r>
      <t xml:space="preserve">▪ Лятна практика – </t>
    </r>
    <r>
      <rPr>
        <i/>
        <sz val="11"/>
        <color theme="1"/>
        <rFont val="Arial Narrow"/>
        <family val="2"/>
        <charset val="204"/>
      </rPr>
      <t>4 часа упр. на ден</t>
    </r>
  </si>
  <si>
    <r>
      <t xml:space="preserve">▪ Учебно-спортна практика – </t>
    </r>
    <r>
      <rPr>
        <i/>
        <sz val="11"/>
        <color theme="1"/>
        <rFont val="Arial Narrow"/>
        <family val="2"/>
        <charset val="204"/>
      </rPr>
      <t>4 часа упр. на ден</t>
    </r>
  </si>
  <si>
    <t>|</t>
  </si>
  <si>
    <t>id_РД</t>
  </si>
  <si>
    <t>Дисциплина1</t>
  </si>
  <si>
    <t>тСпециалностиМП</t>
  </si>
  <si>
    <t>монСпециалностМП</t>
  </si>
  <si>
    <t>Факултет1</t>
  </si>
  <si>
    <r>
      <t>2. Семестриални изпити **</t>
    </r>
    <r>
      <rPr>
        <i/>
        <sz val="12"/>
        <color theme="0"/>
        <rFont val="Arial"/>
        <family val="2"/>
        <charset val="204"/>
      </rPr>
      <t xml:space="preserve"> – 0.6 ч. упр. за титуляр, 0.3 ч. упр. за асистиращ</t>
    </r>
  </si>
  <si>
    <r>
      <t>3. Текущ контрол</t>
    </r>
    <r>
      <rPr>
        <i/>
        <sz val="12"/>
        <color theme="0"/>
        <rFont val="Arial"/>
        <family val="2"/>
        <charset val="204"/>
      </rPr>
      <t xml:space="preserve"> – 0.5 ч. упр. на студент</t>
    </r>
  </si>
  <si>
    <r>
      <t>4. Ръководство на курсова работа</t>
    </r>
    <r>
      <rPr>
        <i/>
        <sz val="12"/>
        <color theme="0"/>
        <rFont val="Arial"/>
        <family val="2"/>
        <charset val="204"/>
      </rPr>
      <t xml:space="preserve"> – 5 ч. упр. на студент</t>
    </r>
  </si>
  <si>
    <r>
      <t>5. Ръководство на дипломна работа</t>
    </r>
    <r>
      <rPr>
        <i/>
        <sz val="12"/>
        <color theme="0"/>
        <rFont val="Arial"/>
        <family val="2"/>
        <charset val="204"/>
      </rPr>
      <t xml:space="preserve"> – 30 ч. упр. на студент</t>
    </r>
  </si>
  <si>
    <r>
      <t>6. Рецензия на дипломна работа</t>
    </r>
    <r>
      <rPr>
        <i/>
        <sz val="12"/>
        <color theme="0"/>
        <rFont val="Arial"/>
        <family val="2"/>
        <charset val="204"/>
      </rPr>
      <t xml:space="preserve"> – 5 ч. упр. на студент</t>
    </r>
  </si>
  <si>
    <r>
      <t>7. Участие в държавен изпит/защита</t>
    </r>
    <r>
      <rPr>
        <i/>
        <sz val="12"/>
        <color theme="0"/>
        <rFont val="Arial"/>
        <family val="2"/>
        <charset val="204"/>
      </rPr>
      <t xml:space="preserve"> – 0.8 ч. упр. на студент</t>
    </r>
  </si>
  <si>
    <t>лекУЗ:</t>
  </si>
  <si>
    <t>лекАЗ:</t>
  </si>
  <si>
    <t>бмлОЗ:</t>
  </si>
  <si>
    <t>бмлАЗ:</t>
  </si>
  <si>
    <t>БакМагЛек</t>
  </si>
  <si>
    <t>бмлдОЗ:</t>
  </si>
  <si>
    <t>бмлдАЗ:</t>
  </si>
  <si>
    <t>БакМагЛекДак</t>
  </si>
  <si>
    <t>БакМаг</t>
  </si>
  <si>
    <t>АЗ_рЧасове</t>
  </si>
  <si>
    <t>еФормуляр</t>
  </si>
  <si>
    <t>бмАЗ (Зад. дисц.)_рЧасове</t>
  </si>
  <si>
    <t>Teacher_ID:</t>
  </si>
  <si>
    <t>PersonData_ID:</t>
  </si>
  <si>
    <t>LDAPUserName:</t>
  </si>
  <si>
    <t>Лекторат1</t>
  </si>
  <si>
    <t>Лекторат2</t>
  </si>
  <si>
    <t>Аз</t>
  </si>
  <si>
    <t>Хоспитиране – 30 ч.  упр. , за 1 група</t>
  </si>
  <si>
    <t>Текуща педагогическа практика – 60 ч. упр.,  за 1 група</t>
  </si>
  <si>
    <t>Научно-производствена практика – 3 ч. упр.,  1 група за 1 ден.</t>
  </si>
  <si>
    <t>Преддипломен стаж – 3 ч. упр., за 1 група</t>
  </si>
  <si>
    <t>Теренна практика – 4 ч. упр., за 1 ден практика.</t>
  </si>
  <si>
    <t>Лятна практика – 4 ч. упр., за 1 ден практика.</t>
  </si>
  <si>
    <t>Учебно-спортна практика – 4 ч. упр., за 1 ден практика.</t>
  </si>
  <si>
    <r>
      <rPr>
        <b/>
        <sz val="12"/>
        <color theme="1"/>
        <rFont val="Arial Narrow"/>
        <family val="2"/>
        <charset val="204"/>
      </rPr>
      <t xml:space="preserve">   Учебна и педагогическа практика – </t>
    </r>
    <r>
      <rPr>
        <sz val="12"/>
        <color theme="1"/>
        <rFont val="Arial Narrow"/>
        <family val="2"/>
        <charset val="204"/>
      </rPr>
      <t xml:space="preserve">Попълват се полетата (Вид практика, Студенти, Група и Ден), според вида практика.
    </t>
    </r>
    <r>
      <rPr>
        <sz val="11"/>
        <color rgb="FFFF0000"/>
        <rFont val="Arial Narrow"/>
        <family val="2"/>
        <charset val="204"/>
      </rPr>
      <t>(Пример: 1. изберете вида практика, 2. въведете броя на студентите и/или групите и/или дните в зависимост от проведената практика. След избиране на вида практика се попълва само поле с червен цвят – студенти и/или група и/или ден)</t>
    </r>
    <r>
      <rPr>
        <b/>
        <sz val="12"/>
        <color theme="1"/>
        <rFont val="Arial Narrow"/>
        <family val="2"/>
        <charset val="204"/>
      </rPr>
      <t xml:space="preserve">
  • Вид практика</t>
    </r>
    <r>
      <rPr>
        <sz val="12"/>
        <color theme="1"/>
        <rFont val="Arial Narrow"/>
        <family val="2"/>
        <charset val="204"/>
      </rPr>
      <t>:</t>
    </r>
    <r>
      <rPr>
        <sz val="11"/>
        <color theme="1"/>
        <rFont val="Arial Narrow"/>
        <family val="2"/>
        <charset val="204"/>
      </rPr>
      <t xml:space="preserve"> (</t>
    </r>
    <r>
      <rPr>
        <b/>
        <sz val="11"/>
        <color theme="1"/>
        <rFont val="Arial Narrow"/>
        <family val="2"/>
        <charset val="204"/>
      </rPr>
      <t>Хоспитиране</t>
    </r>
    <r>
      <rPr>
        <sz val="11"/>
        <color theme="1"/>
        <rFont val="Arial Narrow"/>
        <family val="2"/>
        <charset val="204"/>
      </rPr>
      <t xml:space="preserve">, </t>
    </r>
    <r>
      <rPr>
        <b/>
        <sz val="11"/>
        <color theme="1"/>
        <rFont val="Arial Narrow"/>
        <family val="2"/>
        <charset val="204"/>
      </rPr>
      <t>Текуща педагог. п-ка</t>
    </r>
    <r>
      <rPr>
        <sz val="11"/>
        <color theme="1"/>
        <rFont val="Arial Narrow"/>
        <family val="2"/>
        <charset val="204"/>
      </rPr>
      <t xml:space="preserve"> – Текуща педагогическа практика, </t>
    </r>
    <r>
      <rPr>
        <b/>
        <sz val="11"/>
        <color theme="1"/>
        <rFont val="Arial Narrow"/>
        <family val="2"/>
        <charset val="204"/>
      </rPr>
      <t>Учебно-клинична п-ка</t>
    </r>
    <r>
      <rPr>
        <sz val="11"/>
        <color theme="1"/>
        <rFont val="Arial Narrow"/>
        <family val="2"/>
        <charset val="204"/>
      </rPr>
      <t xml:space="preserve"> – Учебно-клинична практика, </t>
    </r>
    <r>
      <rPr>
        <b/>
        <sz val="11"/>
        <color theme="1"/>
        <rFont val="Arial Narrow"/>
        <family val="2"/>
        <charset val="204"/>
      </rPr>
      <t>Учебна п-ка</t>
    </r>
    <r>
      <rPr>
        <sz val="11"/>
        <color theme="1"/>
        <rFont val="Arial Narrow"/>
        <family val="2"/>
        <charset val="204"/>
      </rPr>
      <t xml:space="preserve"> – Учебна практика, </t>
    </r>
    <r>
      <rPr>
        <b/>
        <sz val="11"/>
        <color theme="1"/>
        <rFont val="Arial Narrow"/>
        <family val="2"/>
        <charset val="204"/>
      </rPr>
      <t>Учебно-произв. п-ка</t>
    </r>
    <r>
      <rPr>
        <sz val="11"/>
        <color theme="1"/>
        <rFont val="Arial Narrow"/>
        <family val="2"/>
        <charset val="204"/>
      </rPr>
      <t xml:space="preserve"> – Учебно-производствена практика, </t>
    </r>
    <r>
      <rPr>
        <b/>
        <sz val="11"/>
        <color theme="1"/>
        <rFont val="Arial Narrow"/>
        <family val="2"/>
        <charset val="204"/>
      </rPr>
      <t>Научно-изслед. п-ка/стаж</t>
    </r>
    <r>
      <rPr>
        <sz val="11"/>
        <color theme="1"/>
        <rFont val="Arial Narrow"/>
        <family val="2"/>
        <charset val="204"/>
      </rPr>
      <t xml:space="preserve"> – Научно-изследователска практика/стаж, </t>
    </r>
    <r>
      <rPr>
        <b/>
        <sz val="11"/>
        <color theme="1"/>
        <rFont val="Arial Narrow"/>
        <family val="2"/>
        <charset val="204"/>
      </rPr>
      <t>Изслед. п-ка с курсов проект</t>
    </r>
    <r>
      <rPr>
        <sz val="11"/>
        <color theme="1"/>
        <rFont val="Arial Narrow"/>
        <family val="2"/>
        <charset val="204"/>
      </rPr>
      <t xml:space="preserve"> – Изследователска практика с курсов проект, </t>
    </r>
    <r>
      <rPr>
        <b/>
        <sz val="11"/>
        <color theme="1"/>
        <rFont val="Arial Narrow"/>
        <family val="2"/>
        <charset val="204"/>
      </rPr>
      <t>Научно-произв. п-ка</t>
    </r>
    <r>
      <rPr>
        <sz val="11"/>
        <color theme="1"/>
        <rFont val="Arial Narrow"/>
        <family val="2"/>
        <charset val="204"/>
      </rPr>
      <t xml:space="preserve"> – Научно-производствена практика,  </t>
    </r>
    <r>
      <rPr>
        <b/>
        <sz val="11"/>
        <color theme="1"/>
        <rFont val="Arial Narrow"/>
        <family val="2"/>
        <charset val="204"/>
      </rPr>
      <t>Преддипл. стаж/п-ка</t>
    </r>
    <r>
      <rPr>
        <sz val="11"/>
        <color theme="1"/>
        <rFont val="Arial Narrow"/>
        <family val="2"/>
        <charset val="204"/>
      </rPr>
      <t xml:space="preserve"> – Преддипломен стаж/практика по учебен план, </t>
    </r>
    <r>
      <rPr>
        <b/>
        <sz val="11"/>
        <color theme="1"/>
        <rFont val="Arial Narrow"/>
        <family val="2"/>
        <charset val="204"/>
      </rPr>
      <t xml:space="preserve">Теренна п-ка </t>
    </r>
    <r>
      <rPr>
        <sz val="11"/>
        <color theme="1"/>
        <rFont val="Arial Narrow"/>
        <family val="2"/>
        <charset val="204"/>
      </rPr>
      <t xml:space="preserve">– Теренна практика, </t>
    </r>
    <r>
      <rPr>
        <b/>
        <sz val="11"/>
        <color theme="1"/>
        <rFont val="Arial Narrow"/>
        <family val="2"/>
        <charset val="204"/>
      </rPr>
      <t xml:space="preserve"> Лятна п-ка</t>
    </r>
    <r>
      <rPr>
        <sz val="11"/>
        <color theme="1"/>
        <rFont val="Arial Narrow"/>
        <family val="2"/>
        <charset val="204"/>
      </rPr>
      <t xml:space="preserve"> – Лятна практика, </t>
    </r>
    <r>
      <rPr>
        <b/>
        <sz val="11"/>
        <color theme="1"/>
        <rFont val="Arial Narrow"/>
        <family val="2"/>
        <charset val="204"/>
      </rPr>
      <t xml:space="preserve">Учебно-спортна п-ка – </t>
    </r>
    <r>
      <rPr>
        <sz val="11"/>
        <color theme="1"/>
        <rFont val="Arial Narrow"/>
        <family val="2"/>
        <charset val="204"/>
      </rPr>
      <t>Учебно-спортна практика).</t>
    </r>
  </si>
  <si>
    <r>
      <rPr>
        <b/>
        <sz val="12"/>
        <color theme="1"/>
        <rFont val="Arial Narrow"/>
        <family val="2"/>
        <charset val="204"/>
      </rPr>
      <t xml:space="preserve">   Учебна и педагогическа практика – </t>
    </r>
    <r>
      <rPr>
        <sz val="12"/>
        <color theme="1"/>
        <rFont val="Arial Narrow"/>
        <family val="2"/>
        <charset val="204"/>
      </rPr>
      <t xml:space="preserve">Попълват се полетата (Вид практика, Студенти, Група и Ден), според вида практика.
    </t>
    </r>
    <r>
      <rPr>
        <sz val="12"/>
        <color rgb="FFFF0000"/>
        <rFont val="Arial Narrow"/>
        <family val="2"/>
        <charset val="204"/>
      </rPr>
      <t>(Пример: 1. изберете вида практика, 2. въведете броя на студентите и/или групите и/или дните в зависимост от проведената практика. След избиране на вида практика се попълва само поле с червен цвят – студентите и/или група и/или ден)</t>
    </r>
    <r>
      <rPr>
        <b/>
        <sz val="12"/>
        <color theme="1"/>
        <rFont val="Arial Narrow"/>
        <family val="2"/>
        <charset val="204"/>
      </rPr>
      <t xml:space="preserve">
  • Вид практика</t>
    </r>
    <r>
      <rPr>
        <sz val="12"/>
        <color theme="1"/>
        <rFont val="Arial Narrow"/>
        <family val="2"/>
        <charset val="204"/>
      </rPr>
      <t>:</t>
    </r>
    <r>
      <rPr>
        <sz val="11"/>
        <color theme="1"/>
        <rFont val="Arial Narrow"/>
        <family val="2"/>
        <charset val="204"/>
      </rPr>
      <t xml:space="preserve"> (</t>
    </r>
    <r>
      <rPr>
        <b/>
        <sz val="11"/>
        <color theme="1"/>
        <rFont val="Arial Narrow"/>
        <family val="2"/>
        <charset val="204"/>
      </rPr>
      <t>Хоспитиране</t>
    </r>
    <r>
      <rPr>
        <sz val="11"/>
        <color theme="1"/>
        <rFont val="Arial Narrow"/>
        <family val="2"/>
        <charset val="204"/>
      </rPr>
      <t xml:space="preserve">, </t>
    </r>
    <r>
      <rPr>
        <b/>
        <sz val="11"/>
        <color theme="1"/>
        <rFont val="Arial Narrow"/>
        <family val="2"/>
        <charset val="204"/>
      </rPr>
      <t>Текуща педагог. п-ка</t>
    </r>
    <r>
      <rPr>
        <sz val="11"/>
        <color theme="1"/>
        <rFont val="Arial Narrow"/>
        <family val="2"/>
        <charset val="204"/>
      </rPr>
      <t xml:space="preserve"> – Текуща педагогическа практика, </t>
    </r>
    <r>
      <rPr>
        <b/>
        <sz val="11"/>
        <color theme="1"/>
        <rFont val="Arial Narrow"/>
        <family val="2"/>
        <charset val="204"/>
      </rPr>
      <t>Научно-произв. п-ка</t>
    </r>
    <r>
      <rPr>
        <sz val="11"/>
        <color theme="1"/>
        <rFont val="Arial Narrow"/>
        <family val="2"/>
        <charset val="204"/>
      </rPr>
      <t xml:space="preserve"> – Научно-производствена практика,  </t>
    </r>
    <r>
      <rPr>
        <b/>
        <sz val="11"/>
        <color theme="1"/>
        <rFont val="Arial Narrow"/>
        <family val="2"/>
        <charset val="204"/>
      </rPr>
      <t>Преддипл. стаж/п-ка</t>
    </r>
    <r>
      <rPr>
        <sz val="11"/>
        <color theme="1"/>
        <rFont val="Arial Narrow"/>
        <family val="2"/>
        <charset val="204"/>
      </rPr>
      <t xml:space="preserve"> – Преддипломен стаж/практика по учебен план, </t>
    </r>
    <r>
      <rPr>
        <b/>
        <sz val="11"/>
        <color theme="1"/>
        <rFont val="Arial Narrow"/>
        <family val="2"/>
        <charset val="204"/>
      </rPr>
      <t xml:space="preserve">Теренна п-ка </t>
    </r>
    <r>
      <rPr>
        <sz val="11"/>
        <color theme="1"/>
        <rFont val="Arial Narrow"/>
        <family val="2"/>
        <charset val="204"/>
      </rPr>
      <t xml:space="preserve">– Теренна практика, </t>
    </r>
    <r>
      <rPr>
        <b/>
        <sz val="11"/>
        <color theme="1"/>
        <rFont val="Arial Narrow"/>
        <family val="2"/>
        <charset val="204"/>
      </rPr>
      <t xml:space="preserve"> Лятна п-ка</t>
    </r>
    <r>
      <rPr>
        <sz val="11"/>
        <color theme="1"/>
        <rFont val="Arial Narrow"/>
        <family val="2"/>
        <charset val="204"/>
      </rPr>
      <t xml:space="preserve"> – Лятна практика, </t>
    </r>
    <r>
      <rPr>
        <b/>
        <sz val="11"/>
        <color theme="1"/>
        <rFont val="Arial Narrow"/>
        <family val="2"/>
        <charset val="204"/>
      </rPr>
      <t xml:space="preserve">Учебно-спортна п-ка – </t>
    </r>
    <r>
      <rPr>
        <sz val="11"/>
        <color theme="1"/>
        <rFont val="Arial Narrow"/>
        <family val="2"/>
        <charset val="204"/>
      </rPr>
      <t>Учебно-спортна практика).</t>
    </r>
  </si>
  <si>
    <t>Магистърска програма
или слети четения</t>
  </si>
  <si>
    <t>1. Изисквания /норматив/ за организация на учебния процес:</t>
  </si>
  <si>
    <t>2. Заетостта на щатните преподаватели в групи с чуждестранни студенти и в курсове по чужди езици се отчита със следните коефициенти:</t>
  </si>
  <si>
    <t>Брой курсисти/студенти</t>
  </si>
  <si>
    <t>Вид група</t>
  </si>
  <si>
    <t>брЛекции</t>
  </si>
  <si>
    <t>брУпражнения</t>
  </si>
  <si>
    <t>ЛНЧ:</t>
  </si>
  <si>
    <t>ЛИН:</t>
  </si>
  <si>
    <t>СлужН:</t>
  </si>
  <si>
    <t>20103422</t>
  </si>
  <si>
    <t>20101132</t>
  </si>
  <si>
    <t>20100252</t>
  </si>
  <si>
    <t>ПН</t>
  </si>
  <si>
    <t>Форма</t>
  </si>
  <si>
    <t>Лингводидактика</t>
  </si>
  <si>
    <t>Мениджмънт на образованието на възрастни</t>
  </si>
  <si>
    <t>Мениджмънт на услуги и организации за неформално образование (2 сем.)</t>
  </si>
  <si>
    <t>задочна</t>
  </si>
  <si>
    <t>Мениджмънт на услуги и организации за неформално образование (3 сем.)</t>
  </si>
  <si>
    <t>Образователен мениджмънт</t>
  </si>
  <si>
    <t>Образователен мениджмънт (на английски език) - 2 сем.</t>
  </si>
  <si>
    <t>редовна</t>
  </si>
  <si>
    <t>Организация и управление на образованието</t>
  </si>
  <si>
    <t>Управление на образованието</t>
  </si>
  <si>
    <t xml:space="preserve">Адаптирана физическа активност (2 семестъра) </t>
  </si>
  <si>
    <t>Адаптирана физическа активност (4 семестъра)</t>
  </si>
  <si>
    <t>Вариантни дидактически технологии</t>
  </si>
  <si>
    <t>Диагностика и рехабилитация при леки комуникативни отклонения</t>
  </si>
  <si>
    <t>Диагностика и терапия на тежки комуникативни нарушения в развитието</t>
  </si>
  <si>
    <t>Езиково и литературно обучение</t>
  </si>
  <si>
    <t>Ерготерапия за деца  и лица с нарушения</t>
  </si>
  <si>
    <t>Ерготерапия за деца и възрастни с нарушения</t>
  </si>
  <si>
    <t>Ерготерапия за деца и възрастни с нарушения(2 семестъра)</t>
  </si>
  <si>
    <t>Жестов език в образованието</t>
  </si>
  <si>
    <t>ИКТ в образованието (дист.)</t>
  </si>
  <si>
    <t>дистанционна</t>
  </si>
  <si>
    <t>Игрово-образователни средства и детска среда</t>
  </si>
  <si>
    <t>Иновационни стратегии в предучилищното образование</t>
  </si>
  <si>
    <t>Интеркултурно образование в детската градина и началното училище</t>
  </si>
  <si>
    <t>Информационни и комуникационни технологии в образованието</t>
  </si>
  <si>
    <t xml:space="preserve">Информационни и комуникационни технологии в образованието (2 семестъра) </t>
  </si>
  <si>
    <t>Информационни технологии в началното училище</t>
  </si>
  <si>
    <t>Кариерно образование в институции и мрежи за неформално образование</t>
  </si>
  <si>
    <t>Кариерно образование и професионална квалификация</t>
  </si>
  <si>
    <t xml:space="preserve">Кариерно образование и професионална квалификация </t>
  </si>
  <si>
    <t>Кинезитерапия на лица с невросоматични заболявания</t>
  </si>
  <si>
    <t>Кинезитерапия на лица с невросомотични заболявания</t>
  </si>
  <si>
    <t>Консултиране и социално-педагогическа помощ за семейства (2 семестъра)</t>
  </si>
  <si>
    <t>Консултиране и социално-педагогическа помощ за семейства (3 семестъра)</t>
  </si>
  <si>
    <t>Културноисторическо наследство и екскурзоводство</t>
  </si>
  <si>
    <t>Логопедия</t>
  </si>
  <si>
    <t>Логопедия (4 сем.)</t>
  </si>
  <si>
    <t>Логопедия - Комуникативни нарушения ня развитието (3 сем.)</t>
  </si>
  <si>
    <t>Логопедия и начална училищна педагогика</t>
  </si>
  <si>
    <t>Логопедия-Гласови нарушения</t>
  </si>
  <si>
    <t>Логопедия-Комуникативни нарушения на развитието</t>
  </si>
  <si>
    <t>Логопедия-Комуникативни нарушения при интлектуална недостатъчност</t>
  </si>
  <si>
    <t>Логопедия-комуникативни нарушения на развитието</t>
  </si>
  <si>
    <t>Медийна педагогика и художествена комуникация</t>
  </si>
  <si>
    <t>Мениджмънт на образованието в предучилищните заведения</t>
  </si>
  <si>
    <t xml:space="preserve">Мениджмънт на образованието в предучилищните заведения </t>
  </si>
  <si>
    <t>Мениджмънт на образованието в предучилищните заведения (2 семестъра)</t>
  </si>
  <si>
    <t xml:space="preserve">Мениджмънт на образованието в предучилищните заведения (2 семестъра) </t>
  </si>
  <si>
    <t>Мениджмънт на образованието на възрастните</t>
  </si>
  <si>
    <t>Мениджмънт на професионалното развитие</t>
  </si>
  <si>
    <t>Мениджмънт на социалните и педагогическите орпганизации</t>
  </si>
  <si>
    <t>Мениджмънт на социално-педагогическите дейности</t>
  </si>
  <si>
    <t>Мениджмънт на услуги и огранизации за неформално образование (3 семестъра)</t>
  </si>
  <si>
    <t>Мениджмънт на услуги и организации за неформално образование (2 семестъра)</t>
  </si>
  <si>
    <t>Монтесори педагогиката в дигиталното общество</t>
  </si>
  <si>
    <t>Начална училищна педагогика</t>
  </si>
  <si>
    <t>Начална училищна педагогика (2 сем.)</t>
  </si>
  <si>
    <t>Начална училищна педагогика и ромски език</t>
  </si>
  <si>
    <t>Начална училищна педагогика и физическо възпитание</t>
  </si>
  <si>
    <t>Начална училищна педагогика и чужд език</t>
  </si>
  <si>
    <t>Неформално образование</t>
  </si>
  <si>
    <t>Образователен мениджмънт (2 семестъра)</t>
  </si>
  <si>
    <t>Образователни науки и интеркултурно възпитание</t>
  </si>
  <si>
    <t>Обучение и развитие на деца с лека степен на интектуална недостатъчност</t>
  </si>
  <si>
    <t>Обучение на деца с множество увреждания</t>
  </si>
  <si>
    <t xml:space="preserve">Педагогика </t>
  </si>
  <si>
    <t>Педагогика на девиантното поведение</t>
  </si>
  <si>
    <t>Педагогика на деца и ученици с множество увреждания (за завършили специална педагогика и други педагогически специалности)</t>
  </si>
  <si>
    <t>Педагогика на деца с интелектуална недостатъчност</t>
  </si>
  <si>
    <t>Педагогика на деца с нервосоматични заболявания</t>
  </si>
  <si>
    <t>Педагогика на деца със специални образователни потребности</t>
  </si>
  <si>
    <t>Педагогика на зрително затруднени</t>
  </si>
  <si>
    <t>Педагогика на зрително затруднените (за завършили други специалности с педагогическа правоспособност)</t>
  </si>
  <si>
    <t>Педагогика на масовата и художествена комуникация</t>
  </si>
  <si>
    <t>Педагогика на масовата и художествена комуникация (на английски език)</t>
  </si>
  <si>
    <t>Педагогичеки модели за познавателно и социално развитие</t>
  </si>
  <si>
    <t>Педагогически съветник в училище</t>
  </si>
  <si>
    <t>Педагогически съветник в училище (2 сем.)</t>
  </si>
  <si>
    <t>Педагогическо взаимодействие и творчество</t>
  </si>
  <si>
    <t>Подготвителна група/клас - образователни аспекти</t>
  </si>
  <si>
    <t>Подготовка на ресурсни учители за ученици със СОН</t>
  </si>
  <si>
    <t>Предучилищна и начална училищна педагогика</t>
  </si>
  <si>
    <t>Предучилищна и начална училищна педагогика (8 семестъра)</t>
  </si>
  <si>
    <t>Предучилищна и начална училищна педагогика (след ОКС "специалист")</t>
  </si>
  <si>
    <t>Предучилищна педагогика</t>
  </si>
  <si>
    <t>Предучилищна педагогика (2 сем.)</t>
  </si>
  <si>
    <t>Предучилищна педагогика (за завършили други специалности)</t>
  </si>
  <si>
    <t>Предучилищна педагогика (за завършили специалности с учителска правоспособност)</t>
  </si>
  <si>
    <t>Предучилищна педагогика и чужд език</t>
  </si>
  <si>
    <t>Приемственост в образователните структури-адаптация,развитие</t>
  </si>
  <si>
    <t>Природо - математическо обучение</t>
  </si>
  <si>
    <t>Проблеми на учебната работа в детските градини и началното училище</t>
  </si>
  <si>
    <t>Професионално ориентиране и квалификация</t>
  </si>
  <si>
    <t>Психология на педагогическото взаимодействие</t>
  </si>
  <si>
    <t>Ранно чудоезиково обучение в предучилищните заведения</t>
  </si>
  <si>
    <t>Ранно чуждоезиково обучение в началните класове</t>
  </si>
  <si>
    <t>Ранно чуждоезиково обучение в началните класове (за кандидати с придобита професионална квалификация "учител" без чуждоезикова подготовка)</t>
  </si>
  <si>
    <t>Ранно чуждоезиково обучение в началните класове (за кандидати с придобита професионална квалификация "учител" и с чуждоезикова подготовка)</t>
  </si>
  <si>
    <t>Религиозни доктрини и законодателства</t>
  </si>
  <si>
    <t>Ресурсен учител</t>
  </si>
  <si>
    <t>Рехабилитация на лица с невросоматични заболявания</t>
  </si>
  <si>
    <t>Свободно избираеми, извънкласни и извънучилищни дейности</t>
  </si>
  <si>
    <t>Семейна терапия и консултиране на лица с увреждания</t>
  </si>
  <si>
    <t>Семейна терапия и консултиране на лица с увреждания (3 сем.)</t>
  </si>
  <si>
    <t>Слухово речева рехабилитация</t>
  </si>
  <si>
    <t>Слухово-речева рехабилитация</t>
  </si>
  <si>
    <t>Слухово-речева рехабилитация (за завършили специална педагогика и други педагогически специалности)</t>
  </si>
  <si>
    <t>Социална педагогика</t>
  </si>
  <si>
    <t>Социална педагогика (8 семестъра)</t>
  </si>
  <si>
    <t>Социална педагогика (след ОКС "специалист")</t>
  </si>
  <si>
    <t>Социално-възпитателна и пробационна дейност с правонарушители</t>
  </si>
  <si>
    <t>Социално-педагогическа помощ за семействата</t>
  </si>
  <si>
    <t>Социално-педагогическа работа с възрастни и стари хора</t>
  </si>
  <si>
    <t>Социално-педагогическа работа с деца и семейство</t>
  </si>
  <si>
    <t>Социално-педагогическа работа с деца и юноши</t>
  </si>
  <si>
    <t>Специална педагогика</t>
  </si>
  <si>
    <t xml:space="preserve">Специална педагогика (2 семестъра) </t>
  </si>
  <si>
    <t>Специална педагогика (8 семестъра)</t>
  </si>
  <si>
    <t>Специална педагогика (Логопедия)</t>
  </si>
  <si>
    <t>Специална педагогика (Педагогика за деца с интелектуална недостатъчност)</t>
  </si>
  <si>
    <t>Специална педагогика (за завършили  и други педагогически  специалности)</t>
  </si>
  <si>
    <t>Специална педагогика (за завършили други специалности)</t>
  </si>
  <si>
    <t>Специална педагогика (след ОКС "специалист")</t>
  </si>
  <si>
    <t>Специална педагогика /на английски език/</t>
  </si>
  <si>
    <t>Специална педагогика /на английски език/-летен</t>
  </si>
  <si>
    <t xml:space="preserve">Специална педагогика /на английски език/-несп.-летен </t>
  </si>
  <si>
    <t>Съвременни образователни технологии (2 сем.)</t>
  </si>
  <si>
    <t>Съвременни образователни технологии (3 сем.)</t>
  </si>
  <si>
    <t>Съвременни образователни технологии~(код за ИКТ)</t>
  </si>
  <si>
    <t>Теория и методика на учебно-възпитателната работа в началното училище и детските градини</t>
  </si>
  <si>
    <t>Теория и методика на физическото възпитание и спорта</t>
  </si>
  <si>
    <t>Училищна педагогика</t>
  </si>
  <si>
    <t>Педагогика на обучението по ...</t>
  </si>
  <si>
    <t>Биология и английски език</t>
  </si>
  <si>
    <t>Биология и химия</t>
  </si>
  <si>
    <t>География и английски език</t>
  </si>
  <si>
    <t>География и биология</t>
  </si>
  <si>
    <t xml:space="preserve">Електронно обучение (3 семестъра) </t>
  </si>
  <si>
    <t>Електронно обучение (4 семестъра)</t>
  </si>
  <si>
    <t>Електронно обучение (5 семестъра)</t>
  </si>
  <si>
    <t>Информатика и компютри в обучението по химия</t>
  </si>
  <si>
    <t>Информатика и компютърни технологии в обучението</t>
  </si>
  <si>
    <t>История и география</t>
  </si>
  <si>
    <t>История и философия</t>
  </si>
  <si>
    <t>История и чужд език (английски език-френски език)</t>
  </si>
  <si>
    <t>Математика и информатика</t>
  </si>
  <si>
    <t>Методика на чуждоезиковото обучение (АФ)</t>
  </si>
  <si>
    <t>Методика на чуждоезиковото обучение (ИФ)</t>
  </si>
  <si>
    <t>Методика на чуждоезиковото обучение (ИтФ)</t>
  </si>
  <si>
    <t>Методика на чуждоезиковото обучение (НФ)</t>
  </si>
  <si>
    <t>Методика на чуждоезиковото обучение (НФСке)</t>
  </si>
  <si>
    <t>Методика на чуждоезиковото обучение (ПтФ)</t>
  </si>
  <si>
    <t>Методика на чуждоезиковото обучение (ФрФ)</t>
  </si>
  <si>
    <t>Методика на чуждоезиковото обучение в междукултурна среда (АФ)</t>
  </si>
  <si>
    <t>Методика на чуждоезиковото обучение в междукултурна среда (ИсФ)</t>
  </si>
  <si>
    <t>Методика на чуждоезиковото обучение в междукултурна среда (ИтФ)</t>
  </si>
  <si>
    <t xml:space="preserve">Методика на чуждоезиковото обучение в междукултурна среда (НФ) </t>
  </si>
  <si>
    <t>Методика на чуждоезиковото обучение в междукултурна среда (ФФ)</t>
  </si>
  <si>
    <t xml:space="preserve">Методология на обучението по физика и астрономия (2 семестъра) </t>
  </si>
  <si>
    <t>Методология на обучението по физика и астрономия (3 семестъра)</t>
  </si>
  <si>
    <t>Музика</t>
  </si>
  <si>
    <t>Музикална педагогика - инструментална или вокална</t>
  </si>
  <si>
    <t xml:space="preserve">Музикални и мултимедийни технологии (2 семестъра) </t>
  </si>
  <si>
    <t>Музикални и мултимедийни технологии (3 семестъра)</t>
  </si>
  <si>
    <t>Музикални компютърни технологии</t>
  </si>
  <si>
    <t>Музикални компютърни технологии и тонрежисура</t>
  </si>
  <si>
    <t>Педагогика и семиотика на изобразителното изкуство</t>
  </si>
  <si>
    <t>Педагогика на обучението по биология и информатика</t>
  </si>
  <si>
    <t>Педагогика на обучението по биология и физика</t>
  </si>
  <si>
    <t>Педагогика на обучението по биология и химия</t>
  </si>
  <si>
    <t>Педагогика на обучението по български език и английски език</t>
  </si>
  <si>
    <t>Педагогика на обучението по български език и история</t>
  </si>
  <si>
    <t>Педагогика на обучението по български език и немски език</t>
  </si>
  <si>
    <t>Педагогика на обучението по български език и новогръцки език</t>
  </si>
  <si>
    <t>Педагогика на обучението по български език и руски език</t>
  </si>
  <si>
    <t>Педагогика на обучението по български език и френски език</t>
  </si>
  <si>
    <t>Педагогика на обучението по български език и чужд език</t>
  </si>
  <si>
    <t>Педагогика на обучението по география и биология</t>
  </si>
  <si>
    <t>Педагогика на обучението по изобразително изкуство</t>
  </si>
  <si>
    <t>Педагогика на обучението по математика и икономика</t>
  </si>
  <si>
    <t>Педагогика на обучението по математика и информатика</t>
  </si>
  <si>
    <t>Педагогика на обучението по музика</t>
  </si>
  <si>
    <t>Педагогика на обучението по руски език и западен език</t>
  </si>
  <si>
    <t>Педагогика на обучението по руски език и турски език</t>
  </si>
  <si>
    <t>Педагогика на обучението по техника и технологии</t>
  </si>
  <si>
    <t>Педагогика на обучението по физика и информатика</t>
  </si>
  <si>
    <t>Педагогика на обучението по физика и математика</t>
  </si>
  <si>
    <t>Педагогика на обучението по физическо възпитание</t>
  </si>
  <si>
    <t>Педагогика на обучението по химия и опазване на околната среда</t>
  </si>
  <si>
    <t>Педагогика на обучението по химия и физика</t>
  </si>
  <si>
    <t xml:space="preserve">Рекламен дизайн и педагогика (2 семестъра) </t>
  </si>
  <si>
    <t>Рекламен дизайн и педагогика (3 семестъра)</t>
  </si>
  <si>
    <t>Спортна педагогика</t>
  </si>
  <si>
    <t>Спортни дейности и туризъм</t>
  </si>
  <si>
    <t>Технологии за обучение по математика и информатика</t>
  </si>
  <si>
    <t>Технологии за обучение по математика и информатика (3 сем.)</t>
  </si>
  <si>
    <t>Учител по биология на английски език</t>
  </si>
  <si>
    <t>Учител по география в средното училище (2 сем.)</t>
  </si>
  <si>
    <t>Учител по природни науки в основна степен на образование</t>
  </si>
  <si>
    <t>Учител по химия</t>
  </si>
  <si>
    <t>Физика и информатика</t>
  </si>
  <si>
    <t>Физика и математика</t>
  </si>
  <si>
    <t>Физическо възпитание и спорт</t>
  </si>
  <si>
    <t>Химия и английски език</t>
  </si>
  <si>
    <t>Химия и информатика</t>
  </si>
  <si>
    <t>Американистика и британистика</t>
  </si>
  <si>
    <t>Американистика и британистика. Сравнителни изследвания</t>
  </si>
  <si>
    <t>Английска филология</t>
  </si>
  <si>
    <t>Английският език в модерното общуване</t>
  </si>
  <si>
    <t>Антична култура и литература</t>
  </si>
  <si>
    <t>Антична литература и култура</t>
  </si>
  <si>
    <t>Антропологически изследвания на Средиземноморието и Балканите: Италия-България</t>
  </si>
  <si>
    <t>Антропология и филология</t>
  </si>
  <si>
    <t>Арабски език и литература</t>
  </si>
  <si>
    <t>Арабско общество и култура</t>
  </si>
  <si>
    <t>Арабско обществознание</t>
  </si>
  <si>
    <t>Арменска филология</t>
  </si>
  <si>
    <t>Африканистика (на английски език)</t>
  </si>
  <si>
    <t>Балканистика</t>
  </si>
  <si>
    <t>Балканистична тюркология</t>
  </si>
  <si>
    <t>Близкоизточни изследвания: Общество и култура на арабския свят/неспециалисти</t>
  </si>
  <si>
    <t>Близкоизточни изследвания: Общество и култура на арабския свят/специалисти</t>
  </si>
  <si>
    <t>Британска и американска литература</t>
  </si>
  <si>
    <t>Българска филология</t>
  </si>
  <si>
    <t>Германистика</t>
  </si>
  <si>
    <t>Гранични изследвания</t>
  </si>
  <si>
    <t>Европейски съюз и европейска интеграция</t>
  </si>
  <si>
    <t>Език - култура - превод</t>
  </si>
  <si>
    <t>Език - култура - превод (3 сем.)</t>
  </si>
  <si>
    <t>Език и култура (Английски език)</t>
  </si>
  <si>
    <t>Език и културно пространство (приложна лингвистика - български език като чужд)</t>
  </si>
  <si>
    <t>Език и литература</t>
  </si>
  <si>
    <t>Език и общуване</t>
  </si>
  <si>
    <t>Език, езици и народи</t>
  </si>
  <si>
    <t>Език, култура, превод</t>
  </si>
  <si>
    <t>Език, култура, превод (2 сем.)</t>
  </si>
  <si>
    <t>Език-Комуникации-Превод</t>
  </si>
  <si>
    <t>Език.Култура.Превод</t>
  </si>
  <si>
    <t>Езикознание и превод</t>
  </si>
  <si>
    <t>Ибероамериканистика (2 семестъра)</t>
  </si>
  <si>
    <t>Ибероамериканистика (3 семестъра)</t>
  </si>
  <si>
    <t>Ибероамериканистика-летен прием</t>
  </si>
  <si>
    <t>Източноазиатски култури</t>
  </si>
  <si>
    <t>Индийско културознание и обществознание</t>
  </si>
  <si>
    <t>Индийско литературознание</t>
  </si>
  <si>
    <t>Интерпретативна антропология (2 семестъра)</t>
  </si>
  <si>
    <t>Интерпретативна антропология (3 семестъра)</t>
  </si>
  <si>
    <t>Испанска филология</t>
  </si>
  <si>
    <t xml:space="preserve">Испанска филология </t>
  </si>
  <si>
    <t>Италианска филология</t>
  </si>
  <si>
    <t>Класически езици и антична литература (2 сем.)</t>
  </si>
  <si>
    <t xml:space="preserve">Класически езици и антична литература (4 сем.) </t>
  </si>
  <si>
    <t>Компютърна лингвистика</t>
  </si>
  <si>
    <t>Компютърна хуманитаристика</t>
  </si>
  <si>
    <t>Комуникация: език, литература, медии</t>
  </si>
  <si>
    <t>Комуникация: езикови умения, литературна компетентност, медийна грамотност</t>
  </si>
  <si>
    <t>Конферентен превод</t>
  </si>
  <si>
    <t>Корейско обществознание</t>
  </si>
  <si>
    <t>Култура и комуникация</t>
  </si>
  <si>
    <t>Култура и литература</t>
  </si>
  <si>
    <t xml:space="preserve">Култура на Унгария и превод(3 семестъра) </t>
  </si>
  <si>
    <t>Културни взаимодействия: Англо-американски перспективи</t>
  </si>
  <si>
    <t>Лингвистика</t>
  </si>
  <si>
    <t>Лингвистика - езикова система и речеви практики (3 сем.)</t>
  </si>
  <si>
    <t xml:space="preserve">Лингвистика - езикови системи и речеви практики (2 семестъра) </t>
  </si>
  <si>
    <t>Лингвистика на превода</t>
  </si>
  <si>
    <t>Литература</t>
  </si>
  <si>
    <t>Литература и култура на Русия</t>
  </si>
  <si>
    <t>Литература, кино и визуална култура</t>
  </si>
  <si>
    <t>Литература, култура и медии</t>
  </si>
  <si>
    <t>Литературата-творческо писане</t>
  </si>
  <si>
    <t>Литературознание</t>
  </si>
  <si>
    <t>Литературознание (3 семестъра)</t>
  </si>
  <si>
    <t>Междукултурна комуникация и превод с китайски и български език (2 сем.)</t>
  </si>
  <si>
    <t>Междукултурна комуникация и превод с китайски и български език (4 сем.)</t>
  </si>
  <si>
    <t>Методика на чуждоезиковото обучение</t>
  </si>
  <si>
    <t>Немска филология</t>
  </si>
  <si>
    <t>Немска филология с избираем модул "Скандинавски езици"</t>
  </si>
  <si>
    <t>Немскоезична култура и литература през ХХ-ти век</t>
  </si>
  <si>
    <t>Неоелинистика</t>
  </si>
  <si>
    <t>Нордистика</t>
  </si>
  <si>
    <t>Образованието по български език и литература в средното училище</t>
  </si>
  <si>
    <t>Общество и култура на Корея</t>
  </si>
  <si>
    <t>Общество и култура на арабския свят</t>
  </si>
  <si>
    <t>Опазване на българското книжовно наследство (2 семестъра)</t>
  </si>
  <si>
    <t>Опазване на българското книжовно наследство (3 семестъра)</t>
  </si>
  <si>
    <t>Опазване на българското културно наследство(2 семестъра)</t>
  </si>
  <si>
    <t>Опазване на българското културно наследство(3 семестъра)</t>
  </si>
  <si>
    <t>Ориенталистика</t>
  </si>
  <si>
    <t>Османистика</t>
  </si>
  <si>
    <t>Персийска приложна лингвистика</t>
  </si>
  <si>
    <t>Превод</t>
  </si>
  <si>
    <t>Превод (Арабистика)</t>
  </si>
  <si>
    <t>Превод (английски и френски език)</t>
  </si>
  <si>
    <t>Превод (френски и английски език)</t>
  </si>
  <si>
    <t>Превод с източен език (арабски)</t>
  </si>
  <si>
    <t>Превод с източен език (китайски)</t>
  </si>
  <si>
    <t>Превод с източен език (персийски)</t>
  </si>
  <si>
    <t>Преводач-редактор</t>
  </si>
  <si>
    <t>Преводач-редактор (4 сем.)</t>
  </si>
  <si>
    <t xml:space="preserve">Преводач-редактор (италиански език) (2 семестъра) </t>
  </si>
  <si>
    <t>Преводач-редактор с трети семестър в чуждестранен университет (3 сем.)</t>
  </si>
  <si>
    <t>Преводач-редактор(Арабски профил) - 2 сем.</t>
  </si>
  <si>
    <t xml:space="preserve">Преводач-редактор/Италиански език/неспециалисти (3 семестъра) </t>
  </si>
  <si>
    <t>Приложна лингвистика</t>
  </si>
  <si>
    <t>Приложна лингвистика (ИФ) - 3 сем.</t>
  </si>
  <si>
    <t>Приложна лингвистика (английски и немски език)</t>
  </si>
  <si>
    <t>Приложна лингвистика (английски и руски език)</t>
  </si>
  <si>
    <t>Приложна лингвистика (два чужди езика)</t>
  </si>
  <si>
    <t>Приложна лингвистика (немски и турски език)</t>
  </si>
  <si>
    <t>Приложна лингвистика (руски и турски език)</t>
  </si>
  <si>
    <t>Приложна лингвистика - Педагогика на обучението по два чужди езици</t>
  </si>
  <si>
    <t>Приложна лингвистика - Португалска филология</t>
  </si>
  <si>
    <t>Приложна лингвистика - английски език</t>
  </si>
  <si>
    <t>Приложна лингвистика - испански език</t>
  </si>
  <si>
    <t>Приложна лингвистика - немски език</t>
  </si>
  <si>
    <t>Приложна лингвистика - новогръцки език</t>
  </si>
  <si>
    <t>Приложна лингвистика - руски език</t>
  </si>
  <si>
    <t>Приложна лингвистика - френски език</t>
  </si>
  <si>
    <t>Приложна лингвистика с източен език</t>
  </si>
  <si>
    <t>Приложно-лингвистична тюркология</t>
  </si>
  <si>
    <t>Романистика</t>
  </si>
  <si>
    <t>Руска литература, култура и художествен превод (2 семестъра)</t>
  </si>
  <si>
    <t>Руска литература, култура и художествен превод (3 семестъра)</t>
  </si>
  <si>
    <t>Руска филология</t>
  </si>
  <si>
    <t>Руско литературознание</t>
  </si>
  <si>
    <t>Семиотика</t>
  </si>
  <si>
    <t>Семиотика, език и реклама (на английски език)</t>
  </si>
  <si>
    <t>Семиотика, език и реклама (на английски език)-летен прием</t>
  </si>
  <si>
    <t>Скандинавистика</t>
  </si>
  <si>
    <t>Славистика</t>
  </si>
  <si>
    <t>Славянска филология</t>
  </si>
  <si>
    <t>Старобългаристика</t>
  </si>
  <si>
    <t>Старобългаристика (3 семестъра)</t>
  </si>
  <si>
    <t>Старобългаристиката в контекста на византийската книжовност</t>
  </si>
  <si>
    <t>Съвременна Гърция - език и култура (2 сем.)</t>
  </si>
  <si>
    <t>Съпоставителни изследвания</t>
  </si>
  <si>
    <t>Теоретични основи и практика на превода</t>
  </si>
  <si>
    <t>Трансгранична българистика</t>
  </si>
  <si>
    <t>Транслатология</t>
  </si>
  <si>
    <t>Турска филология</t>
  </si>
  <si>
    <t>Тюркология</t>
  </si>
  <si>
    <t>Устен превод</t>
  </si>
  <si>
    <t>Философия, език, комуникация</t>
  </si>
  <si>
    <t>Франкофония, многоезичие и междукултурна медиация</t>
  </si>
  <si>
    <t>Франкофонски изследвания</t>
  </si>
  <si>
    <t>Френска филология</t>
  </si>
  <si>
    <t>Цивилизация на Унгария и превод</t>
  </si>
  <si>
    <t>Чужд език (английски език), литература, медии</t>
  </si>
  <si>
    <t>Чужди езици и култури - Англицистика</t>
  </si>
  <si>
    <t>Чужди езици и култури - Арабистика</t>
  </si>
  <si>
    <t>Чужди езици и култури - Германистика</t>
  </si>
  <si>
    <t>Чужди езици и култури - Египтология с английски език</t>
  </si>
  <si>
    <t>Чужди езици и култури - Иранистика</t>
  </si>
  <si>
    <t>Чужди езици и култури - Испанистика</t>
  </si>
  <si>
    <t>Чужди езици и култури - Класически студии</t>
  </si>
  <si>
    <t>Чужди езици и култури - Неоелинистика (новогръцки език)</t>
  </si>
  <si>
    <t>Чужди езици и култури - Ориенталистика</t>
  </si>
  <si>
    <t>Чужди езици и култури - Романистика (френски език)</t>
  </si>
  <si>
    <t>Чужди езици и култури - Славистика (руски език)</t>
  </si>
  <si>
    <t>Японистика: общество и култура</t>
  </si>
  <si>
    <t>Японски език и култура</t>
  </si>
  <si>
    <t>Японско обществознание</t>
  </si>
  <si>
    <t>„Будизъм: езици, литератури и култури“ (с източен език)</t>
  </si>
  <si>
    <t>Американистика и трансатлантически отношения</t>
  </si>
  <si>
    <t>Антична история и култура</t>
  </si>
  <si>
    <t>Антична история и тракология (3 семестъра)</t>
  </si>
  <si>
    <t>Антична история и тракология (5 семестъра)</t>
  </si>
  <si>
    <t>Античност и Средновековие (неспециалисти)</t>
  </si>
  <si>
    <t xml:space="preserve">Античност и Средновековие (неспециалисти/летен прием) </t>
  </si>
  <si>
    <t>Античност и Средновековие (специалисти)</t>
  </si>
  <si>
    <t xml:space="preserve">Античност и Средновековие (специалисти/летен прием) </t>
  </si>
  <si>
    <t>Археологически изследвания</t>
  </si>
  <si>
    <t>Археология</t>
  </si>
  <si>
    <t>Археометрия</t>
  </si>
  <si>
    <t>Археометрия  (2 семестъра)</t>
  </si>
  <si>
    <t>Архивистика и документалистика</t>
  </si>
  <si>
    <t>Балканите и Русия (история, култура, политика)</t>
  </si>
  <si>
    <t>Балканите и Русия (история, култура, политика) (неспециалисти)</t>
  </si>
  <si>
    <t>Балканите между две цивилизации:християнство и ислям</t>
  </si>
  <si>
    <t>България и българите (7-19 век) (3 семестъра)</t>
  </si>
  <si>
    <t>България и българите (7-19 век) (5 семестъра)</t>
  </si>
  <si>
    <t>Българската дипломация през вековете</t>
  </si>
  <si>
    <t>Българско Средновековие и Възраждане VІІ-XІX</t>
  </si>
  <si>
    <t>Българско средновековие: държава, общество, култура (неспециалисти)</t>
  </si>
  <si>
    <t>Българско средновековие: държава, общество, култура (специалисти)</t>
  </si>
  <si>
    <t>Византия,Балканите и средновековна Европа</t>
  </si>
  <si>
    <t>Възраждане и памет</t>
  </si>
  <si>
    <t>Възраждане и памет (2 сем.)</t>
  </si>
  <si>
    <t>Гражданско образование чрез обучението по история и цивилизация</t>
  </si>
  <si>
    <t>Дигитална хуманитаристика (Digital Humanities) (2 сем.)</t>
  </si>
  <si>
    <t>Дипломация и разузнаване на Балканите</t>
  </si>
  <si>
    <t>Дипломация и разузнаване на Балканите (2 сем.)</t>
  </si>
  <si>
    <t xml:space="preserve">Документален и архивен мениджмънт (2 семестъра) </t>
  </si>
  <si>
    <t xml:space="preserve">Документален и архивен мениджмънт (4 семестъра) </t>
  </si>
  <si>
    <t>Документалистика и архивистика</t>
  </si>
  <si>
    <t>Документални и архивни ресурси</t>
  </si>
  <si>
    <t>Древният Египет в Класическата епоха</t>
  </si>
  <si>
    <t>Евразия, Русия и Източна Европа</t>
  </si>
  <si>
    <t>Европейски Югоизток (2 сем.)</t>
  </si>
  <si>
    <t>Европейски Югоизток (3 семестъра)</t>
  </si>
  <si>
    <t>Европейски Югоизток (4 семестъра)</t>
  </si>
  <si>
    <t>Европейски Югоизток (5 семестъра)</t>
  </si>
  <si>
    <t>Египтология</t>
  </si>
  <si>
    <t>Етничност и национални взаимоотношения в Югоизточна Европа</t>
  </si>
  <si>
    <t>Етнология</t>
  </si>
  <si>
    <t>Защита на документални и архивни ресурси (2 семестъра)</t>
  </si>
  <si>
    <t>Защита на документални и архивни ресурси (4 семестъра)</t>
  </si>
  <si>
    <t xml:space="preserve">Защита на документални и архивни ресурси (неспециалисти) </t>
  </si>
  <si>
    <t>Историко-етнически модели на националната сигурност</t>
  </si>
  <si>
    <t>История</t>
  </si>
  <si>
    <t>История - История на Балканите и Европа</t>
  </si>
  <si>
    <t>История и геополитика на Балканите</t>
  </si>
  <si>
    <t>История и съвременно развитие на страните от Източна Азия(Япония,Китай,Корея)</t>
  </si>
  <si>
    <t>История и съвременност на Русия, Източна Азия и Евразия (2 сем.)</t>
  </si>
  <si>
    <t>История и съвременност на страните от Източна Азия (Япония, Китай, Корея)</t>
  </si>
  <si>
    <t>История на Евразия, Русия и Източна Европа</t>
  </si>
  <si>
    <t>История на Евразия, Русия и Източна Европа (2 сем.)</t>
  </si>
  <si>
    <t>История на Русия</t>
  </si>
  <si>
    <t>История на социалните промени</t>
  </si>
  <si>
    <t>Краезнание и културна политика</t>
  </si>
  <si>
    <t>Кризи, конфликти и дипломация в световната политика (2 сем.)</t>
  </si>
  <si>
    <t>Кризи, конфликти и дипломация в световната политика XVI-XXІ век</t>
  </si>
  <si>
    <t>Кризи, конфликти и дипломация в световната политика-XVII-XXвек</t>
  </si>
  <si>
    <t>Кризи,конфликти и дипломация в световната политика-XVII-XXвек</t>
  </si>
  <si>
    <t>Културно наследство</t>
  </si>
  <si>
    <t>Медии и историческа памет</t>
  </si>
  <si>
    <t>Минало и съвремие на Югоизточна Европа</t>
  </si>
  <si>
    <t>Модерна България: държава и общество (края на 19-нач. на 21 век)</t>
  </si>
  <si>
    <t xml:space="preserve">Модерна България: държава и общество(края на 19-нач.на 21 век)(неспециалисти) </t>
  </si>
  <si>
    <t>Музеология</t>
  </si>
  <si>
    <t>Музеология (3 семестъра)</t>
  </si>
  <si>
    <t>Музеология (5 семестъра)</t>
  </si>
  <si>
    <t>Нова и съвременна българска история</t>
  </si>
  <si>
    <t>Нова и съвременна история на балканските народи</t>
  </si>
  <si>
    <t>Нова история</t>
  </si>
  <si>
    <t>Образованието по история в средното училище</t>
  </si>
  <si>
    <t>Образованието по история в средното училище (3 сем.)</t>
  </si>
  <si>
    <t>Образованието по история в средното училище (3 семестъра)</t>
  </si>
  <si>
    <t>Образованието по история в средното училище (5 семестъра)</t>
  </si>
  <si>
    <t>Праистория</t>
  </si>
  <si>
    <t>Средиземноморски култури и цивилизации през Античността и Средновековието</t>
  </si>
  <si>
    <t>Средновековно общество-идеология и култура</t>
  </si>
  <si>
    <t>Средновековното общество - идеология, политика и култура</t>
  </si>
  <si>
    <t>Средновековното общество-идеология, политика и култура (2 семестъра)</t>
  </si>
  <si>
    <t>Средновековното общество-идеология,политика и култура</t>
  </si>
  <si>
    <t>Стара история и тракология</t>
  </si>
  <si>
    <t>Съвременна история</t>
  </si>
  <si>
    <t>Тракия и културата на Древния свят</t>
  </si>
  <si>
    <t>Християнство и ислям на Балканите</t>
  </si>
  <si>
    <t>Християнство и ислям на Балканите (2 сем.)</t>
  </si>
  <si>
    <t>Виртуална култура</t>
  </si>
  <si>
    <t>Глобалистика</t>
  </si>
  <si>
    <t>Интегративна биоетика (3 семестъра)</t>
  </si>
  <si>
    <t>Интеркултурни изследвания</t>
  </si>
  <si>
    <t>История и съвременност на философията (2 сем.)</t>
  </si>
  <si>
    <t>История и съвременност на философията (3 сем.)</t>
  </si>
  <si>
    <t>История на философията (2 семестъра)</t>
  </si>
  <si>
    <t>История на философията (3 семестъра)</t>
  </si>
  <si>
    <t>Практическа философия</t>
  </si>
  <si>
    <t>Реторика (2 семестъра)</t>
  </si>
  <si>
    <t>Реторика (3 семестъра)</t>
  </si>
  <si>
    <t>Реторика и анализ на дискурса</t>
  </si>
  <si>
    <t>Реторика и анализ на дискурса (3 семестъра)</t>
  </si>
  <si>
    <t>Реторика на руски език</t>
  </si>
  <si>
    <t>Социална философия</t>
  </si>
  <si>
    <t>Социални изследвания на пола</t>
  </si>
  <si>
    <t>Средновековна философия и култура</t>
  </si>
  <si>
    <t>Съвременна философия</t>
  </si>
  <si>
    <t>Философия (2 семестъра)</t>
  </si>
  <si>
    <t>Философия (3 семестъра)</t>
  </si>
  <si>
    <t>Философия (на английски език)</t>
  </si>
  <si>
    <t>Философия и култура на Изтока</t>
  </si>
  <si>
    <t>Философия и практика на реториката</t>
  </si>
  <si>
    <t>Философия и практика на реториката(2 семестъра)</t>
  </si>
  <si>
    <t>Философия на средните училища (2 сем.)</t>
  </si>
  <si>
    <t>Философия на съзнанието и езика</t>
  </si>
  <si>
    <t>Философия с преподаване на английски език</t>
  </si>
  <si>
    <t>Философия с преподаване на английски език (4 сем.)</t>
  </si>
  <si>
    <t>Философска антропология</t>
  </si>
  <si>
    <t>Библейско и историческо  богословие</t>
  </si>
  <si>
    <t>Богословие</t>
  </si>
  <si>
    <t>Вяра и живот</t>
  </si>
  <si>
    <t>Извори и традиция на богословието</t>
  </si>
  <si>
    <t xml:space="preserve">Извори и традиция на богословието </t>
  </si>
  <si>
    <t>Историческо и практическо богословие</t>
  </si>
  <si>
    <t>Литургия и музика (2 семестъра)</t>
  </si>
  <si>
    <t>Литургия и музика (4 семестъра)</t>
  </si>
  <si>
    <t>Религия и образование</t>
  </si>
  <si>
    <t>Религията в Европа</t>
  </si>
  <si>
    <t>Систематическо и практическо богословие</t>
  </si>
  <si>
    <t>Съвременни аспекти на богословието</t>
  </si>
  <si>
    <t>Съвременно православно богословие</t>
  </si>
  <si>
    <t>Теология</t>
  </si>
  <si>
    <t>Християнско поклонничество</t>
  </si>
  <si>
    <t>Християнско поклонничество (2 сем.)</t>
  </si>
  <si>
    <t>Църква и медии (2 сем.)</t>
  </si>
  <si>
    <t>Църква и медии (4 сем.)</t>
  </si>
  <si>
    <t>Църковен мениджмънт (2 сем.)</t>
  </si>
  <si>
    <t>Църковен мениджмънт (4 сем.)</t>
  </si>
  <si>
    <t>Църковно изкуство в България (Оценяване, опазване, презентиране) (2 сем.)</t>
  </si>
  <si>
    <t>Църковно изкуство в България (Оценяване, опазване, презентиране) (4 сем.)</t>
  </si>
  <si>
    <t>Църковно социално дело (2 сем.)</t>
  </si>
  <si>
    <t>Църковно социално дело (4 сем.)</t>
  </si>
  <si>
    <t>Църковно- социално служение</t>
  </si>
  <si>
    <t>ARTES LIBERALES</t>
  </si>
  <si>
    <t>Антропология</t>
  </si>
  <si>
    <t>Градски изследвания</t>
  </si>
  <si>
    <t>Европеистика</t>
  </si>
  <si>
    <t>Европеистика и социални науки</t>
  </si>
  <si>
    <t>Европейска интеграция</t>
  </si>
  <si>
    <t>Европейски изследвания</t>
  </si>
  <si>
    <t xml:space="preserve">Етнология (2 семестъра) </t>
  </si>
  <si>
    <t>Етнология и културна антропология</t>
  </si>
  <si>
    <t xml:space="preserve">Етнология и културна антропология </t>
  </si>
  <si>
    <t>Етнология и културна антропология (2 сем.)</t>
  </si>
  <si>
    <t xml:space="preserve">Етнология и културна антропология (2 сем.) </t>
  </si>
  <si>
    <t>Етнология и културна антропология (4 сем.)</t>
  </si>
  <si>
    <t>Изкуства и съвременност (ХХ-ХХІ век)</t>
  </si>
  <si>
    <t xml:space="preserve">Историко-етнически модели на националната сигурност (2 семестъра) </t>
  </si>
  <si>
    <t>История на жените и половете</t>
  </si>
  <si>
    <t>История на жените и половете /Матилда/</t>
  </si>
  <si>
    <t>История на културата</t>
  </si>
  <si>
    <t>Култура и общество-нови социологически подходи</t>
  </si>
  <si>
    <t>Културна антропология</t>
  </si>
  <si>
    <t>Културна антропология (2 сем.)</t>
  </si>
  <si>
    <t>Културна антропология (3 сем.)</t>
  </si>
  <si>
    <t>Културна антропология (3 семестъра)</t>
  </si>
  <si>
    <t>Културна антропология (5 семестъра)</t>
  </si>
  <si>
    <t>Културна и социална антропология</t>
  </si>
  <si>
    <t>Културология</t>
  </si>
  <si>
    <t>Медии и междукултурни комуникации</t>
  </si>
  <si>
    <t>Медии, комуникация, култура</t>
  </si>
  <si>
    <t>Медии, комуникация, култура (2 сем.)</t>
  </si>
  <si>
    <t>Мениджмънт и социализация на културното наследство</t>
  </si>
  <si>
    <t>Мениджмънт и социализация на културното наследство (2 сем.)</t>
  </si>
  <si>
    <t>Мобилност и миграции</t>
  </si>
  <si>
    <t>Общество и култура: теоретична и историческа социология</t>
  </si>
  <si>
    <t>Политическа социология</t>
  </si>
  <si>
    <t>Политическа социология (2 сем.)</t>
  </si>
  <si>
    <t>Социологическа диагностика на съвременността</t>
  </si>
  <si>
    <t>Социология</t>
  </si>
  <si>
    <t>Трудови пазари и развитие на човешките ресурси</t>
  </si>
  <si>
    <t>Югоизточна Европа</t>
  </si>
  <si>
    <t>Южна, Източна и Югоизточна Азия</t>
  </si>
  <si>
    <t>Южна, източна и югоизточна Азия</t>
  </si>
  <si>
    <t>Детска и юношеска психология(диагностика и консултиране)</t>
  </si>
  <si>
    <t>Детско-юношеска и училищна психология (диагностика и консултиране)</t>
  </si>
  <si>
    <t>Диагностика на развитието в детско-юношеска възраст</t>
  </si>
  <si>
    <t>Изследване на мира и управление на конфликти</t>
  </si>
  <si>
    <t>Клинична и консултативна психология</t>
  </si>
  <si>
    <t>Клинична психология</t>
  </si>
  <si>
    <t>Клинична психология (5 сем.)</t>
  </si>
  <si>
    <t>Клинична психология - психоаналитична перспектива</t>
  </si>
  <si>
    <t>Когнитивна наука</t>
  </si>
  <si>
    <t>Обща психология на английски език</t>
  </si>
  <si>
    <t>Организационен мениджмънт и дипломация</t>
  </si>
  <si>
    <t>Организационна психология и кроскултурен мениджмънт /на английски език/</t>
  </si>
  <si>
    <t>Организационно поведение и консултиране на организацията (3 сем.)</t>
  </si>
  <si>
    <t>Организационно поведение и управление на организацията</t>
  </si>
  <si>
    <t>Поведенчески и социални науки</t>
  </si>
  <si>
    <t>Психология и социология на управлението</t>
  </si>
  <si>
    <t>Психология на здравето (3сем.)</t>
  </si>
  <si>
    <t>Психология на здравето (5 сем.)</t>
  </si>
  <si>
    <t>Социална и криминална психология (3 сем.)</t>
  </si>
  <si>
    <t>Социална и юридическа психология</t>
  </si>
  <si>
    <t>Социална психология</t>
  </si>
  <si>
    <t>Трудова и организационна психология</t>
  </si>
  <si>
    <t>Административни практики</t>
  </si>
  <si>
    <t>Геополитика</t>
  </si>
  <si>
    <t>Дипломация и международни отношения</t>
  </si>
  <si>
    <t>Е-Европа</t>
  </si>
  <si>
    <t>Е-Европа (2 сем.)</t>
  </si>
  <si>
    <t>Европа и Азия: Културна дипломация и геополитика на Европейския съюз (3 сем.)</t>
  </si>
  <si>
    <t>Европеистика и науки за обществото</t>
  </si>
  <si>
    <t xml:space="preserve">Европейска интеграция (2 семестъра) </t>
  </si>
  <si>
    <t>Европейска интеграция (3 семестъра)</t>
  </si>
  <si>
    <t>Европейска интеграция и дипломация на ЕС</t>
  </si>
  <si>
    <t>Европейска интеграция и дипломация на ЕС (2 сем.)</t>
  </si>
  <si>
    <t>Европейска публична администрация</t>
  </si>
  <si>
    <t>Европейски иследвания</t>
  </si>
  <si>
    <t>Европейски отношения (3 семестъра)</t>
  </si>
  <si>
    <t xml:space="preserve">Европейски отношения (4 семестъра) </t>
  </si>
  <si>
    <t>Европейски проекти</t>
  </si>
  <si>
    <t>Европейски проекти (2 сем.)</t>
  </si>
  <si>
    <t>Защита на основните права (2 сем.)</t>
  </si>
  <si>
    <t>Културни връзки и геополитика на Европейския съюз</t>
  </si>
  <si>
    <t>Международна сигурност (2 сем.)</t>
  </si>
  <si>
    <t>Международна сигурност (3 семестъра)</t>
  </si>
  <si>
    <t>Международна сигурност (4 семестъра)</t>
  </si>
  <si>
    <t>Международни бизнес отношения (3 семестъра)</t>
  </si>
  <si>
    <t>Международни бизнес отношения (4 семестъра)</t>
  </si>
  <si>
    <t>Международни организации и многостранна дипломация (3 семестъра)</t>
  </si>
  <si>
    <t>Международни организации и многостранна дипломация (4 семестъра)</t>
  </si>
  <si>
    <t>Международни отношения</t>
  </si>
  <si>
    <t xml:space="preserve">Международни отношения </t>
  </si>
  <si>
    <t>Международни отношения и проблеми на сигурността</t>
  </si>
  <si>
    <t>Международни политически отношения и сигурност</t>
  </si>
  <si>
    <t>Политика и интеграционни политики на ЕС (на английски език)-3 сем.</t>
  </si>
  <si>
    <t>Политика и масови комуникации</t>
  </si>
  <si>
    <t>Политика и масови комуникации на френски език</t>
  </si>
  <si>
    <t>Политическа власт и технологии</t>
  </si>
  <si>
    <t>Политически институции и технологии</t>
  </si>
  <si>
    <t>Политически мениджмънт</t>
  </si>
  <si>
    <t>Политически мениджмънт и консултиране (2 сем.)</t>
  </si>
  <si>
    <t>Политически науки на френски език</t>
  </si>
  <si>
    <t>Политически патологии на глобалния свят (анг.ез.) - 2 сем.</t>
  </si>
  <si>
    <t>Политически технологии и глобализация</t>
  </si>
  <si>
    <t>Политическо консултиране</t>
  </si>
  <si>
    <t>Политическо консултиране (неспециалисти)</t>
  </si>
  <si>
    <t>Политология</t>
  </si>
  <si>
    <t>Политология  (4 семестъра)</t>
  </si>
  <si>
    <t>Политология и международни отношения</t>
  </si>
  <si>
    <t>Политология на френски език</t>
  </si>
  <si>
    <t>Право на Европейския съюз (2 семестъра)</t>
  </si>
  <si>
    <t>Право на Европейския съюз (3 семестъра)</t>
  </si>
  <si>
    <t>Публичен мениджмънт и  политики</t>
  </si>
  <si>
    <t>Публична администрация</t>
  </si>
  <si>
    <t>Публични политики</t>
  </si>
  <si>
    <t>Частни отношения с презгранични последици в европейския съюз (3 семестъра)</t>
  </si>
  <si>
    <t>Артистични психо-социални практики</t>
  </si>
  <si>
    <t>Застраховане и социално дело</t>
  </si>
  <si>
    <t>Квалификация и пренасочване на работната сила</t>
  </si>
  <si>
    <t>Клинична социална работа</t>
  </si>
  <si>
    <t>Криминология и социална превенция</t>
  </si>
  <si>
    <t>Мениджмънт на социалните дейности (3 сем.)</t>
  </si>
  <si>
    <t>Социална работа в общински структури</t>
  </si>
  <si>
    <t xml:space="preserve">Социална работа с бежанци и мигранти (2 сем.) </t>
  </si>
  <si>
    <t>Социална работа с бежанци и мигранти (3 сем.)</t>
  </si>
  <si>
    <t>Социална работа с деца</t>
  </si>
  <si>
    <t>Социална работа с деца и семийства</t>
  </si>
  <si>
    <t>Социалната работа в общински структури</t>
  </si>
  <si>
    <t>Управление на институциите за социална работа</t>
  </si>
  <si>
    <t>Фамилна и брачна консултация</t>
  </si>
  <si>
    <t>Библиология</t>
  </si>
  <si>
    <t>Библиотекознание и библиография</t>
  </si>
  <si>
    <t>Библиотечен мениджмънт</t>
  </si>
  <si>
    <t>Библиотечно-информационни дейности</t>
  </si>
  <si>
    <t>Библиотечно-информационни дейности и културна политика</t>
  </si>
  <si>
    <t>Библиотечно-информационни комуникации</t>
  </si>
  <si>
    <t>Библиотечно-информационни науки</t>
  </si>
  <si>
    <t>Библиотечно-информационни науки и културна политика</t>
  </si>
  <si>
    <t>Библиотечно-информационни науки и културна политика (2 семестъра)</t>
  </si>
  <si>
    <t>Библиотечно-информационни технологии</t>
  </si>
  <si>
    <t xml:space="preserve">Библиотечно-информационные науки на русском языке </t>
  </si>
  <si>
    <t>Бизнес журналистика</t>
  </si>
  <si>
    <t>Бизнес и административни комуникации</t>
  </si>
  <si>
    <t>Връзки с обществеността</t>
  </si>
  <si>
    <t>Вътрешно-политическа журналистика</t>
  </si>
  <si>
    <t>Дигитални медии и видеоигри (3 сем.)</t>
  </si>
  <si>
    <t>Дигитални медии и комуникация /на английски език/</t>
  </si>
  <si>
    <t>Електронни медии</t>
  </si>
  <si>
    <t>Електронни медии (2 семестъра)</t>
  </si>
  <si>
    <t>Журналистика</t>
  </si>
  <si>
    <t>Журналистика и масмедии</t>
  </si>
  <si>
    <t>Журналистика и масови комуникации</t>
  </si>
  <si>
    <t>Журналистика и медии</t>
  </si>
  <si>
    <t>Информационни технологии</t>
  </si>
  <si>
    <t>Информационни технологии и информационно брокерство</t>
  </si>
  <si>
    <t>Информационни фондове на културно-историческото наследство</t>
  </si>
  <si>
    <t>Информационно брокерство</t>
  </si>
  <si>
    <t>История на книгата и четенето</t>
  </si>
  <si>
    <t>Книгознание и книгоразпространение</t>
  </si>
  <si>
    <t>Книгоиздаване</t>
  </si>
  <si>
    <t>Книгоиздаване през 21 век</t>
  </si>
  <si>
    <t>Комуникационен мениджмънт</t>
  </si>
  <si>
    <t>Креативна комуникация</t>
  </si>
  <si>
    <t>Културно-историческо наследство</t>
  </si>
  <si>
    <t>Културно-историческо наследство в информационното общество</t>
  </si>
  <si>
    <t>Лайфстайл журналистика</t>
  </si>
  <si>
    <t>Лайфстайл журналистика (2 семестъра)</t>
  </si>
  <si>
    <t>Масови комуникации</t>
  </si>
  <si>
    <t>Масови комуникации и журналистика</t>
  </si>
  <si>
    <t>Медиен дизайн</t>
  </si>
  <si>
    <t>Медии и реклама</t>
  </si>
  <si>
    <t>Международна журналистика</t>
  </si>
  <si>
    <t>Международна журналистика (3 семестъра)</t>
  </si>
  <si>
    <t>Мениджмънт на информация и знания</t>
  </si>
  <si>
    <t>Онлайн журналистика и медии</t>
  </si>
  <si>
    <t>Организация и управление на информация и знание</t>
  </si>
  <si>
    <t>Печатни медии</t>
  </si>
  <si>
    <t>Преса и медии</t>
  </si>
  <si>
    <t>Продуцентство в електронните медии</t>
  </si>
  <si>
    <t>Продуцентство и креативна индустрия (2 семестъра)</t>
  </si>
  <si>
    <t xml:space="preserve">Продуцентство и креативна индустрия (3 семестъра) </t>
  </si>
  <si>
    <t>Публична комуникация</t>
  </si>
  <si>
    <t>Публични информационни системи</t>
  </si>
  <si>
    <t>Реклама</t>
  </si>
  <si>
    <t>Реклама и публична комуникация</t>
  </si>
  <si>
    <t>Спортна журналистика</t>
  </si>
  <si>
    <t>Традиционно и дигитално публикуване (3 сем.)</t>
  </si>
  <si>
    <t>Управление и регулация на медиите</t>
  </si>
  <si>
    <t>Управление на електронно съдържание</t>
  </si>
  <si>
    <t>Управление на информационните ресурси</t>
  </si>
  <si>
    <t>Управление на книгоиздаването и книготърговията</t>
  </si>
  <si>
    <t>Управление на масовите комуникации</t>
  </si>
  <si>
    <t>Управление на масовите комуникации и връзки с обществеността</t>
  </si>
  <si>
    <t>Европейски отношения</t>
  </si>
  <si>
    <t>Международна сигурност</t>
  </si>
  <si>
    <t>Международни бизнес отношения</t>
  </si>
  <si>
    <t>Международни организации и многостранна дипломация</t>
  </si>
  <si>
    <t>Право (10 семестъра)</t>
  </si>
  <si>
    <t>Право на Европейския съюз</t>
  </si>
  <si>
    <t xml:space="preserve">Право на Европейския съюз </t>
  </si>
  <si>
    <t>Частни отношения с презгранични последици в европейския съюз</t>
  </si>
  <si>
    <t>Бизнес администрация</t>
  </si>
  <si>
    <t>Бизнес администрация (2 сем.)</t>
  </si>
  <si>
    <t>Бизнес администрация (на английски език)</t>
  </si>
  <si>
    <t xml:space="preserve">Бизнес администрация (на английски език) </t>
  </si>
  <si>
    <t>Бизнес администрация - Икономика и управление на здравеопазването (3 семестъра)</t>
  </si>
  <si>
    <t>Бизнес администрация - Икономика и управление на здравеопазването (5 семестъра)</t>
  </si>
  <si>
    <t>Бизнес администрация – управление и предприемачество</t>
  </si>
  <si>
    <t>Бизнес администрация- стратегическо управление</t>
  </si>
  <si>
    <t>Бизнес администрация- стратегическо управление (4 сем.)</t>
  </si>
  <si>
    <t>Бизнес администрация- управление на човешките ресурси</t>
  </si>
  <si>
    <t>Бизнес администрация-развитие на човешките ресурси (2 сем.)</t>
  </si>
  <si>
    <t xml:space="preserve">Бизнес администрация-развитие на човешките ресурси (4 сем.) </t>
  </si>
  <si>
    <t>Бизнес администрация-развитие на човешките ресурси (на английски език) (2 семестъра)</t>
  </si>
  <si>
    <t>Бизнес администрация-развитие на човешките ресурси (на английски език) (4 сем.)</t>
  </si>
  <si>
    <t>Бизнес администрация-стратегическо управление (2 сем.)</t>
  </si>
  <si>
    <t>Бизнес администрация-стратегическо управление (на английски език) (2 семестъра)</t>
  </si>
  <si>
    <t>Бизнес администрация-стратегическо управление (на английски език) (4 семестъра)</t>
  </si>
  <si>
    <t>Геймификация в бизнеса, публичния и неправителствения сектор (2 сем.)</t>
  </si>
  <si>
    <t>Германски изследвания</t>
  </si>
  <si>
    <t>Гражданска регистрация и административно обслужване</t>
  </si>
  <si>
    <t xml:space="preserve">Гражданска регистрация и административно обслужване (5 семестъра) </t>
  </si>
  <si>
    <t>Дигитален маркетинг (2 сем.)</t>
  </si>
  <si>
    <t>Дигитален маркетинг (4 сем.)</t>
  </si>
  <si>
    <t>Дигитален мениджмънт в туризма (2 сем.)</t>
  </si>
  <si>
    <t>Държавна и местна администрация</t>
  </si>
  <si>
    <t>Държавно управление</t>
  </si>
  <si>
    <t>Европейска публична администрация (2 сем.)</t>
  </si>
  <si>
    <t>Здравен мениджмънт</t>
  </si>
  <si>
    <t>Икономика и мениджмънт на туризма на историческото наследство</t>
  </si>
  <si>
    <t>Икономика и управление на публичния сектор</t>
  </si>
  <si>
    <t>Икономика и управление на публичния сектор (2 сем.)</t>
  </si>
  <si>
    <t xml:space="preserve">Икономика и управление на публичния сектор (4 сем.) </t>
  </si>
  <si>
    <t>Икономика и управление на туризма</t>
  </si>
  <si>
    <t>Икономика и управление на туризма (4 сем.)</t>
  </si>
  <si>
    <t>Индустриален мениджмънт и маркетинг</t>
  </si>
  <si>
    <t>Информатика и информационни технологии в бизнеса</t>
  </si>
  <si>
    <t>Корпоративно управление</t>
  </si>
  <si>
    <t>Мениджмънт и организационно съвършенство</t>
  </si>
  <si>
    <t>Мениджмънт на бизнес организациите</t>
  </si>
  <si>
    <t>Мениджмънт на здравеопазването</t>
  </si>
  <si>
    <t>Мениджмънт на индустрията</t>
  </si>
  <si>
    <t>Мениджмънт на сигурността</t>
  </si>
  <si>
    <t>Мениджмънт на телекомуникациите</t>
  </si>
  <si>
    <t>Мениджмънт на териториалното развитие</t>
  </si>
  <si>
    <t>Мениджмънт на човешките ресурси (Социална отговорност на предприятието)</t>
  </si>
  <si>
    <t>Организационно развитие</t>
  </si>
  <si>
    <t>Отговорно и устойчиво управление</t>
  </si>
  <si>
    <t>Оценка на политики и оценка на въздействие (2 сем.)</t>
  </si>
  <si>
    <t>Планиране и управление на териториални системи</t>
  </si>
  <si>
    <t xml:space="preserve">Планиране и управление на териториални системи (3 семестъра) </t>
  </si>
  <si>
    <t>Планиране и управление на териториални системи (4 семестъра)</t>
  </si>
  <si>
    <t>Приложни социални изследвания</t>
  </si>
  <si>
    <t>Публичен мениджмънт и политики</t>
  </si>
  <si>
    <t>Публичен мениджмънт и политики (2 сем.)</t>
  </si>
  <si>
    <t>Публична администрация (2 сем.)</t>
  </si>
  <si>
    <t xml:space="preserve">Публична администрация (3 семестъра) </t>
  </si>
  <si>
    <t>Публична администрация /на английски език/</t>
  </si>
  <si>
    <t>Публична администрация и Европеистика</t>
  </si>
  <si>
    <t>Регионална сигурност</t>
  </si>
  <si>
    <t>Регионална сигурност (4 сем.)</t>
  </si>
  <si>
    <t xml:space="preserve">Регионална сигурност (4 семестъра) </t>
  </si>
  <si>
    <t>Регионална сигурност (5 сем.)</t>
  </si>
  <si>
    <t xml:space="preserve">Регионална сигурност (5 семестъра) </t>
  </si>
  <si>
    <t>Регионална сигурност (неспециалисти- 3 семестъра)</t>
  </si>
  <si>
    <t>Регионална сигурност (специалисти- 2 семестъра)</t>
  </si>
  <si>
    <t>Регионална сигурност (специалисти- 3 семестъра)</t>
  </si>
  <si>
    <t>Регионално развитие и политика</t>
  </si>
  <si>
    <t>Стопанска логистика</t>
  </si>
  <si>
    <t>Стопанско управление</t>
  </si>
  <si>
    <t>Стопанско управление (след ОКС "специалист")</t>
  </si>
  <si>
    <t>Стопанско управление (широк профил)</t>
  </si>
  <si>
    <t>Стопанско управление за ръководни кадри</t>
  </si>
  <si>
    <t>Стратегическо управление</t>
  </si>
  <si>
    <t>Управление и продуценство в музикалното изкуство</t>
  </si>
  <si>
    <t>Управление и развитие на човешките ресурси</t>
  </si>
  <si>
    <t>Управление на бизнеса в ЕС</t>
  </si>
  <si>
    <t>Управление на иновациите в публичния сектор (3 семестъра)</t>
  </si>
  <si>
    <t>Управление на иновациите в публичния сектор (5 семестъра)</t>
  </si>
  <si>
    <t>Управление на маркетинга</t>
  </si>
  <si>
    <t>Управление на системи от сектора за сигурност</t>
  </si>
  <si>
    <t>Управление на фирмената сигурност</t>
  </si>
  <si>
    <t>Управление на човешките ресурси</t>
  </si>
  <si>
    <t xml:space="preserve">Управление на човешките ресурси (5 семестъра) </t>
  </si>
  <si>
    <t>Управление на човешките ресурси-ПБ (4 сем.)</t>
  </si>
  <si>
    <t>Управление чрез тотално качество и организационно съвършенство</t>
  </si>
  <si>
    <t>Управленски информационни системи</t>
  </si>
  <si>
    <t>Управленски информационни системи (2 сем.)</t>
  </si>
  <si>
    <t>Управленски информационни системи (4 сем.)</t>
  </si>
  <si>
    <t>Аграрна икономика</t>
  </si>
  <si>
    <t>Агробизнес</t>
  </si>
  <si>
    <t>Актюерство и управление на риска</t>
  </si>
  <si>
    <t>Аутсорсинг проекти и компании (2 сем.)</t>
  </si>
  <si>
    <t>Банков мениджмънт</t>
  </si>
  <si>
    <t>Бизнес администрация (стопанско управление)</t>
  </si>
  <si>
    <t>Бизнес информатика</t>
  </si>
  <si>
    <t>Бизнеспланиране</t>
  </si>
  <si>
    <t>Валутен и митнически контрол</t>
  </si>
  <si>
    <t>Дигитална трансформация на застрахователния бизнес (2сем.)</t>
  </si>
  <si>
    <t>Държавни и общински финанси</t>
  </si>
  <si>
    <t>Евроикономика</t>
  </si>
  <si>
    <t>Европейска икономическа интеграция</t>
  </si>
  <si>
    <t>Енергийна икономика и мениджмънт</t>
  </si>
  <si>
    <t>Енергийни пазари и услуги (2 сем.)</t>
  </si>
  <si>
    <t>Застраховане</t>
  </si>
  <si>
    <t>Застраховане и осигуряване</t>
  </si>
  <si>
    <t>Застрахователно счетоводство</t>
  </si>
  <si>
    <t>Изкуствен интелект за бизнес и финанси (2 сем.)</t>
  </si>
  <si>
    <t>Икономика и организация на труда</t>
  </si>
  <si>
    <t>Икономика и право (2 сем.)</t>
  </si>
  <si>
    <t>Икономика и управление в енергетиката, инфраструктурата и комуналните услуги (2 сем.)</t>
  </si>
  <si>
    <t xml:space="preserve">Икономика и управление в енергетиката, инфраструктурата и комуналните услуги (4 сем.) </t>
  </si>
  <si>
    <t>Икономика и управление в енергетиката, инфраструктурата и комуналните услуги (ПБ)</t>
  </si>
  <si>
    <t>Икономика и управление в енергетиката,инфраструктурата и комуналните услуги</t>
  </si>
  <si>
    <t xml:space="preserve">Икономика и управление в енергетиката,инфраструктурата и комуналните услуги </t>
  </si>
  <si>
    <t>Икономика и управление в енергетиката,инфраструктурата и комуналните услуги  (2 семестъра)</t>
  </si>
  <si>
    <t>Икономика и управление в енергетиката,инфраструктурата и комуналните услуги (4 семестъра)</t>
  </si>
  <si>
    <t>Икономика и управление на аграрния сектор</t>
  </si>
  <si>
    <t xml:space="preserve">Икономика и управление на горивата и енергетиката </t>
  </si>
  <si>
    <t xml:space="preserve">Икономика и управление на логистиката и веригите за снабдяване (3 семестъра) </t>
  </si>
  <si>
    <t>Икономика и управление на логистиката и веригите за снабдяване (5 семестъра)</t>
  </si>
  <si>
    <t>Икономика и управление на образованието,науката и иновациите</t>
  </si>
  <si>
    <t>Икономика и управление на публични ресурси (2 сем.)</t>
  </si>
  <si>
    <t>Икономика и управление на сгради и съоръжения</t>
  </si>
  <si>
    <t>Икономика и финанси</t>
  </si>
  <si>
    <t>Икономика и финанси (2 сем)</t>
  </si>
  <si>
    <t>Икономика на индустрията</t>
  </si>
  <si>
    <t>Икономика на интелектуалната собственост</t>
  </si>
  <si>
    <t>Икономика на кооперациите</t>
  </si>
  <si>
    <t>Икономика на масмедииите</t>
  </si>
  <si>
    <t>Икономика на недвижимата собственост</t>
  </si>
  <si>
    <t>Икономика на отбраната и сигурността</t>
  </si>
  <si>
    <t>Икономика на социално-културната сфера</t>
  </si>
  <si>
    <t>Икономика на строителство</t>
  </si>
  <si>
    <t>Икономика на строителство (строително предприемачество)</t>
  </si>
  <si>
    <t>Икономика на съобщенията</t>
  </si>
  <si>
    <t>Икономика на транспорта</t>
  </si>
  <si>
    <t>Икономика на транспортната фирма</t>
  </si>
  <si>
    <t>Икономика на туризма</t>
  </si>
  <si>
    <t>Икономика на търговията</t>
  </si>
  <si>
    <t>Икономика на фирмата</t>
  </si>
  <si>
    <t>Икономика със специализация икономическа психология и икономическа педагогика</t>
  </si>
  <si>
    <t>Икономика със специализация икономическа социология</t>
  </si>
  <si>
    <t>Икономическа педагогика</t>
  </si>
  <si>
    <t>Икономическа психология</t>
  </si>
  <si>
    <t>Икономическа социология</t>
  </si>
  <si>
    <t>Индустриален бизнес и администрация</t>
  </si>
  <si>
    <t>Индустриален мениджмънт</t>
  </si>
  <si>
    <t>Информационни технологии в бизнеса</t>
  </si>
  <si>
    <t>Качество и експертиза на стоките</t>
  </si>
  <si>
    <t>Корпоративен мениджмънт</t>
  </si>
  <si>
    <t>Корпоративен приложен маркетинг</t>
  </si>
  <si>
    <t>Корпоративна сигурност</t>
  </si>
  <si>
    <t>Корпоративни финанси</t>
  </si>
  <si>
    <t>Корпоративно развитие и управление</t>
  </si>
  <si>
    <t>Корпоративно счетоводство със секторна специализация (2 сем.)</t>
  </si>
  <si>
    <t>Корпоративно счетоводство със секторна специализация (2сем.)</t>
  </si>
  <si>
    <t xml:space="preserve">Корпоративно счетоводство със секторна специализация (4 сем.) </t>
  </si>
  <si>
    <t>Корпоративно счетоводство със секторна специализация (4сем.)</t>
  </si>
  <si>
    <t>Макроикономика</t>
  </si>
  <si>
    <t>Маркетинг</t>
  </si>
  <si>
    <t>Маркетингови информационни системи</t>
  </si>
  <si>
    <t>Международен бизнес</t>
  </si>
  <si>
    <t>Международен бизнес и мениджмънт</t>
  </si>
  <si>
    <t>Международен бизнес и предприемачество</t>
  </si>
  <si>
    <t>Международен маркетинг</t>
  </si>
  <si>
    <t>Международен туризъм</t>
  </si>
  <si>
    <t>Международни икономически отношения</t>
  </si>
  <si>
    <t>Международни финанси</t>
  </si>
  <si>
    <t>Мениджмънт на агробизнес организациите</t>
  </si>
  <si>
    <t>Мениджмънт на търговската дейност</t>
  </si>
  <si>
    <t>Митнически и данъчен контрол (2 сем.)</t>
  </si>
  <si>
    <t>Моделиране на големи данни в бизнеса и финансите (2 сем.)</t>
  </si>
  <si>
    <t>Моделиране на големи данни в бизнеса и финансите (Business Analytics)</t>
  </si>
  <si>
    <t>Моделиране на големи данни в бизнеса и финансите (Business Analytics) - 2 сем.</t>
  </si>
  <si>
    <t>Моделиране на големи данни в бизнеса и финансите (Business Analytics) - 3 сем.</t>
  </si>
  <si>
    <t>Моделиране на големи данни в бизнеса и финансите (Business Analytics)-2сем-летен прием</t>
  </si>
  <si>
    <t>Моделиране на големи данни в бизнеса и финансите (Business Analytics)-2сем.</t>
  </si>
  <si>
    <t>Моделиране на големи данни в бизнеса и финансите (Business Analytics)-3сем-летен прием</t>
  </si>
  <si>
    <t>Моделиране на големи данни в бизнеса и финансите (Business Analytics)-3сем.</t>
  </si>
  <si>
    <t>Парични и капиталови пазари</t>
  </si>
  <si>
    <t>Приложна иконометрия и икономическо моделиране /на английски език/</t>
  </si>
  <si>
    <t>Приложна иконометрия и икономическо моделиране на английски език (3 сем.)</t>
  </si>
  <si>
    <t>Приложна иконометрия и икономическо моделиране на английски език (4 сем.)</t>
  </si>
  <si>
    <t>Приложна икономика (2 сем.)</t>
  </si>
  <si>
    <t>Приложна икономика (3 семестъра)</t>
  </si>
  <si>
    <t>Приложна икономика (4 сем.)</t>
  </si>
  <si>
    <t>Приложна икономика (5 семестъра)</t>
  </si>
  <si>
    <t>Приложна икономика-ПБ</t>
  </si>
  <si>
    <t>Прогнозиране и планиране</t>
  </si>
  <si>
    <t>Прогнозиране на финансови пазари</t>
  </si>
  <si>
    <t>Публични финанси</t>
  </si>
  <si>
    <t>Регионално планиране и развитие</t>
  </si>
  <si>
    <t>Реклама и връзки с обществеността</t>
  </si>
  <si>
    <t>Социален мениджмънт</t>
  </si>
  <si>
    <t>Статистика</t>
  </si>
  <si>
    <t>Статистика и иконометрия</t>
  </si>
  <si>
    <t>Статистика и финансова иконометрия</t>
  </si>
  <si>
    <t>Статистика, иконометрия и актюерство (2 сем.)</t>
  </si>
  <si>
    <t>Статистика, иконометрия и актюерство (3 семестъра)</t>
  </si>
  <si>
    <t xml:space="preserve">Статистика, иконометрия и актюерство (4 сем.) </t>
  </si>
  <si>
    <t>Статистика, иконометрия и актюерство (5 семестъра)</t>
  </si>
  <si>
    <t>Статистика, иконометрия и актюерство-ПБ</t>
  </si>
  <si>
    <t>Стокознание</t>
  </si>
  <si>
    <t>Стопански и финансов контрол</t>
  </si>
  <si>
    <t>Счетоводство</t>
  </si>
  <si>
    <t>Счетоводство и анализ на големи данни (2 сем.)</t>
  </si>
  <si>
    <t>Счетоводство и анализ на големи данни (4 сем.)</t>
  </si>
  <si>
    <t>Счетоводство и контрол</t>
  </si>
  <si>
    <t>Счетоводство и контрол (3 семестъра)</t>
  </si>
  <si>
    <t>Счетоводство и одит (3 сем.)</t>
  </si>
  <si>
    <t>Счетоводство и одит (3 семестъра)</t>
  </si>
  <si>
    <t>Счетоводство и одит (4 сем.)</t>
  </si>
  <si>
    <t>Счетоводство и одит (5 сем.)</t>
  </si>
  <si>
    <t>Счетоводство и одит (5семестъра)</t>
  </si>
  <si>
    <t>Счетоводство и одит в банките</t>
  </si>
  <si>
    <t>Счетоводство и одит в нефинансовите предприятия</t>
  </si>
  <si>
    <t>Счетоводство и одит в публичния сектор</t>
  </si>
  <si>
    <t>Счетоводство на предприятието</t>
  </si>
  <si>
    <t>Счетоводство, финанси и дигитални приложения на английски език</t>
  </si>
  <si>
    <t>Управление на международни проекти</t>
  </si>
  <si>
    <t>Управление на продажбите</t>
  </si>
  <si>
    <t>Фасилити мениджмънт (2 сем.)</t>
  </si>
  <si>
    <t>Финанси</t>
  </si>
  <si>
    <t>Финанси и банково дело</t>
  </si>
  <si>
    <t>Финанси и банково дело (3 сем.)</t>
  </si>
  <si>
    <t xml:space="preserve">Финанси и банково дело (5 сем.) </t>
  </si>
  <si>
    <t>Финанси и банково дело (5 семестъра)</t>
  </si>
  <si>
    <t>Финанси и инвестиции (2 сем.)</t>
  </si>
  <si>
    <t>Финанси и инвестиции (4 сем.)</t>
  </si>
  <si>
    <t>Финанси, инвестиции и финтех (3 сем.)</t>
  </si>
  <si>
    <t xml:space="preserve">Финанси, инвестиции и финтех (4 сем.) </t>
  </si>
  <si>
    <t>Финанси, счетоводство и анализ на големи данни (3 сем.)</t>
  </si>
  <si>
    <t>Финансов контрол</t>
  </si>
  <si>
    <t>Финансов мениджмънт</t>
  </si>
  <si>
    <t>Финансов мениджмънт (на английски език)</t>
  </si>
  <si>
    <t>Финансов мениджмънт (на английски език)-неик.</t>
  </si>
  <si>
    <t>Финансов мениджмънт - на английски език (3 семестъра)</t>
  </si>
  <si>
    <t>Финансов мениджмънт- на френски език</t>
  </si>
  <si>
    <t>Финансов мениджмънт-на френски и английски език</t>
  </si>
  <si>
    <t>Аграрен туризъм</t>
  </si>
  <si>
    <t>Екотуризъм</t>
  </si>
  <si>
    <t>Културен туризъм</t>
  </si>
  <si>
    <t>Международен алтернативен туризъм</t>
  </si>
  <si>
    <t>Религиозен туризъм</t>
  </si>
  <si>
    <t>Туризъм (4 сем.)</t>
  </si>
  <si>
    <t>Туризъм (5 семестъра)</t>
  </si>
  <si>
    <t>Управление на туризма</t>
  </si>
  <si>
    <t>Управление на туристическите дестинации (2 сем.)</t>
  </si>
  <si>
    <t>Управление на туристическите дестинации (4 сем.)</t>
  </si>
  <si>
    <t>Аерокосмическо инженерство и комуникации</t>
  </si>
  <si>
    <t>Астрономия</t>
  </si>
  <si>
    <t>Астрономия и астрофизика</t>
  </si>
  <si>
    <t>Астрономия и популяризация на астрономията</t>
  </si>
  <si>
    <t>Астрофизика, метеорология и геофизика</t>
  </si>
  <si>
    <t>Безжични мрежи и устройства</t>
  </si>
  <si>
    <t>Геофизика</t>
  </si>
  <si>
    <t xml:space="preserve">Геофизика </t>
  </si>
  <si>
    <t xml:space="preserve">Геофизика (2 семестъра) </t>
  </si>
  <si>
    <t xml:space="preserve">Геофизика (4 семестъра) </t>
  </si>
  <si>
    <t>Инженерна физика</t>
  </si>
  <si>
    <t>Интегрална и дискретна оптоелектроника</t>
  </si>
  <si>
    <t>Квантова електроника и лазарна техника</t>
  </si>
  <si>
    <t xml:space="preserve">Квантова електроника и лазарна техника </t>
  </si>
  <si>
    <t>Квантова и космическа теоретична физика</t>
  </si>
  <si>
    <t xml:space="preserve">Квантова информатика </t>
  </si>
  <si>
    <t>Комуникации и физична електроника</t>
  </si>
  <si>
    <t>Космически изследвания</t>
  </si>
  <si>
    <t xml:space="preserve">Космически изследвания </t>
  </si>
  <si>
    <t>Лазарна физика и оптика</t>
  </si>
  <si>
    <t>Медицинска физика</t>
  </si>
  <si>
    <t>Медицинска физика  (2 семестъра)</t>
  </si>
  <si>
    <t xml:space="preserve">Медицинска физика (2 семестъра) </t>
  </si>
  <si>
    <t xml:space="preserve">Медицинска физика (3 семестъра) </t>
  </si>
  <si>
    <t xml:space="preserve">Медицинска физика (4 семестъра) </t>
  </si>
  <si>
    <t xml:space="preserve">Медицинска физика (5 семестъра) </t>
  </si>
  <si>
    <t>Метеорология</t>
  </si>
  <si>
    <t>Микровълни и комуникационни технологии</t>
  </si>
  <si>
    <t>Микроелектроника и информационни технологии</t>
  </si>
  <si>
    <t xml:space="preserve">Микроелектроника и информационни технологии </t>
  </si>
  <si>
    <t>Нанооптоелектроника и информационни технологии</t>
  </si>
  <si>
    <t>Нанотехнологии за квантоворазмерни структури за оптоелектрониката</t>
  </si>
  <si>
    <t>Оптика и спектроскопия</t>
  </si>
  <si>
    <t>Оптометрия</t>
  </si>
  <si>
    <t xml:space="preserve">Оптометрия (4 семестъра) </t>
  </si>
  <si>
    <t xml:space="preserve">Оптометрия (5 семестъра) </t>
  </si>
  <si>
    <t>Оптометрия (6 семестъра)</t>
  </si>
  <si>
    <t xml:space="preserve">Оптометрия (6 семестъра) </t>
  </si>
  <si>
    <t>Плазмени технологии и термоядрен синтез (3 сем.)</t>
  </si>
  <si>
    <t>Твърдотелни нанотехнологии</t>
  </si>
  <si>
    <t>Теоретична и изчислителна физика</t>
  </si>
  <si>
    <t>Теоретична и математическа физика</t>
  </si>
  <si>
    <t xml:space="preserve">Теоретична и математическа физика </t>
  </si>
  <si>
    <t xml:space="preserve">Термоядрен синтез и плазмени технологии </t>
  </si>
  <si>
    <t>Термоядрен синтез и плазмени технологии /на английски език/</t>
  </si>
  <si>
    <t>Физика</t>
  </si>
  <si>
    <t>Физика на вълновите процеси</t>
  </si>
  <si>
    <t>Физика на земята, атмосферата и океана (4 сем.)</t>
  </si>
  <si>
    <t>Физика на плазмата</t>
  </si>
  <si>
    <t>Физика на плазмата (4 семестъра)</t>
  </si>
  <si>
    <t>Физика на плазмата и плазмени технологии</t>
  </si>
  <si>
    <t>Физика на плазмата и термоядрен синтез</t>
  </si>
  <si>
    <t>Физика на твърдото тяло</t>
  </si>
  <si>
    <t>Физика на ядрото и елементарните частици</t>
  </si>
  <si>
    <t>Физика на ядрото и елементарните частици (на английски език)</t>
  </si>
  <si>
    <t>Фотоника и лазерна физика</t>
  </si>
  <si>
    <t>Ядрена енергетика и технологии</t>
  </si>
  <si>
    <t xml:space="preserve">Ядрена енергетика и технология (4 семестъра) </t>
  </si>
  <si>
    <t>Ядрена енергетика и технология (5 семестъра)</t>
  </si>
  <si>
    <t>Ядрена енергетика и технология (6 семестъра)</t>
  </si>
  <si>
    <t>Ядрена техника и енергетика</t>
  </si>
  <si>
    <t>Ядрена техника и ядрена енергетика</t>
  </si>
  <si>
    <t>Дисперсни системи в химичните технологии</t>
  </si>
  <si>
    <t>Екология и опазване на околната среда</t>
  </si>
  <si>
    <t>Екохимия</t>
  </si>
  <si>
    <t>Екохимия (3 семестъра)</t>
  </si>
  <si>
    <t>Изчислителна химия</t>
  </si>
  <si>
    <t>Изчислителна химия (3 семестъра)</t>
  </si>
  <si>
    <t>Инженерна химия и съвременни материали</t>
  </si>
  <si>
    <t>Информационни технологии в химията</t>
  </si>
  <si>
    <t>Козметика и битова химия</t>
  </si>
  <si>
    <t>Козметика и битова химия (4 сем.)</t>
  </si>
  <si>
    <t>Колоидни системи в съвременната наука и технологии</t>
  </si>
  <si>
    <t>Компютърна химия</t>
  </si>
  <si>
    <t>Материалознание</t>
  </si>
  <si>
    <t>Материалознание (функционални материали)</t>
  </si>
  <si>
    <t>Медицинска и фармакологична биофизикохимия</t>
  </si>
  <si>
    <t>Медицинска и фармакологична биофизикохимия (3 семестъра)</t>
  </si>
  <si>
    <t>Медицинска химия</t>
  </si>
  <si>
    <t>Медицинска химия (3 семестъра)</t>
  </si>
  <si>
    <t>Наноматериали и нанотехнологии</t>
  </si>
  <si>
    <t>Неорганични вещества и материали в съвременните технологии</t>
  </si>
  <si>
    <t>Неорганични вещества и материали за съвременните технологии</t>
  </si>
  <si>
    <t>Неорганични и хибридни материали за съвременните технологии</t>
  </si>
  <si>
    <t>Неорганични химични технологии</t>
  </si>
  <si>
    <t>Органична химия</t>
  </si>
  <si>
    <t>Органични материали във висшите технологии</t>
  </si>
  <si>
    <t>Органични химични технологии</t>
  </si>
  <si>
    <t>Полимери</t>
  </si>
  <si>
    <t>Полимери (на английски език) (3 сем.)</t>
  </si>
  <si>
    <t>Радиохимия</t>
  </si>
  <si>
    <t>Радиохимия и радиоекология</t>
  </si>
  <si>
    <t>Радиохимия и радиоекология (англ.)-3 сем.</t>
  </si>
  <si>
    <t>Съвременни методи за синтез и анализ на органични съединения</t>
  </si>
  <si>
    <t>Съвременни спектрални и хроматографски методи за анализ</t>
  </si>
  <si>
    <t>Функционални материали</t>
  </si>
  <si>
    <t>Химия</t>
  </si>
  <si>
    <t>Агробиотехнологии</t>
  </si>
  <si>
    <t>Алгология и Микология</t>
  </si>
  <si>
    <t>Биобизнес (3 семестъра)</t>
  </si>
  <si>
    <t xml:space="preserve">Биобизнес (3 семестъра) </t>
  </si>
  <si>
    <t>Биобизнес и биопредпримачество (3 сем.)</t>
  </si>
  <si>
    <t>Биоземеделие и биоконтрол (3 сем.)</t>
  </si>
  <si>
    <t>Биология</t>
  </si>
  <si>
    <t>Биология на развитието</t>
  </si>
  <si>
    <t>Биомениджмънт и устойчиво развитие</t>
  </si>
  <si>
    <t>Биофизика</t>
  </si>
  <si>
    <t>Биохимия</t>
  </si>
  <si>
    <t>Биохимия (4 семестъра)</t>
  </si>
  <si>
    <t>Биохимия на английски език</t>
  </si>
  <si>
    <t>Ботаника</t>
  </si>
  <si>
    <t>Вирусология</t>
  </si>
  <si>
    <t>Генетика</t>
  </si>
  <si>
    <t>Генетика и геномика</t>
  </si>
  <si>
    <t>Генетика и геномика (4 сем. ЧЕ)</t>
  </si>
  <si>
    <t>Генетика и геномика - летен прием</t>
  </si>
  <si>
    <t>Генетика и геномика на английски език</t>
  </si>
  <si>
    <t>Екологично образование</t>
  </si>
  <si>
    <t>Екология</t>
  </si>
  <si>
    <t>Екология  (3 семестъра)</t>
  </si>
  <si>
    <t>Екомениджмънт</t>
  </si>
  <si>
    <t>Ентомология</t>
  </si>
  <si>
    <t>Зоология</t>
  </si>
  <si>
    <t>Качество и безопасност на храните</t>
  </si>
  <si>
    <t>Клетъчна биология и патология</t>
  </si>
  <si>
    <t>Клинична химия и молекулярна диагностика</t>
  </si>
  <si>
    <t>Микробиология и микробиологичен контрол</t>
  </si>
  <si>
    <t>Молекулярна биология</t>
  </si>
  <si>
    <t>Молекулярна екология</t>
  </si>
  <si>
    <t>Обща антропология</t>
  </si>
  <si>
    <t>Опазване на околната среда</t>
  </si>
  <si>
    <t>Опазване на околната среда- летен прием</t>
  </si>
  <si>
    <t>Опазване на природната среда</t>
  </si>
  <si>
    <t>Паразитология</t>
  </si>
  <si>
    <t>Приложна хидробиология и аквакултури</t>
  </si>
  <si>
    <t>Структурна ботаника</t>
  </si>
  <si>
    <t>Учител по биология на английски език (4 семестъра)</t>
  </si>
  <si>
    <t>Физиология на животните и човека</t>
  </si>
  <si>
    <t>Физиология на животните и човека (4 сем.)</t>
  </si>
  <si>
    <t>Физиология на растенията</t>
  </si>
  <si>
    <t>Възстановяване на околната среда и екологичен мониторинг</t>
  </si>
  <si>
    <t>Гемология</t>
  </si>
  <si>
    <t>География</t>
  </si>
  <si>
    <t xml:space="preserve">География  </t>
  </si>
  <si>
    <t>Географски информационни системи и картография</t>
  </si>
  <si>
    <t>Географски информационни системи и картография  (5 семестъра)</t>
  </si>
  <si>
    <t>Географски информационни системи и картография (2 семестъра)</t>
  </si>
  <si>
    <t>Географски информационни системи и картография (3 семестъра) неспециалисти</t>
  </si>
  <si>
    <t>Географско образование</t>
  </si>
  <si>
    <t>Геология</t>
  </si>
  <si>
    <t>Геология и геоинформатика</t>
  </si>
  <si>
    <t>Геология и палеонтология</t>
  </si>
  <si>
    <t>Геология и проучване на природни ресурси</t>
  </si>
  <si>
    <t>Геоморфология</t>
  </si>
  <si>
    <t xml:space="preserve">Геоморфология </t>
  </si>
  <si>
    <t>Геоморфология (3 сем.)</t>
  </si>
  <si>
    <t>Геопространствени системи и технологии</t>
  </si>
  <si>
    <t>Геохимия</t>
  </si>
  <si>
    <t xml:space="preserve">Геохимия (5 семестъра) </t>
  </si>
  <si>
    <t>Екологичен мониторинг и екомениджмънт</t>
  </si>
  <si>
    <t>Екология и екотоксикология</t>
  </si>
  <si>
    <t>Екология и околна среда</t>
  </si>
  <si>
    <t>Екология на селищни системи</t>
  </si>
  <si>
    <t>Естествени науки</t>
  </si>
  <si>
    <t>Изменения на климата и управление на водите</t>
  </si>
  <si>
    <t>Изменения на климата и управление на водите (2 семестъра)</t>
  </si>
  <si>
    <t>Изменения на климата и управление на водите (3 семестъра)</t>
  </si>
  <si>
    <t>Изменения на климата и управление на водите (4 семестъра)</t>
  </si>
  <si>
    <t>Икономическа геология (2 сем.)</t>
  </si>
  <si>
    <t>Културна и политическа география</t>
  </si>
  <si>
    <t>Ладшафтна екология и природен капитал (2 сем.)</t>
  </si>
  <si>
    <t>Ландшафтна екология и природен капитал (3 сем.)</t>
  </si>
  <si>
    <t>Минералогия, петрология и полезни изкопаеми (3 сем.)</t>
  </si>
  <si>
    <t>Палеонтология и биостратиграфия</t>
  </si>
  <si>
    <t>Приложна геохимия</t>
  </si>
  <si>
    <t>Развитие и управление на селските райони</t>
  </si>
  <si>
    <t xml:space="preserve">Развитие и управление на селските райони </t>
  </si>
  <si>
    <t>Регионална и политическа география</t>
  </si>
  <si>
    <t xml:space="preserve">Регионална и политическа география </t>
  </si>
  <si>
    <t>Регионални геоенергийни ресурси и стратегии</t>
  </si>
  <si>
    <t>Регионални геоенергийни ресурси и стратегии (3 семестъра)</t>
  </si>
  <si>
    <t>Регионални изследвания и устойчиви региони</t>
  </si>
  <si>
    <t>Регионално развитие и управление</t>
  </si>
  <si>
    <t xml:space="preserve">Регионално развитие и управление </t>
  </si>
  <si>
    <t>Регионално развитие и управление (4 сем.)</t>
  </si>
  <si>
    <t>Селищна екология</t>
  </si>
  <si>
    <t>Управление на природната среда и рискови процеси (3 сем.)</t>
  </si>
  <si>
    <t>Управление на хидроклиматичните ресурси</t>
  </si>
  <si>
    <t xml:space="preserve">Управление на хидроклиматичните ресурси </t>
  </si>
  <si>
    <t>Управление на хидроклиматичните ресурси (5 семестъра)</t>
  </si>
  <si>
    <t>Физическа география и ландшафтна екология</t>
  </si>
  <si>
    <t xml:space="preserve">Физическа география и ландшафтна екология  (5 семестъра) </t>
  </si>
  <si>
    <t>Алгебра, геометрия и топология</t>
  </si>
  <si>
    <t>Вероятности и статистика</t>
  </si>
  <si>
    <t>Вероятности, актюерство и статистика (3 семестъра)</t>
  </si>
  <si>
    <t>Вероятности, актюерство и статистика (4 семестъра)</t>
  </si>
  <si>
    <t>Вероятности, актюерство и статистика (на английски език)</t>
  </si>
  <si>
    <t>Динамични системи и геометрия</t>
  </si>
  <si>
    <t>Динамични системи и теория на числата</t>
  </si>
  <si>
    <t>Динамични системи и теория на числата (3 семестъра)</t>
  </si>
  <si>
    <t>Изчислителна математика</t>
  </si>
  <si>
    <t>Изчислителна математика и математическо моделиране</t>
  </si>
  <si>
    <t>Логика и алгоритми</t>
  </si>
  <si>
    <t>Логика и алгоритми - на английски език</t>
  </si>
  <si>
    <t xml:space="preserve">Математика и информатика  </t>
  </si>
  <si>
    <t>Математика и математическа физика</t>
  </si>
  <si>
    <t>Математическо моделиране в икономиката</t>
  </si>
  <si>
    <t>Математическо моделиране и приложение на математиката</t>
  </si>
  <si>
    <t>Оптимизация</t>
  </si>
  <si>
    <t>Приложна математика</t>
  </si>
  <si>
    <t>Технологии в обучението по математика и информатика</t>
  </si>
  <si>
    <t>Уравнения на математическата физика</t>
  </si>
  <si>
    <t>Уравнения на математическата физика и приложения</t>
  </si>
  <si>
    <t>Био и медицинска информатика</t>
  </si>
  <si>
    <t>Вградени системи</t>
  </si>
  <si>
    <t>Дискретни и алгебрични структури</t>
  </si>
  <si>
    <t>Електронен бизнес</t>
  </si>
  <si>
    <t>Електронен бизнес - на английски език</t>
  </si>
  <si>
    <t>Електронен бизнес и електронно управление</t>
  </si>
  <si>
    <t>Електронно обучение(3 семестъра)</t>
  </si>
  <si>
    <t>Електронно обучение(4 семестъра)</t>
  </si>
  <si>
    <t>Електронно обучение(5 семестъра)</t>
  </si>
  <si>
    <t>Защита на информацията в компютърните системи и мрежи</t>
  </si>
  <si>
    <t>Извличане на информация и откриване на знания</t>
  </si>
  <si>
    <t>Изкуствен интелект</t>
  </si>
  <si>
    <t>Изчислителна информатика</t>
  </si>
  <si>
    <t>Икономическа информатика</t>
  </si>
  <si>
    <t>Информатика</t>
  </si>
  <si>
    <t>Информатика и информационни технологии в обучението</t>
  </si>
  <si>
    <t>Информационни и комуникационни технологии</t>
  </si>
  <si>
    <t>Информационни и образователни технологии</t>
  </si>
  <si>
    <t>Информационни системи</t>
  </si>
  <si>
    <t>Информационни технологии в инженерната дейност</t>
  </si>
  <si>
    <t>Информационно-технологични услуги</t>
  </si>
  <si>
    <t>Информационно-технологични услуги (5 семестъра)</t>
  </si>
  <si>
    <t>Информационно-технологични услуги и проекти</t>
  </si>
  <si>
    <t>Компютърна бизнес информатика</t>
  </si>
  <si>
    <t>Компютърна графика</t>
  </si>
  <si>
    <t>Компютърна информатика</t>
  </si>
  <si>
    <t>Компютърни информационни технологии</t>
  </si>
  <si>
    <t>Компютърни медийни технологии</t>
  </si>
  <si>
    <t>Компютърни науки</t>
  </si>
  <si>
    <t>Компютърни системи и технологии</t>
  </si>
  <si>
    <t>Компютърни технологии</t>
  </si>
  <si>
    <t>Компютърни технологии - мултимедия, компютърна графика и анимация</t>
  </si>
  <si>
    <t>Компютърни технологии в инженерната дейност</t>
  </si>
  <si>
    <t xml:space="preserve">Математическо моделиране в икономиката( 3 семестъра) </t>
  </si>
  <si>
    <t>Мехатроника и роботика</t>
  </si>
  <si>
    <t>Мрежови технологии</t>
  </si>
  <si>
    <t>Мултимедия, компютърна графика и анимация</t>
  </si>
  <si>
    <t>Приложение на информационните технологии в учебния процес</t>
  </si>
  <si>
    <t>Приложна информатика</t>
  </si>
  <si>
    <t>Приложна математика и информатика</t>
  </si>
  <si>
    <t>Разпределени системи и мобилни технологии</t>
  </si>
  <si>
    <t>Софтуерни технологии</t>
  </si>
  <si>
    <t>Софтуерни технологии в Интернет</t>
  </si>
  <si>
    <t>Софтуерно инженерство</t>
  </si>
  <si>
    <t>Технологии за знания и иновации</t>
  </si>
  <si>
    <t>Технологично предприемачество и иновации в информационните</t>
  </si>
  <si>
    <t>Технологично предприемачество и иновации в информационните технологии (на английски език)</t>
  </si>
  <si>
    <t>5.1.</t>
  </si>
  <si>
    <t>Машинно инженерство</t>
  </si>
  <si>
    <t>Авиационна техника и технологии</t>
  </si>
  <si>
    <t>Високотехнологично машиностроително проектиране</t>
  </si>
  <si>
    <t>Диагностика и сервиз на техниката</t>
  </si>
  <si>
    <t>Земеделска техника и технологии</t>
  </si>
  <si>
    <t>Инженерна логистика и строителна техника</t>
  </si>
  <si>
    <t>Компютъризирани технологии в машиностроенето</t>
  </si>
  <si>
    <t>Компютърно проектиране и технологии в машиностроенето</t>
  </si>
  <si>
    <t>Машиностроене и уредостроене</t>
  </si>
  <si>
    <t>Машиностроителна техника и технологии</t>
  </si>
  <si>
    <t>Мениджмънт и сервиз на техника</t>
  </si>
  <si>
    <t>Механизация на мините</t>
  </si>
  <si>
    <t>Опаковане и опаковъчна техника</t>
  </si>
  <si>
    <t>Ремонт на техниката и оползотворяване на ресурсите</t>
  </si>
  <si>
    <t>Роботика и роботизирани системи</t>
  </si>
  <si>
    <t>Текстилна техника и технологии</t>
  </si>
  <si>
    <t>Технологии за машини с ЦПУ</t>
  </si>
  <si>
    <t>Топлотехника</t>
  </si>
  <si>
    <t>Транспортна техника и технологии</t>
  </si>
  <si>
    <t>Уредостроене</t>
  </si>
  <si>
    <t>Хидравлична и пневматична техника</t>
  </si>
  <si>
    <t>Еластични и омрежени полимери</t>
  </si>
  <si>
    <t>Електрохимия и защита от корозия</t>
  </si>
  <si>
    <t>Индустриална химия с преподаване на френски език</t>
  </si>
  <si>
    <t>Кожи и изделия от кожи</t>
  </si>
  <si>
    <t>Неорганични вещества</t>
  </si>
  <si>
    <t>Полиграфия</t>
  </si>
  <si>
    <t>Полимерно инженерство</t>
  </si>
  <si>
    <t>Природни и синтетични горива</t>
  </si>
  <si>
    <t>Стъкло, керамика и свързващи вещества</t>
  </si>
  <si>
    <t>Текстилна химия</t>
  </si>
  <si>
    <t>Фин органичен синтез</t>
  </si>
  <si>
    <t>Химични технологии (широк профил)</t>
  </si>
  <si>
    <t>Химично инженерство</t>
  </si>
  <si>
    <t>Химично инженерство (широк профил)</t>
  </si>
  <si>
    <t>Химично инженерство с преподаване на немски език</t>
  </si>
  <si>
    <t>Целулоза, хартия и опаковки</t>
  </si>
  <si>
    <t>Генно и клетъчно инженерство</t>
  </si>
  <si>
    <t>Генно и клетъчно инженерство (4 сем.)</t>
  </si>
  <si>
    <t>Екологична биотехнология</t>
  </si>
  <si>
    <t>Индустриални биотехнологии</t>
  </si>
  <si>
    <t>Растителни биотехнологии</t>
  </si>
  <si>
    <t>Растителни биотехнологии (4 семестъра)</t>
  </si>
  <si>
    <t>5.12.</t>
  </si>
  <si>
    <t>Хранителни технологии</t>
  </si>
  <si>
    <t>Агрохранителни технологии и биотехнологии</t>
  </si>
  <si>
    <t>Анализ и контрол на хранителните продукти</t>
  </si>
  <si>
    <t>Екология при производствата на хранително-вкусовата промишленост</t>
  </si>
  <si>
    <t>Консервиране и хладилна технология</t>
  </si>
  <si>
    <t>Технология на виното и пивото</t>
  </si>
  <si>
    <t>Технология на захарта, захарните изделия, нишестето и нишестените продукти</t>
  </si>
  <si>
    <t>Технология на зърнените, фуражните, хлебните и сладкарските продукти</t>
  </si>
  <si>
    <t>Технология на мазнините, етеричните масла, парфюмерията и козметиката</t>
  </si>
  <si>
    <t>Технология на месото и млякото</t>
  </si>
  <si>
    <t>Технология на млякото и млечните продукти</t>
  </si>
  <si>
    <t>Технология на продуктите от месо, риба и птици</t>
  </si>
  <si>
    <t>Технология на тютюна и тютюневите изделия</t>
  </si>
  <si>
    <t>Технология на ферментационните продукти (с изучаване на френски език)</t>
  </si>
  <si>
    <t>Технология на храните</t>
  </si>
  <si>
    <t>5.13.</t>
  </si>
  <si>
    <t>Общо инженерство</t>
  </si>
  <si>
    <t>Аграрно инженерство</t>
  </si>
  <si>
    <t>Безопасност на производствата</t>
  </si>
  <si>
    <t>Екология и техника за опазване на морето и околната среда</t>
  </si>
  <si>
    <t>Екология и техника за опазване на околната среда</t>
  </si>
  <si>
    <t>Електроинженерство (на френски език)</t>
  </si>
  <si>
    <t>Индустриален мениджмънт (Industrial management)</t>
  </si>
  <si>
    <t>Индустриален мениджмънт (на немски език)</t>
  </si>
  <si>
    <t>Индустриално инженерство</t>
  </si>
  <si>
    <t>Индустриално инженерство (на английски език)</t>
  </si>
  <si>
    <t>Инженерен дизайн</t>
  </si>
  <si>
    <t>Инженерна безопасност</t>
  </si>
  <si>
    <t>Инженерна екология</t>
  </si>
  <si>
    <t>Инженерна екология и опазване на околната среда</t>
  </si>
  <si>
    <t>Инженерна логистика</t>
  </si>
  <si>
    <t>Информационен дизайн</t>
  </si>
  <si>
    <t>Общо машиностроене (на немски език)</t>
  </si>
  <si>
    <t>Опазване на околната среда и устойчиво развитие</t>
  </si>
  <si>
    <t>Предотвратяване и контрол на замърсяването от индустрията</t>
  </si>
  <si>
    <t>Техника и технологии за опазване на околната среда</t>
  </si>
  <si>
    <t>Технология и управление на транспорта</t>
  </si>
  <si>
    <t>Управление на качеството</t>
  </si>
  <si>
    <t>Управление на ресурсите и технологии</t>
  </si>
  <si>
    <t>Управление на транспортни и производствени системи</t>
  </si>
  <si>
    <t>Автоматика и информационни технологии</t>
  </si>
  <si>
    <t>Автоматика, електронна и управляваща техника</t>
  </si>
  <si>
    <t>Автоматика, информационна и управляваща техника</t>
  </si>
  <si>
    <t>Електроенергетика и електрообзавеждане</t>
  </si>
  <si>
    <t>Електроника</t>
  </si>
  <si>
    <t>Електроника (Elecktronics)</t>
  </si>
  <si>
    <t>Електротехника</t>
  </si>
  <si>
    <t>Електротехника, електроника и електрообзавеждане</t>
  </si>
  <si>
    <t>Аерокосмическо инженерство и комуникации (3 сем.)</t>
  </si>
  <si>
    <t xml:space="preserve">Безжични мрежи и устройства (3 сем.) </t>
  </si>
  <si>
    <t>Безжични мрежи и устройства (4 сем.)</t>
  </si>
  <si>
    <t>Безжични мрежи и устройства-ПБ (4 сем.)</t>
  </si>
  <si>
    <t>Безжични мрежи и устройства-ПБ~ (4 сем.)</t>
  </si>
  <si>
    <t>Безжични мрежи и устройства~</t>
  </si>
  <si>
    <t>Безжични мрежи и устройства~ (3 семестъра)</t>
  </si>
  <si>
    <t>Информационни и комуникационни системи</t>
  </si>
  <si>
    <t>Компютърни системи и мрежи</t>
  </si>
  <si>
    <t>Компютърни системи и технологии (Computing)</t>
  </si>
  <si>
    <t>Компютърни системи и технологии (на немски език)</t>
  </si>
  <si>
    <t>Компютърно инженерство</t>
  </si>
  <si>
    <t>Комуникации и физична електроника (2 сем.)</t>
  </si>
  <si>
    <t>Комуникационна и компютърна техника (3 сем.)</t>
  </si>
  <si>
    <t>Комуникационна и осигурителна техника</t>
  </si>
  <si>
    <t>Комуникационна техника и компютърни мрежи</t>
  </si>
  <si>
    <t>Комуникационна техника и технологии</t>
  </si>
  <si>
    <t>Комуникационни и информационни системи</t>
  </si>
  <si>
    <t>Радиолокационна техника и технологии</t>
  </si>
  <si>
    <t>Телекомуникации</t>
  </si>
  <si>
    <t>Телекомуникации и пощи</t>
  </si>
  <si>
    <t>Телекомуникационни системи и технологии</t>
  </si>
  <si>
    <t>Енергийна ефективност</t>
  </si>
  <si>
    <t>Топло и ядрена енергетика</t>
  </si>
  <si>
    <t>Хладилна и климатична техника</t>
  </si>
  <si>
    <t>Експлоатация на флота и пристанища</t>
  </si>
  <si>
    <t>Електрообзавеждане на кораба</t>
  </si>
  <si>
    <t>Изследване на ДВГ</t>
  </si>
  <si>
    <t>Корабна радиоелектроника</t>
  </si>
  <si>
    <t xml:space="preserve">Корабна радиоелектроника </t>
  </si>
  <si>
    <t>Корабни машини и механизми</t>
  </si>
  <si>
    <t>Корабоводене</t>
  </si>
  <si>
    <t>Корабостроене и морска техника</t>
  </si>
  <si>
    <t>Речно корабоплаване</t>
  </si>
  <si>
    <t>Техника и технологии за опазване на морето и околната среда</t>
  </si>
  <si>
    <t>Технология и управление на флота и пристанища</t>
  </si>
  <si>
    <t>Технология на кораборемонта</t>
  </si>
  <si>
    <t>Транспортен мениджмънт и логистика</t>
  </si>
  <si>
    <t>Материали на метална основа</t>
  </si>
  <si>
    <t>Метрология</t>
  </si>
  <si>
    <t>Нанотехнологии и наноматериали</t>
  </si>
  <si>
    <t>Полимерни материали</t>
  </si>
  <si>
    <t>Полупроводникови материали</t>
  </si>
  <si>
    <t>Силикатни материали</t>
  </si>
  <si>
    <t>Технология на материалите</t>
  </si>
  <si>
    <t>Технология на материалите и материалознание</t>
  </si>
  <si>
    <t>Архитектура</t>
  </si>
  <si>
    <t>Архитектура и строителство на сгради и съоръжения</t>
  </si>
  <si>
    <t>Водоснабдяване и канализация</t>
  </si>
  <si>
    <t>Водоснабдяване и канализация - ОКС "магистър" след завършена степен на висше образование</t>
  </si>
  <si>
    <t>Геодезия</t>
  </si>
  <si>
    <t>Геодезия и маркшайдество</t>
  </si>
  <si>
    <t>Геотехническо инженерство</t>
  </si>
  <si>
    <t>Земетръсно инженерство</t>
  </si>
  <si>
    <t>Изследване на строителни конструкции</t>
  </si>
  <si>
    <t>Конструктивно инженерство</t>
  </si>
  <si>
    <t>Кофражи и скелета</t>
  </si>
  <si>
    <t>Подземно строителство</t>
  </si>
  <si>
    <t>Пожарна и аварийна безопасност</t>
  </si>
  <si>
    <t>Реконструкция и модернизация на сгради и съоръжения</t>
  </si>
  <si>
    <t>Строителство на сгради и съоръжения</t>
  </si>
  <si>
    <t>Транспортно строителство</t>
  </si>
  <si>
    <t>Транспортно строителство – на немски език</t>
  </si>
  <si>
    <t>Управление на водни ресурси - ОКС "магистър" след завършена степен на висше образование</t>
  </si>
  <si>
    <t>Урбанизъм</t>
  </si>
  <si>
    <t>Хидрогеология и инженерна геология</t>
  </si>
  <si>
    <t>Хидромелиоративно строителство</t>
  </si>
  <si>
    <t>Хидромелиоративно строителство - ОКС "магистър" след завършена степен на висше образование</t>
  </si>
  <si>
    <t>Хидромелиоративно строителство - на немски език</t>
  </si>
  <si>
    <t>Хидростроителство</t>
  </si>
  <si>
    <t>Хидростроителство – на немски език</t>
  </si>
  <si>
    <t>Хидротехническо строителство</t>
  </si>
  <si>
    <t>Хидротехническо строителство - на немски език</t>
  </si>
  <si>
    <t>Хидротехническо строителсто - ОКС "магистър" след завършена степен на висше образование висше образование</t>
  </si>
  <si>
    <t>Геология на минералните ресурси</t>
  </si>
  <si>
    <t>Машини, апарати и съоръжения за промишлена и битова газификация</t>
  </si>
  <si>
    <t>Минерални технологии</t>
  </si>
  <si>
    <t>Приложна геофизика</t>
  </si>
  <si>
    <t>Разработка на полезните изкопаеми</t>
  </si>
  <si>
    <t>Сондиране и добив на нефт и газ</t>
  </si>
  <si>
    <t>Металознание и термично обработване на металите</t>
  </si>
  <si>
    <t>Металолеене</t>
  </si>
  <si>
    <t>Металургични пещи и агрегати</t>
  </si>
  <si>
    <t>Металургия на цветните метали и сплави</t>
  </si>
  <si>
    <t>Металургия на черните метали</t>
  </si>
  <si>
    <t>Обработване на металите чрез пластична деформация</t>
  </si>
  <si>
    <t>Системи и устройства за опазване на околната среда в металургията</t>
  </si>
  <si>
    <t>6.1.</t>
  </si>
  <si>
    <t>Растениевъдство</t>
  </si>
  <si>
    <t>Агрономство</t>
  </si>
  <si>
    <t>Агрономство (лозаро-градинарство)</t>
  </si>
  <si>
    <t>Агрономство (полевъдство)</t>
  </si>
  <si>
    <t>Агрономство (тропично и субтропично земеделие)</t>
  </si>
  <si>
    <t>Агрономство - хидромелиорации</t>
  </si>
  <si>
    <t>Лозарство и винарство</t>
  </si>
  <si>
    <t>Производство на посевен и посадъчен материал</t>
  </si>
  <si>
    <t>Растениевъдна продукция</t>
  </si>
  <si>
    <t>Селекция и семепроизводство на културните растения</t>
  </si>
  <si>
    <t>Фермерство</t>
  </si>
  <si>
    <t>6.2.</t>
  </si>
  <si>
    <t>Растителна защита</t>
  </si>
  <si>
    <t>Селскостопанска фармация</t>
  </si>
  <si>
    <t>6.3.</t>
  </si>
  <si>
    <t>Животновъдство</t>
  </si>
  <si>
    <t>6.4.</t>
  </si>
  <si>
    <t>Ветеринарна медицина</t>
  </si>
  <si>
    <t>6.5.</t>
  </si>
  <si>
    <t>Горско стопанство</t>
  </si>
  <si>
    <t>Горско стопанство - Лесоползване и икономика на ГС</t>
  </si>
  <si>
    <t>Горско стопанство - Ловно и рибно стопанство</t>
  </si>
  <si>
    <t>Горско стопанство - Стопанисване на горите</t>
  </si>
  <si>
    <t>Дървообработване и производство на мебели</t>
  </si>
  <si>
    <t>Дървообработване и производство на мебели - Дървообработване</t>
  </si>
  <si>
    <t>Дървообработване и производство на мебели - Дървообработващи машини и съоръжения</t>
  </si>
  <si>
    <t>Дървообработване и производство на мебели - Производство на мебели</t>
  </si>
  <si>
    <t>Ландшафтна архитектура</t>
  </si>
  <si>
    <t>Лесовъдство</t>
  </si>
  <si>
    <t>Медицина (на английски език)</t>
  </si>
  <si>
    <t>Медицинска рехабилитация - ерготерапия</t>
  </si>
  <si>
    <t>Фармация (на английски език)</t>
  </si>
  <si>
    <t>Здравна политика и мениджмънт на здравеопазването</t>
  </si>
  <si>
    <t>Кинезитерапия</t>
  </si>
  <si>
    <t>Кинезитерапия на лица с невросоматични заболявания (4 семестъра)</t>
  </si>
  <si>
    <t>Кинезитерапия на лица с невросомотични заболявания (2 семестъра)</t>
  </si>
  <si>
    <t>Кинезитерапия на лица с невросомотични заболявания (3 семестъра)</t>
  </si>
  <si>
    <t>Компютърни системи и технологии в биомедицината</t>
  </si>
  <si>
    <t>Компютърни технологии в медицината</t>
  </si>
  <si>
    <t>Медицинска рехабилитация и ерготерапия</t>
  </si>
  <si>
    <t xml:space="preserve">Медицинска рехабилитация при заболяване на нервната система и опорно-двигателния апарат </t>
  </si>
  <si>
    <t>Медицинска сестра</t>
  </si>
  <si>
    <t>Обществено здравеопазване</t>
  </si>
  <si>
    <t xml:space="preserve">Кинезитерапия на лица с невросомотични заболявания (2 семестъра) </t>
  </si>
  <si>
    <t xml:space="preserve">Кинезитерапия на лица с невросомотични заболявания (3 семестъра) </t>
  </si>
  <si>
    <t xml:space="preserve">Медицинска рехабилитация и ерготерапия </t>
  </si>
  <si>
    <t>Медицинска рехабилитация при заболяване на нервната система и опорно-двигателния апарат</t>
  </si>
  <si>
    <t xml:space="preserve">Медицинска сестра </t>
  </si>
  <si>
    <t>7.6.</t>
  </si>
  <si>
    <t>Спорт</t>
  </si>
  <si>
    <t>8.1.</t>
  </si>
  <si>
    <t>Теория на изкуствата</t>
  </si>
  <si>
    <t>Артмениджмънт</t>
  </si>
  <si>
    <t>Дирижиране на духови оркестри</t>
  </si>
  <si>
    <t>Дирижиране на народни състави</t>
  </si>
  <si>
    <t>Изкуствознание</t>
  </si>
  <si>
    <t>Композиция</t>
  </si>
  <si>
    <t>Култура и изкуство</t>
  </si>
  <si>
    <t>Медийно музикално редакторство</t>
  </si>
  <si>
    <t>Музикознание</t>
  </si>
  <si>
    <t>Музикознание (профил Етномузикознание)</t>
  </si>
  <si>
    <t>Сравнително музикознание</t>
  </si>
  <si>
    <t>Артистичен дизайн</t>
  </si>
  <si>
    <t>Графика</t>
  </si>
  <si>
    <t>Графичен дизайн</t>
  </si>
  <si>
    <t>Графичен дизайн  (2 сем.)</t>
  </si>
  <si>
    <t xml:space="preserve">Графичен дизайн (3 сем.) </t>
  </si>
  <si>
    <t>Дизайн на детската среда</t>
  </si>
  <si>
    <t>Живопис</t>
  </si>
  <si>
    <t>Изящни изкуства</t>
  </si>
  <si>
    <t>Изящни изкуства - графика</t>
  </si>
  <si>
    <t>Изящни изкуства - живопис</t>
  </si>
  <si>
    <t>Изящни изкуства - книга и печатна графика</t>
  </si>
  <si>
    <t>Изящни изкуства - плакат</t>
  </si>
  <si>
    <t>Изящни изкуства - скулптура</t>
  </si>
  <si>
    <t>Изящни изкуства - стенопис</t>
  </si>
  <si>
    <t>Иконография</t>
  </si>
  <si>
    <t>Индустриален дизайн</t>
  </si>
  <si>
    <t>Керамика</t>
  </si>
  <si>
    <t>Книга и печатна графика</t>
  </si>
  <si>
    <t>Консервация и реставрация</t>
  </si>
  <si>
    <t>Метал</t>
  </si>
  <si>
    <t>Мода</t>
  </si>
  <si>
    <t>Мода и текстил</t>
  </si>
  <si>
    <t>Моден дизайн</t>
  </si>
  <si>
    <t>Плакат и визуална комуникация</t>
  </si>
  <si>
    <t>Пластични изкуства</t>
  </si>
  <si>
    <t>Пластични изкуства и архитектура</t>
  </si>
  <si>
    <t>Порцелан и стъкло</t>
  </si>
  <si>
    <t>Приложни изкуства - керамика</t>
  </si>
  <si>
    <t>Приложни изкуства - метал</t>
  </si>
  <si>
    <t>Приложни изкуства - резба</t>
  </si>
  <si>
    <t>Приложни изкуства - сценография</t>
  </si>
  <si>
    <t>Приложни изкуства - текстил</t>
  </si>
  <si>
    <t>Промишлени изкуства - дизайн на детската среда</t>
  </si>
  <si>
    <t>Промишлени изкуства - мода</t>
  </si>
  <si>
    <t>Промишлени изкуства - порцелан и стъкло</t>
  </si>
  <si>
    <t>Промишлени изкуства - промишлен дизайн</t>
  </si>
  <si>
    <t>Промишлени изкуства - пространствено оформление</t>
  </si>
  <si>
    <t>Пространствен дизайн</t>
  </si>
  <si>
    <t>Резба</t>
  </si>
  <si>
    <t>Рекламен дизайн</t>
  </si>
  <si>
    <t>Реставрация</t>
  </si>
  <si>
    <t>Скулптура</t>
  </si>
  <si>
    <t>Стенопис</t>
  </si>
  <si>
    <t>Сценография</t>
  </si>
  <si>
    <t>Текстил</t>
  </si>
  <si>
    <t>Фотография</t>
  </si>
  <si>
    <t>Църковна живопис</t>
  </si>
  <si>
    <t>Аудиовизуален дизайн (2 сем.)</t>
  </si>
  <si>
    <t>Балетно изкуство - Балетна педагогика</t>
  </si>
  <si>
    <t>Балетно изкуство - Балетна режисура</t>
  </si>
  <si>
    <t>Българска народна хореография</t>
  </si>
  <si>
    <t>Български фолклорни изкуства</t>
  </si>
  <si>
    <t>Виртуални студийни техологии и тонрежисура (3 сем.)</t>
  </si>
  <si>
    <t>Дирижиране</t>
  </si>
  <si>
    <t>Изпълнителско изкуство (класически инструменти и класическо пеене)</t>
  </si>
  <si>
    <t>Изпълнителско изкуство (народни инструменти и народно пеене)</t>
  </si>
  <si>
    <t>Инструментално изкуство (класически инструменти)</t>
  </si>
  <si>
    <t>Инструментално изкуство (народни инструменти и народно пеене)</t>
  </si>
  <si>
    <t>Инструментално изкуство - арфа</t>
  </si>
  <si>
    <t>Инструментално изкуство - валдфорна</t>
  </si>
  <si>
    <t>Инструментално изкуство - виола</t>
  </si>
  <si>
    <t>Инструментално изкуство - виолончело</t>
  </si>
  <si>
    <t>Инструментално изкуство - кларнет</t>
  </si>
  <si>
    <t>Инструментално изкуство - класическа китара</t>
  </si>
  <si>
    <t>Инструментално изкуство - контрабас</t>
  </si>
  <si>
    <t>Инструментално изкуство - обой</t>
  </si>
  <si>
    <t>Инструментално изкуство - пиано</t>
  </si>
  <si>
    <t>Инструментално изкуство - тромпет</t>
  </si>
  <si>
    <t>Инструментално изкуство - туба</t>
  </si>
  <si>
    <t>Инструментално изкуство - ударни инструменти</t>
  </si>
  <si>
    <t>Инструментално изкуство - фагот</t>
  </si>
  <si>
    <t>Инструментално изкуство - флейта</t>
  </si>
  <si>
    <t>Инструментално изкуство - цигулка</t>
  </si>
  <si>
    <t>Инструментално изкуство - цугтромбон</t>
  </si>
  <si>
    <t>Класическо пеене</t>
  </si>
  <si>
    <t>Музикален артмениджмънт</t>
  </si>
  <si>
    <t>Музикални изкуства</t>
  </si>
  <si>
    <t>Музикални медийни технологии и тонрежисура</t>
  </si>
  <si>
    <t>Музикално майсторство</t>
  </si>
  <si>
    <t>Музикално-сценична режисура</t>
  </si>
  <si>
    <t>Оперно-симфонично дирижиране</t>
  </si>
  <si>
    <t>Поп и джаз баскитара</t>
  </si>
  <si>
    <t>Поп и джаз китара</t>
  </si>
  <si>
    <t>Поп и джаз контрабас</t>
  </si>
  <si>
    <t>Поп и джаз пеене</t>
  </si>
  <si>
    <t>Поп и джаз пиано</t>
  </si>
  <si>
    <t>Поп и джаз саксофон</t>
  </si>
  <si>
    <t>Поп и джаз тромпет</t>
  </si>
  <si>
    <t>Поп и джаз ударни инструменти</t>
  </si>
  <si>
    <t>Поп и джаз флейта</t>
  </si>
  <si>
    <t>Поп и джаз цугтромбон</t>
  </si>
  <si>
    <t>Тонрежисура</t>
  </si>
  <si>
    <t>Хорово дирижиране</t>
  </si>
  <si>
    <t>8.4.</t>
  </si>
  <si>
    <t>Театрално и филмово изкуство</t>
  </si>
  <si>
    <t>Актьорско майсторство за психологически театър</t>
  </si>
  <si>
    <t>Актьорско майсторство и режисура за алтернативни и съвременни форми</t>
  </si>
  <si>
    <t>Актьорство за драматичен театър</t>
  </si>
  <si>
    <t>Актьорство за куклен театър</t>
  </si>
  <si>
    <t>Анимационна режисура</t>
  </si>
  <si>
    <t>Анимационно кино</t>
  </si>
  <si>
    <t>Анимация</t>
  </si>
  <si>
    <t>Балетна режисура</t>
  </si>
  <si>
    <t>Визуални изкуства</t>
  </si>
  <si>
    <t>Графично и пространствено проектиране</t>
  </si>
  <si>
    <t>Драматургия</t>
  </si>
  <si>
    <t>Кино и телевизия</t>
  </si>
  <si>
    <t>Кинодраматургия</t>
  </si>
  <si>
    <t>Кинознание</t>
  </si>
  <si>
    <t>Мениджмънт в екранните изкуства</t>
  </si>
  <si>
    <t>Мениджмънт в сценичните изкуства</t>
  </si>
  <si>
    <t>Образователен и терапевтичен куклен театър</t>
  </si>
  <si>
    <t>Пантомима</t>
  </si>
  <si>
    <t>Приложни изкуства (Сценография за куклен театър)</t>
  </si>
  <si>
    <t>Промишлени изкуства (мода)</t>
  </si>
  <si>
    <t>Публична реч</t>
  </si>
  <si>
    <t>Режисура за вариететен театър и шоу програми</t>
  </si>
  <si>
    <t>Режисура за драматичен театър</t>
  </si>
  <si>
    <t>Режисура за куклен театър</t>
  </si>
  <si>
    <t>Режисура и организация на кукления театър</t>
  </si>
  <si>
    <t>Режисура и организация на театралния процес</t>
  </si>
  <si>
    <t>Режисура на монтажа</t>
  </si>
  <si>
    <t>Сценичен и екранен дизайн</t>
  </si>
  <si>
    <t>Сценография за куклен театър</t>
  </si>
  <si>
    <t>Танцов театър</t>
  </si>
  <si>
    <t>Танцово пантомимен театър</t>
  </si>
  <si>
    <t>Театрална драматуртия</t>
  </si>
  <si>
    <t>Театрална режисура</t>
  </si>
  <si>
    <t>Театрална режисура (куклен театър)</t>
  </si>
  <si>
    <t>Театрална режисура в европейски контекст</t>
  </si>
  <si>
    <t>Театрознание</t>
  </si>
  <si>
    <t>Театрознание и театрален мениджмънт</t>
  </si>
  <si>
    <t>Театър</t>
  </si>
  <si>
    <t>Театър на движението</t>
  </si>
  <si>
    <t>Телевизионна режисура</t>
  </si>
  <si>
    <t>Филмов и телевизионен монтаж</t>
  </si>
  <si>
    <t>Филмова и телевизионна драматургия</t>
  </si>
  <si>
    <t>Филмова и телевизионна режисура</t>
  </si>
  <si>
    <t>Филмова режисура</t>
  </si>
  <si>
    <t>Филмово и телевизионно изкуство</t>
  </si>
  <si>
    <t>Филмово и телевизионно операторство</t>
  </si>
  <si>
    <t>Художествена и приложна фотография</t>
  </si>
  <si>
    <t>9.1.</t>
  </si>
  <si>
    <t>Национална сигурност</t>
  </si>
  <si>
    <t>Административна и информационна сигурност</t>
  </si>
  <si>
    <t>Гражданска и корпоративна сигурност</t>
  </si>
  <si>
    <t>Защита на населението от бедствия, аварии и катастрофи</t>
  </si>
  <si>
    <t>Защита на националната сигурност</t>
  </si>
  <si>
    <t>Компютърни технологии в сигурността и отбраната</t>
  </si>
  <si>
    <t>Национална и международна сигурност</t>
  </si>
  <si>
    <t>Национална и регионална сигурност</t>
  </si>
  <si>
    <t>Противодействие на престъпността и опазване на обществения ред</t>
  </si>
  <si>
    <t>9.2.</t>
  </si>
  <si>
    <t>Военно дело</t>
  </si>
  <si>
    <t>Контратероризъм</t>
  </si>
  <si>
    <t>Организация и управление на КИС в тактическите подразделения</t>
  </si>
  <si>
    <t>Организация и управление на тактическите подразделения за логистично осигуряване</t>
  </si>
  <si>
    <t>Организация и управление на тактическите подразделения от ВВС</t>
  </si>
  <si>
    <t>Организация и управление на тактическите подразделения от Сухопътните войски</t>
  </si>
  <si>
    <t>Организация и управление на тактическите подразделения от военноморските сили (Военноморски комуникационни и радиотехнически системи)</t>
  </si>
  <si>
    <t>Организация и управление на тактическите подразделения от военноморските сили (Корабни машини и механизми за ВМС)</t>
  </si>
  <si>
    <t>Организация и управление на тактическите подразделения от военноморските сили (Корабоводене за ВМС)</t>
  </si>
  <si>
    <t>Бак</t>
  </si>
  <si>
    <t>Маг</t>
  </si>
  <si>
    <t>Арб(рм)</t>
  </si>
  <si>
    <t>АрмКав(рм)</t>
  </si>
  <si>
    <t>Инд(рм)</t>
  </si>
  <si>
    <t>Ирн(рм)</t>
  </si>
  <si>
    <t>Кит(рм)</t>
  </si>
  <si>
    <t>Кор(рм)</t>
  </si>
  <si>
    <t>НГФ(рм)</t>
  </si>
  <si>
    <t>ПорФ(рм)</t>
  </si>
  <si>
    <t>РумФ(рм)</t>
  </si>
  <si>
    <t>УнгФ(рм)</t>
  </si>
  <si>
    <t>Япо(рм)</t>
  </si>
  <si>
    <t>Хебра(рм)</t>
  </si>
  <si>
    <t>4,1</t>
  </si>
  <si>
    <t>ЯТиЕ(рб)</t>
  </si>
  <si>
    <t>ЯТЯЕ(рм)</t>
  </si>
  <si>
    <t>ЯТЯЕ(рб)</t>
  </si>
  <si>
    <t>ЯТиЕ</t>
  </si>
  <si>
    <t>ЯТЯЕ</t>
  </si>
  <si>
    <t>Ядрена</t>
  </si>
  <si>
    <r>
      <rPr>
        <b/>
        <sz val="11"/>
        <color theme="1"/>
        <rFont val="Calibri"/>
        <family val="2"/>
        <charset val="204"/>
        <scheme val="minor"/>
      </rPr>
      <t>Приложение № 3 към чл. 8</t>
    </r>
    <r>
      <rPr>
        <sz val="11"/>
        <color theme="1"/>
        <rFont val="Calibri"/>
        <family val="2"/>
        <scheme val="minor"/>
      </rPr>
      <t xml:space="preserve"> (Ново - ДВ, бр. 69 от 2016 г., в сила от 01.01.2017 г., доп. - ДВ, бр. 10 от 2019 г., в сила от 01.01.2019 г., изм. и доп. - ДВ, бр. 96 от 2020 г.)</t>
    </r>
  </si>
  <si>
    <t>БсФ</t>
  </si>
  <si>
    <r>
      <rPr>
        <sz val="11"/>
        <rFont val="Arial Narrow"/>
        <family val="2"/>
        <charset val="204"/>
      </rPr>
      <t xml:space="preserve">▪ </t>
    </r>
    <r>
      <rPr>
        <i/>
        <sz val="12"/>
        <rFont val="Arial Narrow"/>
        <family val="2"/>
        <charset val="204"/>
      </rPr>
      <t>Учебно-клинична практика **** –</t>
    </r>
    <r>
      <rPr>
        <i/>
        <sz val="11"/>
        <rFont val="Arial Narrow"/>
        <family val="2"/>
        <charset val="204"/>
      </rPr>
      <t xml:space="preserve"> 3 ч. упр. на група за ден</t>
    </r>
  </si>
  <si>
    <r>
      <rPr>
        <b/>
        <i/>
        <sz val="11"/>
        <rFont val="Arial"/>
        <family val="2"/>
        <charset val="204"/>
      </rPr>
      <t>****</t>
    </r>
    <r>
      <rPr>
        <i/>
        <sz val="11"/>
        <rFont val="Arial"/>
        <family val="2"/>
        <charset val="204"/>
      </rPr>
      <t xml:space="preserve"> Часовете могат да бъдат отчетени като аудиторна заетост по този ред, ако вече не са включени в ред 2. Упражнения.</t>
    </r>
  </si>
  <si>
    <r>
      <rPr>
        <b/>
        <sz val="11"/>
        <rFont val="Arial"/>
        <family val="2"/>
        <charset val="204"/>
      </rPr>
      <t>9.</t>
    </r>
    <r>
      <rPr>
        <sz val="11"/>
        <rFont val="Arial"/>
        <family val="2"/>
        <charset val="204"/>
      </rPr>
      <t xml:space="preserve"> При обучение за придобиване на ОКС „бакалавър“ и ОКС „магистър“ в защитени специалности, когато броят на обучаемите студенти при реализиране на занятия /лекции и упражнения/ е по-малък от 6 души, не се извършва редукция на преподавателската натовареност.</t>
    </r>
  </si>
  <si>
    <r>
      <rPr>
        <b/>
        <sz val="11"/>
        <rFont val="Arial"/>
        <family val="2"/>
        <charset val="204"/>
      </rPr>
      <t>7.</t>
    </r>
    <r>
      <rPr>
        <sz val="11"/>
        <rFont val="Arial"/>
        <family val="2"/>
        <charset val="204"/>
      </rPr>
      <t xml:space="preserve"> При обучение за придобиване на ОКС „бакалавър“ и ОКС „магистър“ след придобито средно образование, минималният брой студенти за реализирането на занятията /лекции и упражнения/ по избираеми и факултативни учебни дисциплини, както и за стажантска практика е 6 души.
В случай на по-малък брой студенти, часовете се редуцират както следва:</t>
    </r>
  </si>
  <si>
    <t xml:space="preserve">Магистърска програма </t>
  </si>
  <si>
    <t>Row_Доктор_Hide</t>
  </si>
  <si>
    <t>План, Зимен, Летен</t>
  </si>
  <si>
    <t>Row_Подготовка_на_курс_Hide</t>
  </si>
  <si>
    <t>Проведени часове</t>
  </si>
  <si>
    <t>Заместник-ректор</t>
  </si>
  <si>
    <t>Заместник-декан</t>
  </si>
  <si>
    <t>Заместник-директор</t>
  </si>
  <si>
    <t>лекОт:</t>
  </si>
  <si>
    <t>лекДо:</t>
  </si>
  <si>
    <t>асистент-демонстратор</t>
  </si>
  <si>
    <t>гост-препод.</t>
  </si>
  <si>
    <t>докторант</t>
  </si>
  <si>
    <t>хоноруван</t>
  </si>
  <si>
    <t>ас. дем.</t>
  </si>
  <si>
    <t>хон.</t>
  </si>
  <si>
    <t>докт.</t>
  </si>
  <si>
    <t>гост-преподавател</t>
  </si>
  <si>
    <t>Щат:</t>
  </si>
  <si>
    <t>аСпец4</t>
  </si>
  <si>
    <t>(зс)</t>
  </si>
  <si>
    <t>Формули</t>
  </si>
  <si>
    <t>Колони</t>
  </si>
  <si>
    <t>BAZZS</t>
  </si>
  <si>
    <t>BAZLS</t>
  </si>
  <si>
    <t>MAZZS</t>
  </si>
  <si>
    <t>BPLS</t>
  </si>
  <si>
    <t>BPZS</t>
  </si>
  <si>
    <t>от Дата</t>
  </si>
  <si>
    <t>до Дата</t>
  </si>
  <si>
    <t>Сист. № на договор</t>
  </si>
  <si>
    <t>Реални часове</t>
  </si>
  <si>
    <t>СПРАВКА</t>
  </si>
  <si>
    <t>6. Договор</t>
  </si>
  <si>
    <t>Щат/Хон</t>
  </si>
  <si>
    <t>Щ,Х</t>
  </si>
  <si>
    <t>Х</t>
  </si>
  <si>
    <t>Column2</t>
  </si>
  <si>
    <t>BAZZS[чУпражнения]</t>
  </si>
  <si>
    <t>BAZZS[чЛекции]</t>
  </si>
  <si>
    <t>BAZZS[Факултет]</t>
  </si>
  <si>
    <t>BAZZS[КР]</t>
  </si>
  <si>
    <t>BAZZS[чИзпитани]</t>
  </si>
  <si>
    <t>BAZZS[чTO]</t>
  </si>
  <si>
    <t>Таблица</t>
  </si>
  <si>
    <t>полеФакултет</t>
  </si>
  <si>
    <t>полеОТЧЕТ</t>
  </si>
  <si>
    <t>BAZLS[Факултет]</t>
  </si>
  <si>
    <t>BAZLS[чЛекции]</t>
  </si>
  <si>
    <t>BAZLS[чУпражнения]</t>
  </si>
  <si>
    <t>BAZLS[чИзпитани]</t>
  </si>
  <si>
    <t>BAZLS[чTO]</t>
  </si>
  <si>
    <t>BAZLS[КР]</t>
  </si>
  <si>
    <t>MAZZS[Факултет]</t>
  </si>
  <si>
    <t>MAZZS[чЛекции]</t>
  </si>
  <si>
    <t>MAZZS[чУпражнения]</t>
  </si>
  <si>
    <t>MAZZS[чИзпитани]</t>
  </si>
  <si>
    <t>MAZZS[чTO]</t>
  </si>
  <si>
    <t>MAZZS[КР]</t>
  </si>
  <si>
    <t>MAZLS[Факултет]</t>
  </si>
  <si>
    <t>MAZLS[чЛекции]</t>
  </si>
  <si>
    <t>MAZLS[чУпражнения]</t>
  </si>
  <si>
    <t>MAZLS[чИзпитани]</t>
  </si>
  <si>
    <t>MAZLS[чTO]</t>
  </si>
  <si>
    <t>MAZLS[КР]</t>
  </si>
  <si>
    <t>1. Учебна дисциплина</t>
  </si>
  <si>
    <t>2. Учебна практика</t>
  </si>
  <si>
    <t>BPZS[Факултет]</t>
  </si>
  <si>
    <t>BPZS[чПрактика]</t>
  </si>
  <si>
    <t>BPZS[чИзпитани]</t>
  </si>
  <si>
    <t>BPZS[чTO]</t>
  </si>
  <si>
    <t>BPZS[КР]</t>
  </si>
  <si>
    <t>BPLS[Факултет]</t>
  </si>
  <si>
    <t>BPLS[чИзпитани]</t>
  </si>
  <si>
    <t>BPLS[чTO]</t>
  </si>
  <si>
    <t>BPLS[КР]</t>
  </si>
  <si>
    <t>MPZS[Факултет]</t>
  </si>
  <si>
    <t>MPZS[чИзпитани]</t>
  </si>
  <si>
    <t>MPZS[чTO]</t>
  </si>
  <si>
    <t>MPZS[КР]</t>
  </si>
  <si>
    <t>MPLS[Факултет]</t>
  </si>
  <si>
    <t>MPLS[чИзпитани]</t>
  </si>
  <si>
    <t>MPLS[чTO]</t>
  </si>
  <si>
    <t>MPLS[КР]</t>
  </si>
  <si>
    <t>BPLS[чПрактика]</t>
  </si>
  <si>
    <t>MPZS[чПрактика]</t>
  </si>
  <si>
    <t>MPLS[чПрактика]</t>
  </si>
  <si>
    <t>3. Дипломиране</t>
  </si>
  <si>
    <t>BDiplomiraneZS[Факултет]</t>
  </si>
  <si>
    <t>BDiplomiraneZS[ДР]</t>
  </si>
  <si>
    <t>BDiplomiraneZS[Рецензии]</t>
  </si>
  <si>
    <t>BDiplomiraneZS[И/ДИ/З]</t>
  </si>
  <si>
    <t>BDiplomiraneLS[Факултет]</t>
  </si>
  <si>
    <t>BDiplomiraneLS[ДР]</t>
  </si>
  <si>
    <t>BDiplomiraneLS[Рецензии]</t>
  </si>
  <si>
    <t>BDiplomiraneLS[И/ДИ/З]</t>
  </si>
  <si>
    <t>MDiplomiraneZS[Факултет]</t>
  </si>
  <si>
    <t>MDiplomiraneZS[ДР]</t>
  </si>
  <si>
    <t>MDiplomiraneZS[Рецензии]</t>
  </si>
  <si>
    <t>MDiplomiraneZS[И/ДИ/З]</t>
  </si>
  <si>
    <t>MDiplomiraneLS[Факултет]</t>
  </si>
  <si>
    <t>MDiplomiraneLS[ДР]</t>
  </si>
  <si>
    <t>MDiplomiraneLS[Рецензии]</t>
  </si>
  <si>
    <t>MDiplomiraneLS[И/ДИ/З]</t>
  </si>
  <si>
    <t>DrAZ[чУпражнения]</t>
  </si>
  <si>
    <t>DrAZ[чИзпитани]</t>
  </si>
  <si>
    <t>4. Докторанти</t>
  </si>
  <si>
    <t>Общо заетост</t>
  </si>
  <si>
    <t>Подготовка_курс[Факултет]</t>
  </si>
  <si>
    <t>МИ</t>
  </si>
  <si>
    <t>entityname</t>
  </si>
  <si>
    <t>CodeSpecialityName</t>
  </si>
  <si>
    <t>АБТХ(рб)</t>
  </si>
  <si>
    <t>АиМ(рм)</t>
  </si>
  <si>
    <t>ББ(рм)</t>
  </si>
  <si>
    <t>ББП(рм)</t>
  </si>
  <si>
    <t>БЗБ(рм)</t>
  </si>
  <si>
    <t>Б(зб)</t>
  </si>
  <si>
    <t>Б(рб)</t>
  </si>
  <si>
    <t>БАЕ(рб)</t>
  </si>
  <si>
    <t>БиХ(рб)</t>
  </si>
  <si>
    <t>БР(рм)</t>
  </si>
  <si>
    <t>БУР(рб)</t>
  </si>
  <si>
    <t>БТ(зб)</t>
  </si>
  <si>
    <t>БТ(рб)</t>
  </si>
  <si>
    <t>БФ(рм)</t>
  </si>
  <si>
    <t>БХ(рм)</t>
  </si>
  <si>
    <t>БХн.сп.(рмнсл)</t>
  </si>
  <si>
    <t>БХАЕ(рмс)</t>
  </si>
  <si>
    <t>БХАЕ(рм ч.ез.)</t>
  </si>
  <si>
    <t>БВРмпзо(зм)</t>
  </si>
  <si>
    <t>БВР(рм)</t>
  </si>
  <si>
    <t>Б(рм)</t>
  </si>
  <si>
    <t>БВР(рм3 сем.)</t>
  </si>
  <si>
    <t>Вирусология(зм)</t>
  </si>
  <si>
    <t>В(рм)</t>
  </si>
  <si>
    <t>Генетика (рм)</t>
  </si>
  <si>
    <t>Г(рм)</t>
  </si>
  <si>
    <t>ГиГ ЗО(зм)</t>
  </si>
  <si>
    <t>ГиГ(рм)</t>
  </si>
  <si>
    <t>ГиГА(рмнсл ч.ез.)</t>
  </si>
  <si>
    <t>ГиГА(рмнсл)</t>
  </si>
  <si>
    <t>ГиГНСп(рмнсл)</t>
  </si>
  <si>
    <t>ГИГАЕ(рмс)</t>
  </si>
  <si>
    <t>ГИГАЕ(рм ч.ез.)</t>
  </si>
  <si>
    <t>ГКИ з.о.(зм)</t>
  </si>
  <si>
    <t>ГКлИнж(рм)</t>
  </si>
  <si>
    <t>ГКИнсп(рмнсл)</t>
  </si>
  <si>
    <t>ГБ(рб)</t>
  </si>
  <si>
    <t>ЕБТ(рм)</t>
  </si>
  <si>
    <t>ЕКО(рмнсл)</t>
  </si>
  <si>
    <t>Е(рм)</t>
  </si>
  <si>
    <t>Е(зм)</t>
  </si>
  <si>
    <t>ЕООС(зб)</t>
  </si>
  <si>
    <t>ЕООС(рб)</t>
  </si>
  <si>
    <t>ЕММ(зм)</t>
  </si>
  <si>
    <t>ЕМ(змл)</t>
  </si>
  <si>
    <t>Ент(рм)</t>
  </si>
  <si>
    <t>Зоол(рм)</t>
  </si>
  <si>
    <t>ИБ(рм)</t>
  </si>
  <si>
    <t>КБХ з.о.(зм)</t>
  </si>
  <si>
    <t>КБХ(рм)</t>
  </si>
  <si>
    <t>КлБиП(рм)</t>
  </si>
  <si>
    <t>МБМБК(рм)</t>
  </si>
  <si>
    <t>МБ(рб)</t>
  </si>
  <si>
    <t>ОАнтр(рм)</t>
  </si>
  <si>
    <t>ОА(рмнсл)</t>
  </si>
  <si>
    <t>ООС(рм)</t>
  </si>
  <si>
    <t>4030002307-БФ-мр</t>
  </si>
  <si>
    <t>ООС-НС(рмнсл)</t>
  </si>
  <si>
    <t>ОПС(рм)</t>
  </si>
  <si>
    <t>П(рм)</t>
  </si>
  <si>
    <t>4030001314-БФ-мр</t>
  </si>
  <si>
    <t>ПХА-Нсп(рмнсл)</t>
  </si>
  <si>
    <t>ПХА(рм)</t>
  </si>
  <si>
    <t>РБ з.о.(зм)</t>
  </si>
  <si>
    <t>РБ(рм)</t>
  </si>
  <si>
    <t>СБот(рм)</t>
  </si>
  <si>
    <t>УБАЕзад(зм)</t>
  </si>
  <si>
    <t>УБАЕ(рм)</t>
  </si>
  <si>
    <t>ФЖЧ зо(зм)</t>
  </si>
  <si>
    <t>ФЖЧ(рм)</t>
  </si>
  <si>
    <t>ФЖЧнсп(рмнсл)</t>
  </si>
  <si>
    <t>ФР(рм)</t>
  </si>
  <si>
    <t>ГМмп(рм)</t>
  </si>
  <si>
    <t>Г(зб)</t>
  </si>
  <si>
    <t>Г(рб)</t>
  </si>
  <si>
    <t>ГАЕ(рб)</t>
  </si>
  <si>
    <t>ГИСК(зм2 сем)</t>
  </si>
  <si>
    <t>ГИСК(рм2 сем)</t>
  </si>
  <si>
    <t>ГИСК(змнс)</t>
  </si>
  <si>
    <t>ГИСК(змнсл)</t>
  </si>
  <si>
    <t>ГИСК(рмнсл)</t>
  </si>
  <si>
    <t>ГИСК(рмнс)</t>
  </si>
  <si>
    <t>ГО(рм)</t>
  </si>
  <si>
    <t>Геол(рб)</t>
  </si>
  <si>
    <t>ГПмп(рм)</t>
  </si>
  <si>
    <t>ГеолППР (рб)(рб)</t>
  </si>
  <si>
    <t>ГМ(змнсл)</t>
  </si>
  <si>
    <t>ГМ/ 3 сем.(зм3 сем.)</t>
  </si>
  <si>
    <t>Гмф(зм)</t>
  </si>
  <si>
    <t>ГМ/ 2 сем.(рм2 сем)</t>
  </si>
  <si>
    <t>Геом(зм3с.)(зм3 сем.)</t>
  </si>
  <si>
    <t>ГПСТ(рб)</t>
  </si>
  <si>
    <t>ГХмп(рм)</t>
  </si>
  <si>
    <t>ГХнс(рм)(рм5 сем.)</t>
  </si>
  <si>
    <t>ИКУВ(змнсл)</t>
  </si>
  <si>
    <t>ИКУВ(рмс)</t>
  </si>
  <si>
    <t>ИКУВ(змс)</t>
  </si>
  <si>
    <t>ИКУВ(рмнс)</t>
  </si>
  <si>
    <t>ИКУВ(рмнсл)</t>
  </si>
  <si>
    <t>ИКУВ(змнс)</t>
  </si>
  <si>
    <t>ИГмп(рмл)</t>
  </si>
  <si>
    <t>КТ(зм)</t>
  </si>
  <si>
    <t>КПГ(рм)</t>
  </si>
  <si>
    <t>ЛЕПК(змс)</t>
  </si>
  <si>
    <t>ЛЕПК(рмс)</t>
  </si>
  <si>
    <t>ЛЕПК(змнсл)</t>
  </si>
  <si>
    <t>МППИ(рм)</t>
  </si>
  <si>
    <t>ПБмп(рм)</t>
  </si>
  <si>
    <t>ПУТС(рмс)</t>
  </si>
  <si>
    <t>ПУТС(рмнсл)</t>
  </si>
  <si>
    <t>ПУТС (за ОКС "ПБ")(рм4 сем.)</t>
  </si>
  <si>
    <t>РУСР(зм3 сем.)</t>
  </si>
  <si>
    <t>РУСР(рм)</t>
  </si>
  <si>
    <t>РУСР(рмнсл)</t>
  </si>
  <si>
    <t>РУСР(рмнс)</t>
  </si>
  <si>
    <t>РУСР (2 сем.)(рм2 сем)</t>
  </si>
  <si>
    <t>РиПГ(рм)</t>
  </si>
  <si>
    <t>РС(змс)</t>
  </si>
  <si>
    <t>РС(рмс)</t>
  </si>
  <si>
    <t>РС(рмнс)</t>
  </si>
  <si>
    <t>30702233-ГГФ-мр</t>
  </si>
  <si>
    <t>РС - след ОКС"ПБ"(рм4 сем.)</t>
  </si>
  <si>
    <t>РС(змнс)</t>
  </si>
  <si>
    <t>РС(змнсл)</t>
  </si>
  <si>
    <t>РС(рмнсл)</t>
  </si>
  <si>
    <t>РС(след ОКС"ПБ")(рм4 сем.)</t>
  </si>
  <si>
    <t>РС(рм ОКС"ПБ")(рм4 сем.)</t>
  </si>
  <si>
    <t>30702223-ГГФ-мз</t>
  </si>
  <si>
    <t>РС - след ОКС"ПБ"(зм5 сем.)</t>
  </si>
  <si>
    <t>РС(след ОКС"ПБ")(зм5 сем.)</t>
  </si>
  <si>
    <t>РС (за ОКС "ПБ")(рм5 сем.)</t>
  </si>
  <si>
    <t>РС(змнс)(зм3 сем.)</t>
  </si>
  <si>
    <t>РС(рмс)(рм2 сем)</t>
  </si>
  <si>
    <t>РГРС(рм2 сем)</t>
  </si>
  <si>
    <t>РИУР (рб)(рмс)</t>
  </si>
  <si>
    <t>РРП(рб)</t>
  </si>
  <si>
    <t>РРиП(рб)</t>
  </si>
  <si>
    <t>РРУ(змс)3сем.(зм3 сем.)</t>
  </si>
  <si>
    <t>РРУ(зм)</t>
  </si>
  <si>
    <t>РРУ/ специалисти(зм3 сем.)</t>
  </si>
  <si>
    <t>РРиУ(рм)</t>
  </si>
  <si>
    <t>РРУ(рмс)2сем.(рм2 сем)</t>
  </si>
  <si>
    <t>РРУ/специалисти(рм2 сем)</t>
  </si>
  <si>
    <t>РРУмп(рм5 сем.)</t>
  </si>
  <si>
    <t>РРУ (спб)(рм5 сем.)</t>
  </si>
  <si>
    <t>РРУ(нмз)(змнс)</t>
  </si>
  <si>
    <t>РРУ/ неспециалисти(зм4 сем.л)</t>
  </si>
  <si>
    <t>РРУ(змнс)4сем.(зм4 сем.л)</t>
  </si>
  <si>
    <t>Т(рб)</t>
  </si>
  <si>
    <t>Т/4 сем.(змнс)</t>
  </si>
  <si>
    <t>3090001305-ГГФ-мз</t>
  </si>
  <si>
    <t>Т-ПБ(зм5 сем.)</t>
  </si>
  <si>
    <t>Т- след ПБ(зм5 сем.)</t>
  </si>
  <si>
    <t>УПСРП(змс)</t>
  </si>
  <si>
    <t>УТД/2 сем.(змс)</t>
  </si>
  <si>
    <t>УТД/4 сем.(зм4 сем.)</t>
  </si>
  <si>
    <t>УЧР(змс)3сем.(зм3 сем.)</t>
  </si>
  <si>
    <t>УЧР(рмс)2сем.(рм2 сем)</t>
  </si>
  <si>
    <t>УЧР(рм)</t>
  </si>
  <si>
    <t>УЧР(рмнс)4сем.(рм4 сем.)</t>
  </si>
  <si>
    <t>УЧР~(рмс)</t>
  </si>
  <si>
    <t>УЧР(рмс)</t>
  </si>
  <si>
    <t>3070023313-ГГФ-мр</t>
  </si>
  <si>
    <t>УЧР - след ОКС"ПБ"(рм4 сем.)</t>
  </si>
  <si>
    <t>10302693-ГГФ-мр</t>
  </si>
  <si>
    <t>УГСУ-90 кредита(рмнс)</t>
  </si>
  <si>
    <t>УГСУ-60 кредита(рмс)</t>
  </si>
  <si>
    <t>АТО(рмс)</t>
  </si>
  <si>
    <t>АИТ(рмнс)</t>
  </si>
  <si>
    <t>АиС(рмнс)</t>
  </si>
  <si>
    <t>АиС(рмнсл)</t>
  </si>
  <si>
    <t>АиС(рмс)</t>
  </si>
  <si>
    <t>АиС(рмсл)</t>
  </si>
  <si>
    <t>Арх(рб)</t>
  </si>
  <si>
    <t>Арх4(рм4 сем.)</t>
  </si>
  <si>
    <t>А(рмс)</t>
  </si>
  <si>
    <t>А(рмнс)</t>
  </si>
  <si>
    <t>Арх(рм4 сем.)</t>
  </si>
  <si>
    <t>Ам(рм)</t>
  </si>
  <si>
    <t>Aрхеометрия(рмсл)</t>
  </si>
  <si>
    <t>АиД(зб)</t>
  </si>
  <si>
    <t>АиДок(рб)</t>
  </si>
  <si>
    <t>Балканите и Русия(рмс)</t>
  </si>
  <si>
    <t>Балканите и Русия (рмнс)</t>
  </si>
  <si>
    <t>БиБ(змс)</t>
  </si>
  <si>
    <t>БСВ(зм)</t>
  </si>
  <si>
    <t>БСВ(рм)</t>
  </si>
  <si>
    <t>БиБ(рмс)</t>
  </si>
  <si>
    <t>БСр(змнс)</t>
  </si>
  <si>
    <t>Бълг. средновековие(рмнс)</t>
  </si>
  <si>
    <t>БСр(змс)</t>
  </si>
  <si>
    <t>БСр(рмс)</t>
  </si>
  <si>
    <t>ВиП(зм)</t>
  </si>
  <si>
    <t>ВП(змнс)</t>
  </si>
  <si>
    <t>ВиП(рм)</t>
  </si>
  <si>
    <t>ВиП(рмс)</t>
  </si>
  <si>
    <t>Възраждане и памет(рмнс)</t>
  </si>
  <si>
    <t>ВиП 2 сем.(змс)</t>
  </si>
  <si>
    <t>ВиП 2 сем.(змнс)</t>
  </si>
  <si>
    <t>ВиП 2 сем.(рмс)</t>
  </si>
  <si>
    <t>ВиП 2 сем.(рмнс)</t>
  </si>
  <si>
    <t>DH(рм ч.ез.)</t>
  </si>
  <si>
    <t>ДиР(рмс)</t>
  </si>
  <si>
    <t>ДРБ(рм)</t>
  </si>
  <si>
    <t>ДАМ(змс)</t>
  </si>
  <si>
    <t>ДАМ(рмс)</t>
  </si>
  <si>
    <t>ДАМ(змнс)</t>
  </si>
  <si>
    <t>ДАМ(рмнс)</t>
  </si>
  <si>
    <t>ДАР(рмнс)</t>
  </si>
  <si>
    <t>ДАР(рмс)</t>
  </si>
  <si>
    <t>2020002359-ИФ-мр</t>
  </si>
  <si>
    <t>ЕЮ - 2 сем(рмс)</t>
  </si>
  <si>
    <t>2020002310-ИФ-мр</t>
  </si>
  <si>
    <t>ЕЮ-межд.прогр. (рмнс)</t>
  </si>
  <si>
    <t>Европейски Югоизток (рмнс)</t>
  </si>
  <si>
    <t>ЕЮ-межд.прогр.~(рмнс)</t>
  </si>
  <si>
    <t>ЕЮи(рм)</t>
  </si>
  <si>
    <t>ЕЮ(рмс)</t>
  </si>
  <si>
    <t>ЕЮ - межд. прогр.(рмс)</t>
  </si>
  <si>
    <t>Етн(рб)</t>
  </si>
  <si>
    <t>ЕКА(рб)</t>
  </si>
  <si>
    <t>3010002307-ИФ-мр</t>
  </si>
  <si>
    <t>ЕКА-2сем(рм2 сем)</t>
  </si>
  <si>
    <t>ЕКА(рм2 сем)</t>
  </si>
  <si>
    <t>3010002308-ИФ-мр</t>
  </si>
  <si>
    <t>ЕКА-4сем(рм4 сем.)</t>
  </si>
  <si>
    <t>ЗащДАР(змсл)</t>
  </si>
  <si>
    <t>Защита на документ.(змс)</t>
  </si>
  <si>
    <t>Защита на документ.(рмс)</t>
  </si>
  <si>
    <t>ЗащДАР(рмл)</t>
  </si>
  <si>
    <t>Защита на докум. (рмнс)</t>
  </si>
  <si>
    <t>2020002348-ИФ-мр</t>
  </si>
  <si>
    <t>Историко-етн. модели(рмс)</t>
  </si>
  <si>
    <t>Ист(зб)</t>
  </si>
  <si>
    <t>Ист(рб)</t>
  </si>
  <si>
    <t>ИиГ(рб)</t>
  </si>
  <si>
    <t>ИГПБ(рб)</t>
  </si>
  <si>
    <t>ИСРС от ИзтАзия(рм)</t>
  </si>
  <si>
    <t>ИСРС от ИзтАзия(рмс)</t>
  </si>
  <si>
    <t>ИСРС от Изт. Азия(рмс)</t>
  </si>
  <si>
    <t>20200943-ИФ-мр</t>
  </si>
  <si>
    <t>ИС на Р-я, ИА и Евр.(рмс)</t>
  </si>
  <si>
    <t>ИС на Р-я, ИА и Евр.(рмнс)</t>
  </si>
  <si>
    <t>Ист. и философия(рб)</t>
  </si>
  <si>
    <t>История и чужд език(рб)</t>
  </si>
  <si>
    <t>2020002358-ИФ-мр</t>
  </si>
  <si>
    <t>ИЕРИ - 2 сем(рмс)</t>
  </si>
  <si>
    <t>ИЕРИ - 2 сем(рмнс)</t>
  </si>
  <si>
    <t>ККДСП(рм2 сем)</t>
  </si>
  <si>
    <t>2020002349-ИФ-мр</t>
  </si>
  <si>
    <t>ККДСП ХVІ-ХХІ(рмс)</t>
  </si>
  <si>
    <t>ККДСП ХVІ - ХХІ(рмс)</t>
  </si>
  <si>
    <t>ККДСП ХVІ-ХХІ век(рмнс)</t>
  </si>
  <si>
    <t>ККДСП(змс)</t>
  </si>
  <si>
    <t>ККДСП(рмс)</t>
  </si>
  <si>
    <t>МИП(рмс)</t>
  </si>
  <si>
    <t>МСЮЕ(рб)</t>
  </si>
  <si>
    <t>Моб&amp;Миг(зм)</t>
  </si>
  <si>
    <t>Модерна България(змнс)</t>
  </si>
  <si>
    <t>Модерна България(змс)</t>
  </si>
  <si>
    <t>Модерна България(рмс)</t>
  </si>
  <si>
    <t>Модерна България(рмнс)</t>
  </si>
  <si>
    <t>М(змс)</t>
  </si>
  <si>
    <t>М3(змнс)</t>
  </si>
  <si>
    <t>М(рмс)</t>
  </si>
  <si>
    <t>НСБИ(зм)</t>
  </si>
  <si>
    <t>НСБИ(змс)</t>
  </si>
  <si>
    <t>НСБИ(рмс)</t>
  </si>
  <si>
    <t>НСБИ(рм)</t>
  </si>
  <si>
    <t>ОИСУ(змнс)</t>
  </si>
  <si>
    <t>ОИУ(спец)(зм3 сем.)</t>
  </si>
  <si>
    <t>ОИСУ(спец)(рм3 сем.)</t>
  </si>
  <si>
    <t>ОИСУ(змс)</t>
  </si>
  <si>
    <t>ОИСУ(несп)(зм5 сем.)</t>
  </si>
  <si>
    <t>ОИУ(несп)(зм5 сем.)</t>
  </si>
  <si>
    <t>ОИСУ(рмнс)</t>
  </si>
  <si>
    <t>ОИСУ(рм5 сем.)</t>
  </si>
  <si>
    <t>Средиземном. КЦАС(рмнс)</t>
  </si>
  <si>
    <t>Средиземноморски КЦА(рм)</t>
  </si>
  <si>
    <t>СОИПК(змс)</t>
  </si>
  <si>
    <t>СОИК(зм)</t>
  </si>
  <si>
    <t>СОИПК(зм)</t>
  </si>
  <si>
    <t>СОИПК(рмс)</t>
  </si>
  <si>
    <t>СОИК(рм)</t>
  </si>
  <si>
    <t>ХИБ(рм2 сем)</t>
  </si>
  <si>
    <t>Мед(рм)</t>
  </si>
  <si>
    <t>Мед (англ.)(рм ч.ез.)</t>
  </si>
  <si>
    <t>МРЕ(рб)</t>
  </si>
  <si>
    <t>МедС(рб)</t>
  </si>
  <si>
    <t>АУ(рм)</t>
  </si>
  <si>
    <t>Аутсорсинг проекти и(рм2 сем)</t>
  </si>
  <si>
    <t>Аутсорсинг ПК неик.(рмнс)</t>
  </si>
  <si>
    <t>БА (2 сем.)(рм2 сем)</t>
  </si>
  <si>
    <t>БА(рм2 семл)</t>
  </si>
  <si>
    <t>БА (2 сем.) летен (рм2 семл)</t>
  </si>
  <si>
    <t>БА(рм2 сем)</t>
  </si>
  <si>
    <t>3070007317-СтФ-мр</t>
  </si>
  <si>
    <t>БА-ИУЗ(рм3 сем.)</t>
  </si>
  <si>
    <t>3070007318-СтФ-мр</t>
  </si>
  <si>
    <t>БА - ИУЗ 5(рм5 сем.)</t>
  </si>
  <si>
    <t>30710833-СтФ-мз</t>
  </si>
  <si>
    <t>БА-УП(зм2 сем)</t>
  </si>
  <si>
    <t>БА-УП ЗО-Н зимен(змнс)</t>
  </si>
  <si>
    <t>БА-УП ЗО зимен(зм2 сем)</t>
  </si>
  <si>
    <t>БА-УП ЗО летен(зм2 семл)</t>
  </si>
  <si>
    <t>БА-УП ЗО-Н летен(змнсл)</t>
  </si>
  <si>
    <t>3070007313-СтФ-мр</t>
  </si>
  <si>
    <t>БАСУ(рм5 сем.)</t>
  </si>
  <si>
    <t>БАСУ(рм3 сем.)</t>
  </si>
  <si>
    <t>БА-СУ-ПБ(рм5 сем.)</t>
  </si>
  <si>
    <t>3070007328-СтФ-мр</t>
  </si>
  <si>
    <t>БА-СУ(рм4 сем.)</t>
  </si>
  <si>
    <t>БАУЧР(рм3 сем.)</t>
  </si>
  <si>
    <t>3070007310-СтФ-мр</t>
  </si>
  <si>
    <t>БА-РЧР-ПБ(рм5 сем.)</t>
  </si>
  <si>
    <t>БАРЧР(рм3 сем.)</t>
  </si>
  <si>
    <t>БАРЧР(рм5 сем.)</t>
  </si>
  <si>
    <t>БАУЧР(рм5 сем.)</t>
  </si>
  <si>
    <t>3070007324-СтФ-мр</t>
  </si>
  <si>
    <t>БА-РЧР-Н (2 сем.)(рмнс)</t>
  </si>
  <si>
    <t>БА-РЧР 2 сем.(рм2 сем)</t>
  </si>
  <si>
    <t>БА-РЧР(рм2 сем)</t>
  </si>
  <si>
    <t>3070007329-СтФ-мр</t>
  </si>
  <si>
    <t>БА-РЧР(рм4 сем.)</t>
  </si>
  <si>
    <t>3070007323-СтФ-мр</t>
  </si>
  <si>
    <t>БА-РЧР (на англ.ез.)(рм2 сем)</t>
  </si>
  <si>
    <t>БА-РЧР (на англ.ез.)(рм2 сем ч.ез.)</t>
  </si>
  <si>
    <t>БА-РЧР-АЕ-Л (2 сем.)(рм2 семл ч.ез.)</t>
  </si>
  <si>
    <t>БА-РЧР-А-Л(рм2 семл ч.ез.)</t>
  </si>
  <si>
    <t>БА-РЧР-АЕ (2 сем.)(рм2 сем ч.ез.)</t>
  </si>
  <si>
    <t>30702213-СтФ-мр</t>
  </si>
  <si>
    <t>БА-РЧР-АЕ-4Л (4 сем)(рм4 сем.л ч.ез.)</t>
  </si>
  <si>
    <t>БА-РЧР (на англ.ез.)(рм4 сем.)</t>
  </si>
  <si>
    <t>БА-РЧР (на англ.ез.)(рм4 сем. ч.ез.)</t>
  </si>
  <si>
    <t>БА-РЧР-АЕ (4 сем.)(рм4 сем. ч.ез.)</t>
  </si>
  <si>
    <t>3070007325-СтФ-мр</t>
  </si>
  <si>
    <t>БА-СУ-Н(рмнс)</t>
  </si>
  <si>
    <t>БА-СУ(рм2 сем)</t>
  </si>
  <si>
    <t>БА-СУ (2 сем.)(рм2 сем)</t>
  </si>
  <si>
    <t>30702163-СтФ-мр</t>
  </si>
  <si>
    <t>БА-СУ (на англ.ез.)(рм2 сем)</t>
  </si>
  <si>
    <t>БА-СУ-АЕ (2 сем.)(рм2 сем ч.ез.)</t>
  </si>
  <si>
    <t>БА-СУ-А-Л(рм2 семл ч.ез.)</t>
  </si>
  <si>
    <t>БА-СУ-АЕ-Л (2 сем.)(рм2 семл ч.ез.)</t>
  </si>
  <si>
    <t>БА-СУ (на англ.ез.)(рм2 сем ч.ез.)</t>
  </si>
  <si>
    <t>30702173-СтФ-мр</t>
  </si>
  <si>
    <t>БА-СУ-АЕ-Л (4 сем.)(рм4 сем.л ч.ез.)</t>
  </si>
  <si>
    <t>БА-СУ-АЕ (4 сем.)(рм4 сем. ч.ез.)</t>
  </si>
  <si>
    <t>БА-СУ (на англ.ез.)(рм4 сем. ч.ез.)</t>
  </si>
  <si>
    <t>БА-СУ (на англ.ез.)(рм4 сем.)</t>
  </si>
  <si>
    <t>Геймификация в БПНпС(рм2 сем)</t>
  </si>
  <si>
    <t>Геймификация в БПНпС(рмнс)</t>
  </si>
  <si>
    <t>Дигитален МГ/несп/(рмнс)</t>
  </si>
  <si>
    <t>Дигитален Мг /несп./(рмнс)</t>
  </si>
  <si>
    <t>Дигитален маркетинг(рм2 сем)</t>
  </si>
  <si>
    <t>Дигитален маркетинг(рм4 сем.)</t>
  </si>
  <si>
    <t>3070007335-СтФ-мз</t>
  </si>
  <si>
    <t>ДМТ - 2 задочно(зм2 сем)</t>
  </si>
  <si>
    <t>ДМТ-Н-2 задочна(змнс)</t>
  </si>
  <si>
    <t>ДМТ - задочно 2 сем.(зм2 сем)</t>
  </si>
  <si>
    <t>ДМТ-ЗО-Н (2 сем.)(змнс)</t>
  </si>
  <si>
    <t>ДТЗБ(рм2 сем)</t>
  </si>
  <si>
    <t>3080393329-СтФ-мз</t>
  </si>
  <si>
    <t>Енергийни пазари и у(змнс)</t>
  </si>
  <si>
    <t>ЕПУ-ЗО 2 сем.(зм2 сем)</t>
  </si>
  <si>
    <t>ЕПУ-ЗО неиконом.(змнс)</t>
  </si>
  <si>
    <t>Енергийни пазари Усл(зм2 сем)</t>
  </si>
  <si>
    <t>Изкуствен интелект (рм2 сем)</t>
  </si>
  <si>
    <t>И(рб)</t>
  </si>
  <si>
    <t>ИкФ(рб)</t>
  </si>
  <si>
    <t>ИМТИН(рм5 сем.)</t>
  </si>
  <si>
    <t>Икономика и право Л(рм2 семл)</t>
  </si>
  <si>
    <t>Икономика и право(рм2 семл)</t>
  </si>
  <si>
    <t>Иконом. и право неик(рмнс)</t>
  </si>
  <si>
    <t>Икономика и право(рм2 сем)</t>
  </si>
  <si>
    <t>Икономика и право(рмнс)</t>
  </si>
  <si>
    <t>ИУЕИКУ(рм2 сем)</t>
  </si>
  <si>
    <t>ИУЕИКУ(рм2</t>
  </si>
  <si>
    <t>ИУЕИКУ(рм4 сем.)</t>
  </si>
  <si>
    <t>3080393327-СтФ-мр</t>
  </si>
  <si>
    <t>ИУЕИКУ-ПБ(рм4 сем.)</t>
  </si>
  <si>
    <t>ИЕИКУ(рм3 сем.)</t>
  </si>
  <si>
    <t>ИУЕИКУ(рм3 сем.)</t>
  </si>
  <si>
    <t>ИУЕИКУмн(рм5 сем.)</t>
  </si>
  <si>
    <t>3080008331-СтФ-мр</t>
  </si>
  <si>
    <t>ИУЕИКУ-ПБ(</t>
  </si>
  <si>
    <t>ИУАС(рм5 сем.)</t>
  </si>
  <si>
    <t>ИУЛВС(рм3 сем.)</t>
  </si>
  <si>
    <t>ИУЛВС/5(рм5 сем.)</t>
  </si>
  <si>
    <t>ИУОНИ(рм3 сем.)</t>
  </si>
  <si>
    <t>ИУОНИ(рм5 сем.)</t>
  </si>
  <si>
    <t>30807533-СтФ-мз</t>
  </si>
  <si>
    <t>ИУПР-ЗО неиконом.(змнс)</t>
  </si>
  <si>
    <t>ИУПР - ЗО (2 сем.)(зм2 сем)</t>
  </si>
  <si>
    <t>30807533-СтФ-мр</t>
  </si>
  <si>
    <t>ИУПР-РО не</t>
  </si>
  <si>
    <t>ИУПР - РО (2 сем.)(рм2 сем)</t>
  </si>
  <si>
    <t>ИУПР-РО неиконом.(рмнс)</t>
  </si>
  <si>
    <t xml:space="preserve">ИУПР - РО </t>
  </si>
  <si>
    <t>ИУПСмп(рмнс)</t>
  </si>
  <si>
    <t>ИУПС(рм3 сем.)</t>
  </si>
  <si>
    <t>ИУПС(рм)</t>
  </si>
  <si>
    <t>ИУПСмп(рм5 сем.)</t>
  </si>
  <si>
    <t>ИУПС(рм2 сем)</t>
  </si>
  <si>
    <t>ИУПС(рм4 сем.)</t>
  </si>
  <si>
    <t>ИУСС(рм3 сем.)</t>
  </si>
  <si>
    <t>ИУСС(рм5 сем.)</t>
  </si>
  <si>
    <t>ИУТ(рм3 сем.)</t>
  </si>
  <si>
    <t>ИУТ(рм)</t>
  </si>
  <si>
    <t>3070007311-СтФ-мр</t>
  </si>
  <si>
    <t>ИУТмп(рмнс)</t>
  </si>
  <si>
    <t>ИУТмп(рм5 сем.)</t>
  </si>
  <si>
    <t>ИУТ(рм5 сем.)</t>
  </si>
  <si>
    <t>ИУТ-ПБ(рм5 сем.)</t>
  </si>
  <si>
    <t>ИУТ(рм4 сем.)</t>
  </si>
  <si>
    <t>ИФ(френска)(рб)</t>
  </si>
  <si>
    <t>ИФ (френска)(рб)</t>
  </si>
  <si>
    <t>Икономика и финанси(рб)</t>
  </si>
  <si>
    <t>3080393326-СтФ-мз</t>
  </si>
  <si>
    <t>ИФ-ЗО летен(зм2 семл)</t>
  </si>
  <si>
    <t>ИФ-ЗО зимен(зм2 сем)</t>
  </si>
  <si>
    <t>ИФ(змнсл)</t>
  </si>
  <si>
    <t>ИФ(зм2 семл)</t>
  </si>
  <si>
    <t>ИФ(зм2 сем)</t>
  </si>
  <si>
    <t>ИФ(змнс)</t>
  </si>
  <si>
    <t>ИФ(рмнс)</t>
  </si>
  <si>
    <t>ИФ зимен 2 сем.(рм2 сем)</t>
  </si>
  <si>
    <t>ИФ(рм2 сем)</t>
  </si>
  <si>
    <t>ИФ(рмнсл)</t>
  </si>
  <si>
    <t>ИФ(рм3 сем.)</t>
  </si>
  <si>
    <t>ИФ(рм5 сем.)</t>
  </si>
  <si>
    <t>КССС(рм2 сем)</t>
  </si>
  <si>
    <t>3080008338-СтФ-мр</t>
  </si>
  <si>
    <t>КССС-4(рм4 сем.)</t>
  </si>
  <si>
    <t>МИ(рм5 сем.)</t>
  </si>
  <si>
    <t>МИ(рм3 сем.)</t>
  </si>
  <si>
    <t>МД контрол неиконом.(змнс)</t>
  </si>
  <si>
    <t>МитДанъчен Кн(змнс)</t>
  </si>
  <si>
    <t>Митнически и ДКл(зм2 семл)</t>
  </si>
  <si>
    <t>Митн Данч К лнс(змнсл)</t>
  </si>
  <si>
    <t>МД контрол(зм2 сем)</t>
  </si>
  <si>
    <t>МД контрол летен(зм2 семл)</t>
  </si>
  <si>
    <t>МД контрол неикон. л(змнсл)</t>
  </si>
  <si>
    <t>Минт Данч К(зм2 сем)</t>
  </si>
  <si>
    <t>30807503-СтФ-мз</t>
  </si>
  <si>
    <t>МГДБФ-ЗО зимен неик.(змнс)</t>
  </si>
  <si>
    <t>МГДБФ-ЗО зимен(зм2 сем)</t>
  </si>
  <si>
    <t>МГДБФ-ЗО летен(зм2 семл)</t>
  </si>
  <si>
    <t>МГДБФ-ЗО летен неик.(змнсл)</t>
  </si>
  <si>
    <t>МГДБФ(рм2 семл)</t>
  </si>
  <si>
    <t>МГДБФ(рм2 сем)</t>
  </si>
  <si>
    <t>3080008341-СтФ-мр</t>
  </si>
  <si>
    <t>МГДБФ - 3(рм3 сем.)</t>
  </si>
  <si>
    <t>3080393322-СтФ-мр</t>
  </si>
  <si>
    <t>МГДБФ - 3(рм3 сем.л)</t>
  </si>
  <si>
    <t>3080393309-СтФ-мр</t>
  </si>
  <si>
    <t>30711113-СтФ-мз</t>
  </si>
  <si>
    <t>ОУУ - ЗО (2 сем.)(зм2 сем)</t>
  </si>
  <si>
    <t>ОУУ - ЗО неспец.(змнс)</t>
  </si>
  <si>
    <t>30711113-СтФ-мр</t>
  </si>
  <si>
    <t>ОУУ - РО н</t>
  </si>
  <si>
    <t>ОУУ - РО (</t>
  </si>
  <si>
    <t>ОУУ - РО (2 сем.)(рм2 сем)</t>
  </si>
  <si>
    <t>ОУУ - РО неспец.(рмнс)</t>
  </si>
  <si>
    <t>ПИИМ англ (рм3 сем. ч.ез.)</t>
  </si>
  <si>
    <t>ПИИМ англ (рм3 сем.)</t>
  </si>
  <si>
    <t>ПИИМ на англ. ез.(рм3 сем. ч.ез.)</t>
  </si>
  <si>
    <t>ПИИМангл.(рм3 сем. ч.ез.)</t>
  </si>
  <si>
    <t>ПИИМангл(рм4 сем.л ч.ез.)</t>
  </si>
  <si>
    <t>ПИИМ на англ. ез.(рм4 сем.л ч.ез.)</t>
  </si>
  <si>
    <t>Приложна икономика(рм2 сем)</t>
  </si>
  <si>
    <t>Приложна и</t>
  </si>
  <si>
    <t>Приложна икономика(рм3 сем.)</t>
  </si>
  <si>
    <t>3080008333-СтФ-мр</t>
  </si>
  <si>
    <t>Приложна икономика(рм5 сем.)</t>
  </si>
  <si>
    <t xml:space="preserve">ПИ-ПБ(рм5 </t>
  </si>
  <si>
    <t>ПИ-ПБ(рм5 сем.)</t>
  </si>
  <si>
    <t>3080393315-СтФ-мр</t>
  </si>
  <si>
    <t>ПИ-ПБ/4 сем/(рм4 сем.)</t>
  </si>
  <si>
    <t>ПИ-ПБ(рм4 сем.)</t>
  </si>
  <si>
    <t>СФИ(рм5 сем.)</t>
  </si>
  <si>
    <t>СФИ(рм3 сем.)</t>
  </si>
  <si>
    <t>СИА(рм2 се</t>
  </si>
  <si>
    <t>СИА(рм2 сем)</t>
  </si>
  <si>
    <t>СИА(рм3 сем.)</t>
  </si>
  <si>
    <t>СИА(4сем.)</t>
  </si>
  <si>
    <t>СИА(4сем.)(рм4 сем.)</t>
  </si>
  <si>
    <t>3080008335-СтФ-мр</t>
  </si>
  <si>
    <t>СИА(рм5 сем.)</t>
  </si>
  <si>
    <t>СИА-ПБ(рм5 сем.)</t>
  </si>
  <si>
    <t>3080393318-СтФ-мр</t>
  </si>
  <si>
    <t>СИА-ПБ(рм4</t>
  </si>
  <si>
    <t>СИА-ПБ(рм4 сем.)</t>
  </si>
  <si>
    <t>СУ англ.език(рб)</t>
  </si>
  <si>
    <t>СУ (немска програма)(рб)</t>
  </si>
  <si>
    <t>СУ(рб)</t>
  </si>
  <si>
    <t>СУ (рб)</t>
  </si>
  <si>
    <t>СУ фр(рб)</t>
  </si>
  <si>
    <t>СУ френска програма(рб)</t>
  </si>
  <si>
    <t>СчАГД (2сем.)(рм2 сем)</t>
  </si>
  <si>
    <t>СчАГД(рм2 сем)</t>
  </si>
  <si>
    <t>Счетоводство и АГД(рмнс)</t>
  </si>
  <si>
    <t>СчАГД (4 сем.)(рм4 сем.)</t>
  </si>
  <si>
    <t>СчАГД(рм4 сем.)</t>
  </si>
  <si>
    <t>СчАГДЛ(рм4</t>
  </si>
  <si>
    <t>СиК(рм3 сем.)</t>
  </si>
  <si>
    <t>Счетоводство и одит(рм3 сем.)</t>
  </si>
  <si>
    <t>Счет. и одит неик.(рмнс)</t>
  </si>
  <si>
    <t>Счетоводство и От(рмнс)</t>
  </si>
  <si>
    <t>Счет. и одит зимен 4(рм4 сем.)</t>
  </si>
  <si>
    <t>Счетоводство и одит4(рм4 сем.л)</t>
  </si>
  <si>
    <t>Счетоводство и одит(рм5 сем.)</t>
  </si>
  <si>
    <t>СФДП АЕ(рб ч.ез.)</t>
  </si>
  <si>
    <t>УИПС(рм3 сем.)</t>
  </si>
  <si>
    <t>3070007322-СтФ-мр</t>
  </si>
  <si>
    <t>УИПС-ПБ(рм5 сем.)</t>
  </si>
  <si>
    <t>УИПС(рм5 сем.)</t>
  </si>
  <si>
    <t>УИПС-ПБ(рм</t>
  </si>
  <si>
    <t>УИС(рм3 сем.)</t>
  </si>
  <si>
    <t>3070007308-СтФ-мр</t>
  </si>
  <si>
    <t>УИС-ПБ(рм5 сем.)</t>
  </si>
  <si>
    <t>УИС(рм5 сем.)</t>
  </si>
  <si>
    <t>УИС на АЕ (3 сем)(рм3 сем. ч.ез.)</t>
  </si>
  <si>
    <t>УИС чужд ез. (3 сем)(рм3 сем. ч.ез.)</t>
  </si>
  <si>
    <t>УИС(рм2 сем)</t>
  </si>
  <si>
    <t>УИС чужд ез. (4 сем)(рм4 сем. ч.ез.)</t>
  </si>
  <si>
    <t>УИС на АЕ (4 сем)(рм4 сем. ч.ез.)</t>
  </si>
  <si>
    <t>УИС/4 сем/(рм4 сем.)</t>
  </si>
  <si>
    <t>30807033-СтФ-мз</t>
  </si>
  <si>
    <t>Фасилити менидж-ЗО(зм2 сем)</t>
  </si>
  <si>
    <t>Фасилити менидж неик(змнс)</t>
  </si>
  <si>
    <t>ФБД(рм3 сем.)</t>
  </si>
  <si>
    <t>ФБД(рм)</t>
  </si>
  <si>
    <t>Финанси и БД 3 сем.(рм3 сем.)</t>
  </si>
  <si>
    <t>Финанси и банково де(рм3 сем.)</t>
  </si>
  <si>
    <t>Финанси и банково де(рмнс)</t>
  </si>
  <si>
    <t>ФБД (неиконом.)(рмнс)</t>
  </si>
  <si>
    <t>ФБД(рм5 сем.)</t>
  </si>
  <si>
    <t>ФБД (рм5 сем.)</t>
  </si>
  <si>
    <t>Финанси и инвестиции(рм2 сем)</t>
  </si>
  <si>
    <t>Финанси и инвест Н(рмнс)</t>
  </si>
  <si>
    <t>Финанси и инвестиции(рм4 сем.л)</t>
  </si>
  <si>
    <t>ФИФ иконом. 3 сем.(рм3 сем.)</t>
  </si>
  <si>
    <t>ФИФ неиконом. 3 сем.(рмнс)</t>
  </si>
  <si>
    <t>ФИФ 4 сем. зимен (рм4 сем.)</t>
  </si>
  <si>
    <t>ФИФ 4 сем. летен(рм4 сем.л)</t>
  </si>
  <si>
    <t>ФСч. и АГД неик. 3(рмнс)</t>
  </si>
  <si>
    <t>ФСч. и АГД (3 сем.)(рм3 сем.)</t>
  </si>
  <si>
    <t>3080393311-СтФ-мр</t>
  </si>
  <si>
    <t>ФМ - англ(рм3 сем. ч.ез.)</t>
  </si>
  <si>
    <t>3080393310-СтФ-мр</t>
  </si>
  <si>
    <t>ФМ-англ-неик(рм3 сем. ч.ез.)</t>
  </si>
  <si>
    <t>3080008336-СтФ-мр</t>
  </si>
  <si>
    <t>ФМ-англ-неик(рм3 сем.)</t>
  </si>
  <si>
    <t>3080008325-СтФ-мр</t>
  </si>
  <si>
    <t>ФМ - англ(рм3 сем.)</t>
  </si>
  <si>
    <t>ФМ - фр /англ(рм3 сем.)</t>
  </si>
  <si>
    <t>ВО(зб)</t>
  </si>
  <si>
    <t>ВО(зм3 сем.)</t>
  </si>
  <si>
    <t>ВО(рб)</t>
  </si>
  <si>
    <t>ВП(зм3 сем.)</t>
  </si>
  <si>
    <t>ДМВ(зм)</t>
  </si>
  <si>
    <t>ДМК(рм ч.ез.)</t>
  </si>
  <si>
    <t>ЕМ(зм2 сем)</t>
  </si>
  <si>
    <t>Ж(зб)</t>
  </si>
  <si>
    <t>Ж(рб)</t>
  </si>
  <si>
    <t>ЖМ(зм)</t>
  </si>
  <si>
    <t>ЖМмп(зм)</t>
  </si>
  <si>
    <t>КИ(рб)</t>
  </si>
  <si>
    <t>КН21(зм)</t>
  </si>
  <si>
    <t>КМ(рб)</t>
  </si>
  <si>
    <t>3050005303-ФЖМК-мз</t>
  </si>
  <si>
    <t>КК(змл)</t>
  </si>
  <si>
    <t>КК(зм)</t>
  </si>
  <si>
    <t>КК-л(змл)</t>
  </si>
  <si>
    <t>3050006311-ФЖМК-мз</t>
  </si>
  <si>
    <t>ЛЖ-л(зм3 сем.л)</t>
  </si>
  <si>
    <t>ЛЖ(зм)</t>
  </si>
  <si>
    <t>3050006318-ФЖМК-мз</t>
  </si>
  <si>
    <t>ЛЖ-2(зм2 сем)</t>
  </si>
  <si>
    <t>МД(зм3 сем.)</t>
  </si>
  <si>
    <t>МЖ(зм2 сем)</t>
  </si>
  <si>
    <t>МЖ(рм)</t>
  </si>
  <si>
    <t>МЖ(зм3 сем.)</t>
  </si>
  <si>
    <t>3050006317-ФЖМК-мз</t>
  </si>
  <si>
    <t>ОЖМ-л(змл)</t>
  </si>
  <si>
    <t>ПМ(зм)</t>
  </si>
  <si>
    <t>ПМмп(зм)</t>
  </si>
  <si>
    <t>ПиМ(зм)</t>
  </si>
  <si>
    <t>ПЕМ(зм)</t>
  </si>
  <si>
    <t>ПКИ2(зм2 сем)</t>
  </si>
  <si>
    <t>ПКИ3(зм3 сем.)</t>
  </si>
  <si>
    <t>ПК(зм)</t>
  </si>
  <si>
    <t>ПКмп(зм)</t>
  </si>
  <si>
    <t>ПК(рм)</t>
  </si>
  <si>
    <t>РПК2(зм2 сем)</t>
  </si>
  <si>
    <t>РПК(зм)</t>
  </si>
  <si>
    <t>СЖ(зм3 сем.)</t>
  </si>
  <si>
    <t>ТДП(зм)</t>
  </si>
  <si>
    <t>АнгФ(рб)</t>
  </si>
  <si>
    <t>АЛК(рмнс)</t>
  </si>
  <si>
    <t>АнтКуЛит(рмнс)</t>
  </si>
  <si>
    <t>АнтКуЛит(рмс)</t>
  </si>
  <si>
    <t>КлФ(рм)</t>
  </si>
  <si>
    <t>АнтКуЛит(рм)</t>
  </si>
  <si>
    <t>АИСБИБ(рм)</t>
  </si>
  <si>
    <t>Афр(рб ч.ез.)</t>
  </si>
  <si>
    <t>БИ: ОКАС(рмнс)</t>
  </si>
  <si>
    <t>БИ: ОКАС(рмс)</t>
  </si>
  <si>
    <t>Е&amp;А:КДГнаЕС(рм ч.ез.)</t>
  </si>
  <si>
    <t>Е&amp;А:КДГнаЕС(рмл ч.ез.)</t>
  </si>
  <si>
    <t>ЕС&amp;ЕИ(рб ч.ез.)</t>
  </si>
  <si>
    <t>ЕС&amp;ЕИ(рб)</t>
  </si>
  <si>
    <t>ЕзКуПр(рм)</t>
  </si>
  <si>
    <t>ЕКП(нфске)(рм)</t>
  </si>
  <si>
    <t>2010001314-ФКНФ-мр</t>
  </si>
  <si>
    <t>ЕиК-Англ(рмс ч.ез.)</t>
  </si>
  <si>
    <t>ЕиК-Англ(рмнсл)</t>
  </si>
  <si>
    <t>ЕиК-Англ(рмс)</t>
  </si>
  <si>
    <t>ЕиК-Англ(рмнс)</t>
  </si>
  <si>
    <t>ЕиК-Англ(рм)</t>
  </si>
  <si>
    <t>ЕиК-Англ(рмл)</t>
  </si>
  <si>
    <t>ЕиК-Англ(р</t>
  </si>
  <si>
    <t>ЕиК-Англ(рмнс ч.ез.)</t>
  </si>
  <si>
    <t>ЕКП(рм2 сем)</t>
  </si>
  <si>
    <t>ЕП(рм)</t>
  </si>
  <si>
    <t>ИбАм(рм)</t>
  </si>
  <si>
    <t>ИбероАм(рм)</t>
  </si>
  <si>
    <t>ИА(рм)</t>
  </si>
  <si>
    <t>ИбероАм(рмнсл)</t>
  </si>
  <si>
    <t>ИАК(рм)</t>
  </si>
  <si>
    <t>ИИКОинд(рмс)</t>
  </si>
  <si>
    <t>ИИКОир(рмс)</t>
  </si>
  <si>
    <t>ИИКО(рмнс)</t>
  </si>
  <si>
    <t>ИИКОинд(рмл)</t>
  </si>
  <si>
    <t>ИИКО(рм)</t>
  </si>
  <si>
    <t>ИИКОинд(рмнс)</t>
  </si>
  <si>
    <t>ИИКОир(рмнс)</t>
  </si>
  <si>
    <t>ИспФ(рб)</t>
  </si>
  <si>
    <t>ИтлФ(рб)</t>
  </si>
  <si>
    <t>КлЕзИАнтЛит(рм2 сем)</t>
  </si>
  <si>
    <t>КлЕзИАнтЛит(рм4 сем.)</t>
  </si>
  <si>
    <t>2010001316-ФКНФ-мз</t>
  </si>
  <si>
    <t>КоЕзЛиМе(змнс)</t>
  </si>
  <si>
    <t>КоЕзЛиМе-спец(змс ч.ез.)</t>
  </si>
  <si>
    <t>КоЕзЛиМе(змнс ч.ез.)</t>
  </si>
  <si>
    <t>КоЕзЛиМе(змнсл)</t>
  </si>
  <si>
    <t>2010001316-ФКНФ-мр</t>
  </si>
  <si>
    <t>КоЕзЛиМе(рмнс)</t>
  </si>
  <si>
    <t>КоЕзЛиМе-спец(рмс ч.ез.)</t>
  </si>
  <si>
    <t>КоЕзЛиМе(рмнс ч.ез.)</t>
  </si>
  <si>
    <t>КоЕзЛиМе(змс)</t>
  </si>
  <si>
    <t>КЕУЛКМГ(зм)</t>
  </si>
  <si>
    <t>КоЕзЛиМе(зм)</t>
  </si>
  <si>
    <t>КоЕзЛиМе(змс ч.ез.)</t>
  </si>
  <si>
    <t>КоЕзЛиМе(рм)</t>
  </si>
  <si>
    <t>КоЕзЛиМе(рмс ч.ез.)</t>
  </si>
  <si>
    <t>КоЕзЛиМе(рмс)</t>
  </si>
  <si>
    <t>2010004307-ФКНФ-мр</t>
  </si>
  <si>
    <t>КП-не(рм)</t>
  </si>
  <si>
    <t>2010013302-ФКНФ-мр</t>
  </si>
  <si>
    <t>КП-фр(рм)</t>
  </si>
  <si>
    <t>КП(нфске)(рм)</t>
  </si>
  <si>
    <t>2010001304-ФКНФ-мр</t>
  </si>
  <si>
    <t>КП-ан(рм)</t>
  </si>
  <si>
    <t>КП(рм)</t>
  </si>
  <si>
    <t>КП(нфске)(рм2 сем)</t>
  </si>
  <si>
    <t>КултУнг(рм3 сем.)</t>
  </si>
  <si>
    <t>КВ(рм)</t>
  </si>
  <si>
    <t>КВиГЕС(зм)</t>
  </si>
  <si>
    <t>КВиГЕС(рм)</t>
  </si>
  <si>
    <t>КВиГЕС(рм ч.ез.)</t>
  </si>
  <si>
    <t>МКиПКиБЕ(рм2 сем)</t>
  </si>
  <si>
    <t>МКиПКиБЕ(рм4 сем.)</t>
  </si>
  <si>
    <t>МЧО(анг.)(рм)</t>
  </si>
  <si>
    <t>МЧО(исп.)(рм)</t>
  </si>
  <si>
    <t>МЧО(ит.)(рм)</t>
  </si>
  <si>
    <t>МЧО(нфске)(рм)</t>
  </si>
  <si>
    <t>МЧЕОпорт(рм)</t>
  </si>
  <si>
    <t>МЧО(фр.)(рм)</t>
  </si>
  <si>
    <t>МЧОвМС(анг.)(рм2 семл)</t>
  </si>
  <si>
    <t>МЧОвМС(анг.)(рм2 сем)</t>
  </si>
  <si>
    <t>МЧОвМС(исп.)(рм2 сем)</t>
  </si>
  <si>
    <t>МЧОвМС(итал.)(рм2 сем)</t>
  </si>
  <si>
    <t>МЧОвМС(нем.)(рм2 сем)</t>
  </si>
  <si>
    <t>МЧОвМС(фр.)(рм2 сем)</t>
  </si>
  <si>
    <t>НемФ(рб)</t>
  </si>
  <si>
    <t>НФ(рб)</t>
  </si>
  <si>
    <t>НФСке(рб)</t>
  </si>
  <si>
    <t>Норд(рм)</t>
  </si>
  <si>
    <t>Н(рм)</t>
  </si>
  <si>
    <t>ОКК(рм)</t>
  </si>
  <si>
    <t>ОКАСмп(рм)</t>
  </si>
  <si>
    <t>2010001309-ФКНФ-мр</t>
  </si>
  <si>
    <t>Прев-ан(рм)</t>
  </si>
  <si>
    <t>2010013303-ФКНФ-мр</t>
  </si>
  <si>
    <t>Прев-фр(рм)</t>
  </si>
  <si>
    <t>Прев(рм)</t>
  </si>
  <si>
    <t>2010001315-ФКНФ-мр</t>
  </si>
  <si>
    <t>Прев-ан&amp;фр(рм)</t>
  </si>
  <si>
    <t>2010013308-ФКНФ-мр</t>
  </si>
  <si>
    <t>Прев-фр&amp;ан(рм)</t>
  </si>
  <si>
    <t>ПИЕ (ар)(рм)</t>
  </si>
  <si>
    <t>ПИЕ (кит)(рм)</t>
  </si>
  <si>
    <t>ПЛ(рм)</t>
  </si>
  <si>
    <t>ПрЛинг(рмнсл)</t>
  </si>
  <si>
    <t>ПЛ(рмс)</t>
  </si>
  <si>
    <t>ПрЛинг(рмс)</t>
  </si>
  <si>
    <t>ПрЛинг(исп.)(рмс)</t>
  </si>
  <si>
    <t>ПрЛинг(порт.)(рмс)</t>
  </si>
  <si>
    <t>ПрЛинг(рмнс)</t>
  </si>
  <si>
    <t>ПрЛинг(исп.)(рмнс)</t>
  </si>
  <si>
    <t>ПЛИЕ(рм3 сем.)</t>
  </si>
  <si>
    <t>ПЛИЕ(ар)(рм)</t>
  </si>
  <si>
    <t>Т ПЛ(рм)</t>
  </si>
  <si>
    <t>ПрЛиТур(рм)</t>
  </si>
  <si>
    <t>РФ(рб)</t>
  </si>
  <si>
    <t>СЕиР(рм ч.ез.)</t>
  </si>
  <si>
    <t>СЕиР(рмнс)</t>
  </si>
  <si>
    <t>СЕиР(рмнс ч.ез.)</t>
  </si>
  <si>
    <t>СЕиР(рм)</t>
  </si>
  <si>
    <t>СЕиР(рмнсл ч.ез.)</t>
  </si>
  <si>
    <t>СЕиР(рмнсл)</t>
  </si>
  <si>
    <t>Ск(рб)</t>
  </si>
  <si>
    <t>СГЕК(рм2 сем)</t>
  </si>
  <si>
    <t>Тю(рб)</t>
  </si>
  <si>
    <t>Тюр(рб)</t>
  </si>
  <si>
    <t>УФ(рб)</t>
  </si>
  <si>
    <t>УП(рм)</t>
  </si>
  <si>
    <t>ФМиММ(рм)</t>
  </si>
  <si>
    <t>ФМиММ(рм ч.ез.)</t>
  </si>
  <si>
    <t>ФрФ(рб)</t>
  </si>
  <si>
    <t>ФФ(рб)</t>
  </si>
  <si>
    <t>ЧЕЛитМед(рм3 сем.л ч.ез.)</t>
  </si>
  <si>
    <t>ЮИиЮИ(рб)</t>
  </si>
  <si>
    <t>ЮИЮА(рм ч.ез.)</t>
  </si>
  <si>
    <t>Я(рб)</t>
  </si>
  <si>
    <t>Я:ОиК(рмнс)</t>
  </si>
  <si>
    <t>ЯЕК(рм)</t>
  </si>
  <si>
    <t>ЯЕК(рмл)</t>
  </si>
  <si>
    <t>Буд.:ЕЛиК с кит. ез.(рм3 сем.)</t>
  </si>
  <si>
    <t>Буд.:ЕЛиК с яп. ез.(рм3 сем.)</t>
  </si>
  <si>
    <t>Буд.:ЕЛиК с кор.ез.(рм3 сем.)</t>
  </si>
  <si>
    <t>Буд.:ЕЛиК с инд.ез.(рм3 сем.)</t>
  </si>
  <si>
    <t>АГТ(рм)</t>
  </si>
  <si>
    <t>БМИ(рмс)</t>
  </si>
  <si>
    <t>БМИ(м)</t>
  </si>
  <si>
    <t>БМИ(рмнс)</t>
  </si>
  <si>
    <t>БМИ(рм)</t>
  </si>
  <si>
    <t>ВС(рмл)</t>
  </si>
  <si>
    <t>ВС(рм)</t>
  </si>
  <si>
    <t>В&amp;С(рмнс)</t>
  </si>
  <si>
    <t>В&amp;С</t>
  </si>
  <si>
    <t>В&amp;С(рмс)</t>
  </si>
  <si>
    <t>ВАС(рмс)</t>
  </si>
  <si>
    <t>ВАС(рмнс)</t>
  </si>
  <si>
    <t>40500253-ФМИ-мз</t>
  </si>
  <si>
    <t>ВАС-на англ.(зм)</t>
  </si>
  <si>
    <t>ВАС-на англ.(зм ч.ез.)</t>
  </si>
  <si>
    <t>ДСиГ(рм)</t>
  </si>
  <si>
    <t>4050001310-ФМИ-мр</t>
  </si>
  <si>
    <t>ДСиТЧ - летен прием(рмл)</t>
  </si>
  <si>
    <t>ДСиТЧ(рм)</t>
  </si>
  <si>
    <t>ДАС(рм)</t>
  </si>
  <si>
    <t>4060003333-ФМИ-мр</t>
  </si>
  <si>
    <t>ЕБ на англ.ез.-летен(рмл ч.ез.)</t>
  </si>
  <si>
    <t>ЕБ на англ. ез.(рм ч.ез.)</t>
  </si>
  <si>
    <t>ЕБ на англ. ез.(рм)</t>
  </si>
  <si>
    <t>ЕБ(м)</t>
  </si>
  <si>
    <t>ЕБиЕУ(рм)</t>
  </si>
  <si>
    <t>ЕО(рм)</t>
  </si>
  <si>
    <t>ЕлОб(рмс)</t>
  </si>
  <si>
    <t>ЕО(зм)</t>
  </si>
  <si>
    <t>ЕлОб(змнс)</t>
  </si>
  <si>
    <t>ЕлОб(змс)</t>
  </si>
  <si>
    <t>ЗИКСМ(рм)</t>
  </si>
  <si>
    <t>ЗИвКСМ(рм)</t>
  </si>
  <si>
    <t>Защита на инф.(рм)</t>
  </si>
  <si>
    <t>ЗИКСМ(рмл)</t>
  </si>
  <si>
    <t>ИИОЗ(рм)</t>
  </si>
  <si>
    <t>ИИ(рм)</t>
  </si>
  <si>
    <t>ИИ(рмс)</t>
  </si>
  <si>
    <t>ИИ(рмнс)</t>
  </si>
  <si>
    <t>ИИ несп(м)</t>
  </si>
  <si>
    <t>ИИ(м)</t>
  </si>
  <si>
    <t>ИИ спец(м)</t>
  </si>
  <si>
    <t>ИзчИнф(рм)</t>
  </si>
  <si>
    <t>ИИнф(рмнс)</t>
  </si>
  <si>
    <t>ИИнф(рмс)</t>
  </si>
  <si>
    <t>ИзчИнф(рмс)</t>
  </si>
  <si>
    <t>ИзИн несп</t>
  </si>
  <si>
    <t>ИзчИнф сп.</t>
  </si>
  <si>
    <t>ИМиММ(рм)</t>
  </si>
  <si>
    <t>ИС(рб)</t>
  </si>
  <si>
    <t>ИС(мс)</t>
  </si>
  <si>
    <t>ИС(рмс)</t>
  </si>
  <si>
    <t>ИС спец.</t>
  </si>
  <si>
    <t>ИС(рм)</t>
  </si>
  <si>
    <t>ИТУ(рм)</t>
  </si>
  <si>
    <t>ИТУ(рмс)</t>
  </si>
  <si>
    <t>ИТУП(рм)</t>
  </si>
  <si>
    <t>КГ(рм)</t>
  </si>
  <si>
    <t>КомпГраф(рмнс)</t>
  </si>
  <si>
    <t>КомпГраф(рм)</t>
  </si>
  <si>
    <t>КомпГраф(рмс)</t>
  </si>
  <si>
    <t>КомпЛингв(рм)</t>
  </si>
  <si>
    <t>КН(рб)</t>
  </si>
  <si>
    <t>4050001302-ФМИ-мр</t>
  </si>
  <si>
    <t>ЛиА-М(м)</t>
  </si>
  <si>
    <t>ЛиА(рм)</t>
  </si>
  <si>
    <t>ЛиА мат(м)</t>
  </si>
  <si>
    <t>ЛиА-мат(рм)</t>
  </si>
  <si>
    <t>4060003310-ФМИ-мр</t>
  </si>
  <si>
    <t>ЛиА-инф(рм)</t>
  </si>
  <si>
    <t>ЛиА-И(м)</t>
  </si>
  <si>
    <t>ЛиА инф(м)</t>
  </si>
  <si>
    <t>4050001309-ФМИ-мр</t>
  </si>
  <si>
    <t>ЛА-на англ.(рм ч.ез.)</t>
  </si>
  <si>
    <t>ЛА-на англ.(рм)</t>
  </si>
  <si>
    <t>ЛА(рм)</t>
  </si>
  <si>
    <t>М</t>
  </si>
  <si>
    <t>М(рб)</t>
  </si>
  <si>
    <t>МИ(зб)</t>
  </si>
  <si>
    <t>МИ(з)</t>
  </si>
  <si>
    <t>МИ(рб)</t>
  </si>
  <si>
    <t>4050003303-ФМИ-мр</t>
  </si>
  <si>
    <t>ММИ(рм)</t>
  </si>
  <si>
    <t>ММИ(рмл)</t>
  </si>
  <si>
    <t>ММИ-летен(рмл)</t>
  </si>
  <si>
    <t>ММИ(м)</t>
  </si>
  <si>
    <t>Мех&amp;роб(рмс)</t>
  </si>
  <si>
    <t>Мех&amp;роб(рм)</t>
  </si>
  <si>
    <t>МиР(рм)</t>
  </si>
  <si>
    <t>Опт(рм)</t>
  </si>
  <si>
    <t>ПрМ</t>
  </si>
  <si>
    <t>ПрМ(рб)</t>
  </si>
  <si>
    <t>4060003332-ФМИ-мр</t>
  </si>
  <si>
    <t>РСМТ-летен прием(рмл)</t>
  </si>
  <si>
    <t>РСиМТ(м)</t>
  </si>
  <si>
    <t>РСиМТ(рм)</t>
  </si>
  <si>
    <t>СофТех(рм)</t>
  </si>
  <si>
    <t>СофТех</t>
  </si>
  <si>
    <t>СТ(рм)</t>
  </si>
  <si>
    <t>СИ(рб)</t>
  </si>
  <si>
    <t>Стат(рб)</t>
  </si>
  <si>
    <t>ТЗИ(рм)</t>
  </si>
  <si>
    <t>ТОМИ(зм)</t>
  </si>
  <si>
    <t>ТОМИ(змл)</t>
  </si>
  <si>
    <t>ТОМИ(рм)</t>
  </si>
  <si>
    <t>ТОМИ(рмл)</t>
  </si>
  <si>
    <t>ТПИ в ИТ(рм)</t>
  </si>
  <si>
    <t>УМФ(м)</t>
  </si>
  <si>
    <t>УМФ(рм)</t>
  </si>
  <si>
    <t>УМФ&amp;пр.(рм)</t>
  </si>
  <si>
    <t>АВД(рм2 сем)</t>
  </si>
  <si>
    <t>АД/челп/(рмл ч.ез.)</t>
  </si>
  <si>
    <t>ВСТТ(зм3 сем.)</t>
  </si>
  <si>
    <t>Графдизайн(рб)</t>
  </si>
  <si>
    <t>ГрД(рм2 сем)</t>
  </si>
  <si>
    <t>ГД3(рм3 сем.)</t>
  </si>
  <si>
    <t>ЕргтерДВНзом(зм)</t>
  </si>
  <si>
    <t>ЕргтерДВНзом(зм3 сем.)</t>
  </si>
  <si>
    <t>ЕргтерДВНром(рм3 сем.)</t>
  </si>
  <si>
    <t>ЕргтерДВНром(рм)</t>
  </si>
  <si>
    <t>ЕргДВзад2(зм2 сем)</t>
  </si>
  <si>
    <t>ЕргДВ2сем(рм2 сем)</t>
  </si>
  <si>
    <t>ЖЕвО(рм2 сем)</t>
  </si>
  <si>
    <t>ПОИИз(рб)</t>
  </si>
  <si>
    <t>КСППСром(рм)</t>
  </si>
  <si>
    <t>КСППСзом(зм)</t>
  </si>
  <si>
    <t>Логоп.(рб)</t>
  </si>
  <si>
    <t>Логбългаризо(зм4 сем.)</t>
  </si>
  <si>
    <t>Л(змнс)</t>
  </si>
  <si>
    <t>Логопнесп(зм4 сем.)</t>
  </si>
  <si>
    <t>ЛогМ лет.пр(рмл)</t>
  </si>
  <si>
    <t>Логдр.спец.(рм4 сем.)</t>
  </si>
  <si>
    <t>Логбългари(рм4 сем.)</t>
  </si>
  <si>
    <t>1020002303-ФНОИ-мз</t>
  </si>
  <si>
    <t>Лог-КНР(зм3 сем.)</t>
  </si>
  <si>
    <t>1020002303-ФНОИ-мр</t>
  </si>
  <si>
    <t>Лог-КНР3(рм3 сем.)</t>
  </si>
  <si>
    <t>Лог-КНР(рм3 сем.)</t>
  </si>
  <si>
    <t>МПХК(рб)</t>
  </si>
  <si>
    <t>МОПЗ(зм)</t>
  </si>
  <si>
    <t>МОПЗ(зм3 сем.)</t>
  </si>
  <si>
    <t>Мсд(зм)</t>
  </si>
  <si>
    <t>МСПД(змнс)</t>
  </si>
  <si>
    <t>Мсд(рм)</t>
  </si>
  <si>
    <t>МСПД(рмнс)</t>
  </si>
  <si>
    <t>МПДО(зм2 сем)</t>
  </si>
  <si>
    <t>Муз.П(рб)</t>
  </si>
  <si>
    <t>МузПед(рм2 сем)</t>
  </si>
  <si>
    <t>МузПед(рм)</t>
  </si>
  <si>
    <t>МузП(рм)</t>
  </si>
  <si>
    <t>МАМ(рм2 сем)</t>
  </si>
  <si>
    <t>МММТ(сп)(змс)</t>
  </si>
  <si>
    <t>ММТро(рм2 сем)</t>
  </si>
  <si>
    <t>МММТ(несп)(змнс)</t>
  </si>
  <si>
    <t>МММТдр.спец.(рм3 сем.)</t>
  </si>
  <si>
    <t>МКТТ(рм2 сем)</t>
  </si>
  <si>
    <t>ММТТ(рб)</t>
  </si>
  <si>
    <t>ПНУПм(зм4 сем.)</t>
  </si>
  <si>
    <t>НУП(рм4 сем.)</t>
  </si>
  <si>
    <t>НУП(зм2 сем)</t>
  </si>
  <si>
    <t>НУП (учит.прав.)(зм2 сем)</t>
  </si>
  <si>
    <t>НУПучправо(зм2 сем)</t>
  </si>
  <si>
    <t>НУПЧЕ(рб)</t>
  </si>
  <si>
    <t>ОНИВ(ае)(рм2 сем)</t>
  </si>
  <si>
    <t>ОНИВ(ае)(рм2 сем ч.ез.)</t>
  </si>
  <si>
    <t>ОНИВ/ае//рм//лп/(рм2 семл)</t>
  </si>
  <si>
    <t>ОНИВ/ае//рм//лп/(рм2 семл ч.ез.)</t>
  </si>
  <si>
    <t>ПСИИз(рм2 сем)</t>
  </si>
  <si>
    <t>ПСИИзав.др.спец.(рм3 сем.)</t>
  </si>
  <si>
    <t>ПСИИз(рм)</t>
  </si>
  <si>
    <t>ПДУму(спец.)(рм2 сем)</t>
  </si>
  <si>
    <t>ПЗЗ(пед.правоспособ)(зм3 сем.)</t>
  </si>
  <si>
    <t>ПМХК(зм)</t>
  </si>
  <si>
    <t>ПМХК(зм3 сем.)</t>
  </si>
  <si>
    <t>ПМХК(рб)</t>
  </si>
  <si>
    <t>ПМХК(ае)(рб ч.ез.)</t>
  </si>
  <si>
    <t>ПМХК/ае/(рб)</t>
  </si>
  <si>
    <t>Педсъв(зм2 сем)</t>
  </si>
  <si>
    <t>ПНУПпрбак(зм5 сем.)</t>
  </si>
  <si>
    <t>ПУНУП(рб)</t>
  </si>
  <si>
    <t>ПНУП(рб)</t>
  </si>
  <si>
    <t>ПНУП 2014(зб)</t>
  </si>
  <si>
    <t>ПП (уч.прав.)(зм2 сем)</t>
  </si>
  <si>
    <t>ПНУП(зм)</t>
  </si>
  <si>
    <t>ППдр.спец.(зм4 сем.)</t>
  </si>
  <si>
    <t>ППучителизо(зм2 сем)</t>
  </si>
  <si>
    <t>ПУПЧЕ(рб)</t>
  </si>
  <si>
    <t>РЧО(зм3 сем.)</t>
  </si>
  <si>
    <t>РЧО/без че/(зм3 сем.)</t>
  </si>
  <si>
    <t>РЧО/с че/(зм2 сем)</t>
  </si>
  <si>
    <t>РДП(рм2 сем)</t>
  </si>
  <si>
    <t>РДП (др.проф.напр.)(рм3 сем.)</t>
  </si>
  <si>
    <t>СТКЛУ(зм3 сем.)</t>
  </si>
  <si>
    <t>Стлу(рмчс)(рм3 сем.)</t>
  </si>
  <si>
    <t>Стклу(рмнс)</t>
  </si>
  <si>
    <t>СРРнеспец.(зм4 сем.)</t>
  </si>
  <si>
    <t>СРР(неспец.)(рм4 сем.)</t>
  </si>
  <si>
    <t>СРР(специалисти)(зм2 сем)</t>
  </si>
  <si>
    <t>Соц.П (рб)</t>
  </si>
  <si>
    <t>СП 2014(зб)</t>
  </si>
  <si>
    <t>Спдп(зм)</t>
  </si>
  <si>
    <t>СП(несп)(змнс)</t>
  </si>
  <si>
    <t>СП(несп)(зм)</t>
  </si>
  <si>
    <t>Спец.П(рб)</t>
  </si>
  <si>
    <t>Сп(рм)</t>
  </si>
  <si>
    <t>СП(несп)(рмнс)</t>
  </si>
  <si>
    <t>СПдр.пед.спец.(рм3 сем.)</t>
  </si>
  <si>
    <t>СП(сп2)(рм2 сем)</t>
  </si>
  <si>
    <t>10201662-ФНОИ-бз</t>
  </si>
  <si>
    <t>Спец. п-ка 2014(зб)</t>
  </si>
  <si>
    <t>СПзав.др.спец.ро(рм2 сем)</t>
  </si>
  <si>
    <t>СПзав.др.спец.(зм4 сем.)</t>
  </si>
  <si>
    <t>СПобае(рм3 сем. ч.ез.)</t>
  </si>
  <si>
    <t>СП(пед.спец. ае рм)(рм3 сем. ч.ез.)</t>
  </si>
  <si>
    <t>СП(пс ае рм лп)(рм3 сем.л ч.ез.)</t>
  </si>
  <si>
    <t>СП(пс ае рм лп)(рмл ч.ез.)</t>
  </si>
  <si>
    <t>СДТзав.пед.спец.(рм2 сем)</t>
  </si>
  <si>
    <t>ФВС(рб)</t>
  </si>
  <si>
    <t>ИКТ в обр.(дистанц.)(дм2 сем)</t>
  </si>
  <si>
    <t>ИКТ в образованието(зм3 сем.)</t>
  </si>
  <si>
    <t>ИКТ (зм 3 сем.)(змнс)</t>
  </si>
  <si>
    <t>ИКТО (рм 3 сем)(рмс)</t>
  </si>
  <si>
    <t>ИКТ в образованието(зм2 сем)</t>
  </si>
  <si>
    <t>ИКТ в образованието(рм2 сем)</t>
  </si>
  <si>
    <t>КОИМНО(зм3 сем.)</t>
  </si>
  <si>
    <t>КОИМО(змнс)</t>
  </si>
  <si>
    <t>КПРС(зм3 сем.)</t>
  </si>
  <si>
    <t>КПРС(зм2 сем)</t>
  </si>
  <si>
    <t>КСР(зм3 сем.)</t>
  </si>
  <si>
    <t>КСР(зм2 сем)</t>
  </si>
  <si>
    <t>МОВ (зм 3 сем.)(зм3 сем.)</t>
  </si>
  <si>
    <t>МОВ(зм3 сем.)</t>
  </si>
  <si>
    <t>МОВ(рм3 сем.)</t>
  </si>
  <si>
    <t>Мениджмънт на услуги(змс)</t>
  </si>
  <si>
    <t>Мениджмънт</t>
  </si>
  <si>
    <t>Мениджмънт на услуги(змнс)</t>
  </si>
  <si>
    <t>НО(зб)</t>
  </si>
  <si>
    <t>НО(рб)</t>
  </si>
  <si>
    <t>ОМ(зм2 сем)</t>
  </si>
  <si>
    <t>ОМ(рм2 сем)</t>
  </si>
  <si>
    <t>10100093-ФП-мр</t>
  </si>
  <si>
    <t>ОМ-л-анг.(рм2 семл ч.ез.)</t>
  </si>
  <si>
    <t>Пед(зб)</t>
  </si>
  <si>
    <t>Пед(рб)</t>
  </si>
  <si>
    <t>ПДП(зм2 сем)</t>
  </si>
  <si>
    <t>ПДП(зм3 сем.)</t>
  </si>
  <si>
    <t>ПДП(рм3 сем.)</t>
  </si>
  <si>
    <t>ПДП(рм2 сем)</t>
  </si>
  <si>
    <t>СРБМ(зм2 сем)</t>
  </si>
  <si>
    <t>СРБМ(зм3 сем.)</t>
  </si>
  <si>
    <t>СРДС(зм2 сем)</t>
  </si>
  <si>
    <t>СРДС(зм3 сем.)</t>
  </si>
  <si>
    <t>СРДС(рм2 сем)</t>
  </si>
  <si>
    <t>СРДС(рм3 сем.)</t>
  </si>
  <si>
    <t>СД(зб)</t>
  </si>
  <si>
    <t>СД(рб)</t>
  </si>
  <si>
    <t>Съв.образ.техн.(зм2 сем)</t>
  </si>
  <si>
    <t>Съвр.образ.техн.(рм2 сем)</t>
  </si>
  <si>
    <t>Съвр.образ.техн.(зм3 сем.)</t>
  </si>
  <si>
    <t>Съвр.образ.техн.(рм3 сем.)</t>
  </si>
  <si>
    <t>УИСР(зм2 сем)</t>
  </si>
  <si>
    <t>УИСР(зм3 сем.)</t>
  </si>
  <si>
    <t>УИСР(рм3 сем.)</t>
  </si>
  <si>
    <t>УИСР(рм2 сем)</t>
  </si>
  <si>
    <t>БФ(зб)</t>
  </si>
  <si>
    <t>БФ(рб)</t>
  </si>
  <si>
    <t>ЕКП(рм)</t>
  </si>
  <si>
    <t>ЕИК/несп(рмнс)</t>
  </si>
  <si>
    <t>ЕКПмп(рмнс)</t>
  </si>
  <si>
    <t>Интерпретативна антр(рмл)</t>
  </si>
  <si>
    <t>Интерпретативна/несп(рмнс)</t>
  </si>
  <si>
    <t>Интерпретативна/несп(рм)</t>
  </si>
  <si>
    <t>Компютърна лингвистика. Интернет технологии в хуманитаристиката</t>
  </si>
  <si>
    <t>КлИт(рм)</t>
  </si>
  <si>
    <t>Лингвистика/Несп(рмнс)</t>
  </si>
  <si>
    <t>2010003323-ФСлФ-мр</t>
  </si>
  <si>
    <t>Лингвистика езикови(рм)</t>
  </si>
  <si>
    <t>Лингвистика езикова(рм)</t>
  </si>
  <si>
    <t>Лингвистика - езиков(рмл)</t>
  </si>
  <si>
    <t>ЛКВК(рмс)</t>
  </si>
  <si>
    <t>ЛКВК(рмнс)</t>
  </si>
  <si>
    <t>Л ТП(рм2 сем)</t>
  </si>
  <si>
    <t>ЛТПмп(рмнс)</t>
  </si>
  <si>
    <t>ЛЗ(рм)</t>
  </si>
  <si>
    <t>Литературознание(рмнс)</t>
  </si>
  <si>
    <t>ОБЕЛ(зм)</t>
  </si>
  <si>
    <t>ОБЕЛмп(змнс)</t>
  </si>
  <si>
    <t>ОБЕЛСУмп(рмнс)</t>
  </si>
  <si>
    <t>ОБЕЛ(рм)</t>
  </si>
  <si>
    <t>Опазв. бълг. кул. н.(змнс)</t>
  </si>
  <si>
    <t>Опазв. бълг. кул. н.(змс)</t>
  </si>
  <si>
    <t>ОБКултН(рмс)</t>
  </si>
  <si>
    <t>ОБКултН/2сем(рмс)</t>
  </si>
  <si>
    <t>ОБКултН(рмнс)</t>
  </si>
  <si>
    <t>ОБКултН~(рмнс)</t>
  </si>
  <si>
    <t>ОБКултН/3сем(рмнс)</t>
  </si>
  <si>
    <t>ПРмп(рмнс)</t>
  </si>
  <si>
    <t>20103623-ФСлФ-мр</t>
  </si>
  <si>
    <t>Преводач-редактор-4(рмс)</t>
  </si>
  <si>
    <t>2010003320-ФСлФ-мр</t>
  </si>
  <si>
    <t>прм-италиански(рмс)</t>
  </si>
  <si>
    <t>2010003333-ФСлФ-мр</t>
  </si>
  <si>
    <t>Пр.-р. в чужд. у.(а)(рмс)</t>
  </si>
  <si>
    <t>Прев-ред. в чужд. у.(рмс)</t>
  </si>
  <si>
    <t>2010003334-ФСлФ-мр</t>
  </si>
  <si>
    <t>Перводач-редактор(А)(рмс)</t>
  </si>
  <si>
    <t>Перовадч-редактор(А)(рмс)</t>
  </si>
  <si>
    <t>ПРИтНс(рм)</t>
  </si>
  <si>
    <t>ПРИтНс(рмнс)</t>
  </si>
  <si>
    <t>Руска литература, ку(рм)</t>
  </si>
  <si>
    <t>Руска литература(рмнс)</t>
  </si>
  <si>
    <t>СлФ(рм)</t>
  </si>
  <si>
    <t>Старобългаристика(змнс)</t>
  </si>
  <si>
    <t>Старобългаристика(змс)</t>
  </si>
  <si>
    <t>Старобългаристика(рмнс)</t>
  </si>
  <si>
    <t>СтБ(рм)</t>
  </si>
  <si>
    <t>Старобългаристика~(рмнс)</t>
  </si>
  <si>
    <t>СКВКмп(рмс)</t>
  </si>
  <si>
    <t>Трангранс/задочно/(змс)</t>
  </si>
  <si>
    <t>Тргран/зад/несп(змнс)</t>
  </si>
  <si>
    <t>Трансгранична българ(рм)</t>
  </si>
  <si>
    <t>Тргран/ред/несп(рмнс)</t>
  </si>
  <si>
    <t>АП(змл)</t>
  </si>
  <si>
    <t>АП(зм)</t>
  </si>
  <si>
    <t>БИН(зб)</t>
  </si>
  <si>
    <t>БИН(рб)</t>
  </si>
  <si>
    <t>БИНКП(змнс)</t>
  </si>
  <si>
    <t>БИНКП(змс)</t>
  </si>
  <si>
    <t>БИНКП(зм)</t>
  </si>
  <si>
    <t>БИНКП2л(зм2 семл)</t>
  </si>
  <si>
    <t>БИНКП(змсл)</t>
  </si>
  <si>
    <t>БИНКП2(зм2 сем)</t>
  </si>
  <si>
    <t>БИТ(змл)</t>
  </si>
  <si>
    <t>БИТ(зм)</t>
  </si>
  <si>
    <t>БИНКПр(рмл)</t>
  </si>
  <si>
    <t>БИНКПр(рм)</t>
  </si>
  <si>
    <t>ВК(рм)</t>
  </si>
  <si>
    <t>ВК(рмл)</t>
  </si>
  <si>
    <t>Глобалистика(рмл)</t>
  </si>
  <si>
    <t>Градски изследвания(рм)</t>
  </si>
  <si>
    <t>ГИ(рм)</t>
  </si>
  <si>
    <t>ДЮУП(рмнс)</t>
  </si>
  <si>
    <t>ДЮУП(рмс)</t>
  </si>
  <si>
    <t>3030003306-ФФ-мр</t>
  </si>
  <si>
    <t>Е-Европа(рм)</t>
  </si>
  <si>
    <t>3030003310-ФФ-мр</t>
  </si>
  <si>
    <t>Е-Е(рм2 сем)</t>
  </si>
  <si>
    <t>Евр.(рб)</t>
  </si>
  <si>
    <t>ЕИиД(рм)</t>
  </si>
  <si>
    <t>ЕИДЕСл(рм2 семл)</t>
  </si>
  <si>
    <t>ЕИДЕС(рм2 сем)</t>
  </si>
  <si>
    <t>ЕПА(зм)</t>
  </si>
  <si>
    <t>ЕПА(рм)</t>
  </si>
  <si>
    <t>ЕПА(рм2 сем)</t>
  </si>
  <si>
    <t>ЕП(рмл)</t>
  </si>
  <si>
    <t>Европейски проекти(рм2 сем)</t>
  </si>
  <si>
    <t>ИзкС(рмл)</t>
  </si>
  <si>
    <t>ИБЕ(рм)</t>
  </si>
  <si>
    <t>ИБЕ(рмл)</t>
  </si>
  <si>
    <t>ИСФ(рмс)</t>
  </si>
  <si>
    <t>ИСФ(рмнс)</t>
  </si>
  <si>
    <t>ИЖП(рм4 сем.)</t>
  </si>
  <si>
    <t>ИЖПл(рм4 сем.л)</t>
  </si>
  <si>
    <t>ИстЖПсем3(рм3 сем. ч.ез.)</t>
  </si>
  <si>
    <t>ИстЖПсем3(</t>
  </si>
  <si>
    <t>ИКЧ(змл)</t>
  </si>
  <si>
    <t>ИКЧ(зм)</t>
  </si>
  <si>
    <t>ИКЧ(рм2 сем)</t>
  </si>
  <si>
    <t>История на философия(рмс)</t>
  </si>
  <si>
    <t>ИФ(рмс)</t>
  </si>
  <si>
    <t>ИФ(рмсл)</t>
  </si>
  <si>
    <t>История на философия(рмнс)</t>
  </si>
  <si>
    <t>ККП(рм)</t>
  </si>
  <si>
    <t>КЛК+ПР(рм5 сем.)</t>
  </si>
  <si>
    <t>КП(рм3 сем.)</t>
  </si>
  <si>
    <t>КлПсих5(рм5 сем.)</t>
  </si>
  <si>
    <t>КА2(рм2 сем)</t>
  </si>
  <si>
    <t>КАнов(рм)</t>
  </si>
  <si>
    <t>КА(рм)</t>
  </si>
  <si>
    <t>К.(рб)</t>
  </si>
  <si>
    <t>МКК(рм)</t>
  </si>
  <si>
    <t>Медии, комуникация, (рм2 сем)</t>
  </si>
  <si>
    <t>МПОС(змс)</t>
  </si>
  <si>
    <t>МОПС з 3сем(зм3 сем.)</t>
  </si>
  <si>
    <t>МОПС(змсл)</t>
  </si>
  <si>
    <t>МПОС(змнс)</t>
  </si>
  <si>
    <t>МПОС(рмнс)</t>
  </si>
  <si>
    <t>МОПС(рмсл)</t>
  </si>
  <si>
    <t>МОПС р 3сем.(рм3 сем.)</t>
  </si>
  <si>
    <t>МПОС(рмс)</t>
  </si>
  <si>
    <t>МСКНл(рмл)</t>
  </si>
  <si>
    <t>МСКН(рм)</t>
  </si>
  <si>
    <t>МСКН2(рм2 сем)</t>
  </si>
  <si>
    <t>ОПАЕ(зм)</t>
  </si>
  <si>
    <t>ОПАЕ(зм ч.ез.)</t>
  </si>
  <si>
    <t>ОПКМангл(зм3 сем. ч.ез.)</t>
  </si>
  <si>
    <t>ОПКМангл(зм3 сем.)</t>
  </si>
  <si>
    <t>ОпКо(рм3 сем.)</t>
  </si>
  <si>
    <t>ОПКО(рм3 сем.)</t>
  </si>
  <si>
    <t>ОПКО(рмнс)</t>
  </si>
  <si>
    <t>ОПУО(рмнс)</t>
  </si>
  <si>
    <t>ОПКО (рмнс)</t>
  </si>
  <si>
    <t>ОПОВ(рм2 сем)</t>
  </si>
  <si>
    <t>ПИПЕС(рм ч.ез.)</t>
  </si>
  <si>
    <t>ПИПЕСл(рм3 сем.л ч.ез.)</t>
  </si>
  <si>
    <t>Псоц(рм)</t>
  </si>
  <si>
    <t>ПС(рмл)</t>
  </si>
  <si>
    <t>ПолСоц2сем(рм2 сем)</t>
  </si>
  <si>
    <t>ПМ(змс)</t>
  </si>
  <si>
    <t>ПМ(змсл)</t>
  </si>
  <si>
    <t>ПМ(змнс)</t>
  </si>
  <si>
    <t>ПМ(змнсл)</t>
  </si>
  <si>
    <t>ПМлрс(рмсл)</t>
  </si>
  <si>
    <t>ПМ(рмнс)</t>
  </si>
  <si>
    <t>ПМлрнесп(рмнсл)</t>
  </si>
  <si>
    <t>ПМ(рмс)</t>
  </si>
  <si>
    <t>ПМК(рм)</t>
  </si>
  <si>
    <t>ППГСангл(дм2 сем ч.ез.)</t>
  </si>
  <si>
    <t>ППГСангл(дм2 семл ч.ез.)</t>
  </si>
  <si>
    <t>ПКрмс(рмс)</t>
  </si>
  <si>
    <t>Полконс(рм)</t>
  </si>
  <si>
    <t>ПК(рмнс)</t>
  </si>
  <si>
    <t>Пол.(рб)</t>
  </si>
  <si>
    <t>Псих.(рб)</t>
  </si>
  <si>
    <t>ПЗсп(рмс)</t>
  </si>
  <si>
    <t>ПЗнесп(рмнс)</t>
  </si>
  <si>
    <t>ПМП(зм)</t>
  </si>
  <si>
    <t>ПМП(рм)</t>
  </si>
  <si>
    <t>ПМП(рм2 сем)</t>
  </si>
  <si>
    <t>ПА(рб)</t>
  </si>
  <si>
    <t>ПАз2(зм2 сем)</t>
  </si>
  <si>
    <t>ПАр2(рм2 сем)</t>
  </si>
  <si>
    <t>ПАспец(змс)</t>
  </si>
  <si>
    <t>ПА17z(зм3 сем.)</t>
  </si>
  <si>
    <t>ПАл(рмл)</t>
  </si>
  <si>
    <t>ПА(рмнс)</t>
  </si>
  <si>
    <t>ПА(рм)</t>
  </si>
  <si>
    <t>ПАангл(рм)</t>
  </si>
  <si>
    <t>ПАангл(рм ч.ез.)</t>
  </si>
  <si>
    <t>ПИС(рб)</t>
  </si>
  <si>
    <t>рет(змсл)</t>
  </si>
  <si>
    <t>Рет з с(зм2 сем)</t>
  </si>
  <si>
    <t>рит(змс)</t>
  </si>
  <si>
    <t>Рет(рмс)</t>
  </si>
  <si>
    <t>Рет(рмсл)</t>
  </si>
  <si>
    <t>рит(змнс)</t>
  </si>
  <si>
    <t>Рет(змнс)</t>
  </si>
  <si>
    <t>Р(змс)</t>
  </si>
  <si>
    <t>Рет(змс)</t>
  </si>
  <si>
    <t>Рет(змнсл)</t>
  </si>
  <si>
    <t>Р(зм)</t>
  </si>
  <si>
    <t>Р(рм)</t>
  </si>
  <si>
    <t>Рет(рмнс)</t>
  </si>
  <si>
    <t>Р(рмнс)</t>
  </si>
  <si>
    <t>Рет(рмнсл)</t>
  </si>
  <si>
    <t>СКрПсих(рм3 сем.)</t>
  </si>
  <si>
    <t>СЮП~(рм3 сем.)</t>
  </si>
  <si>
    <t>СЮП(рм3 сем.)</t>
  </si>
  <si>
    <t>СИП(зм)</t>
  </si>
  <si>
    <t>СИП (л)(змл)</t>
  </si>
  <si>
    <t>СИП(рмл)</t>
  </si>
  <si>
    <t>СИП(рм)</t>
  </si>
  <si>
    <t>Социални изследвания(рмл)</t>
  </si>
  <si>
    <t>Соц.(рб)</t>
  </si>
  <si>
    <t>ТОП (зм)</t>
  </si>
  <si>
    <t>ТОП(рм)</t>
  </si>
  <si>
    <t>ТПРЧР(рм)</t>
  </si>
  <si>
    <t>УЕС(зм)</t>
  </si>
  <si>
    <t>УЕС(змл)</t>
  </si>
  <si>
    <t>Фил.(зб)</t>
  </si>
  <si>
    <t>Фил.(рб)</t>
  </si>
  <si>
    <t>Филм2(рм2 сем)</t>
  </si>
  <si>
    <t>Ф(рмс)</t>
  </si>
  <si>
    <t>Ф(рмсл)</t>
  </si>
  <si>
    <t>Философия(рмс)</t>
  </si>
  <si>
    <t>Философия(рмсл)</t>
  </si>
  <si>
    <t>ФНсп(змнс)</t>
  </si>
  <si>
    <t>ф(рмнс)</t>
  </si>
  <si>
    <t>ф(рм)</t>
  </si>
  <si>
    <t>Философия(рмнсл)</t>
  </si>
  <si>
    <t>Ф(рмнсл)</t>
  </si>
  <si>
    <t>ФИЛen(рб ч.ез.)</t>
  </si>
  <si>
    <t>ФСУл(зм2 семл)</t>
  </si>
  <si>
    <t>ФСУ(зм)</t>
  </si>
  <si>
    <t>ФСЕ(зм)</t>
  </si>
  <si>
    <t>ФСЕ(змл)</t>
  </si>
  <si>
    <t>ФПА(змл ч.ез.)</t>
  </si>
  <si>
    <t>ФПА(змл)</t>
  </si>
  <si>
    <t>ФПА(зм)</t>
  </si>
  <si>
    <t>ФПА(зм ч.ез.)</t>
  </si>
  <si>
    <t>ФПА(рм ч.ез.)</t>
  </si>
  <si>
    <t>ФПА(рм)</t>
  </si>
  <si>
    <t>ФПА(рмл ч.ез.)</t>
  </si>
  <si>
    <t>ФПА(рмл)</t>
  </si>
  <si>
    <t>ФПАл(рмл)</t>
  </si>
  <si>
    <t>ФПАбак3(зм4 сем. ч.ез.)</t>
  </si>
  <si>
    <t>ФПАЕ 4с летен(зм4 сем.л ч.ез.)</t>
  </si>
  <si>
    <t>ФПАбак3(рм4 сем. ч.ез.)</t>
  </si>
  <si>
    <t>ФАНТР(рмл)</t>
  </si>
  <si>
    <t>ФАнтр(рм)</t>
  </si>
  <si>
    <t>А(рм)</t>
  </si>
  <si>
    <t>ДСХТ (рм)(рм)</t>
  </si>
  <si>
    <t>ЕкоХ(зм)</t>
  </si>
  <si>
    <t>ЕХ(рб)</t>
  </si>
  <si>
    <t>ЕкоХ(рм)</t>
  </si>
  <si>
    <t>ЕХ(з)(зм)</t>
  </si>
  <si>
    <t>ЕХ(р)(рм)</t>
  </si>
  <si>
    <t>ИХ(рм)</t>
  </si>
  <si>
    <t>ИХСМ(рб)</t>
  </si>
  <si>
    <t>Козметика и битова х(зм)</t>
  </si>
  <si>
    <t>Козметика и битова х(рм)</t>
  </si>
  <si>
    <t>Козметика и битова х(зм4 сем.л)</t>
  </si>
  <si>
    <t>КХ(рб)</t>
  </si>
  <si>
    <t>Мат(рм)</t>
  </si>
  <si>
    <t>МФБФХ(рм)</t>
  </si>
  <si>
    <t>МХ(рм)</t>
  </si>
  <si>
    <t>НХМСТ(рм)</t>
  </si>
  <si>
    <t>Пзо~(зм)</t>
  </si>
  <si>
    <t>Пзо(зм)</t>
  </si>
  <si>
    <t>Полимери(зм3 сем.)</t>
  </si>
  <si>
    <t>Пол.(рм)</t>
  </si>
  <si>
    <t>ПолимАЕ(рм3 сем. ч.ез.)</t>
  </si>
  <si>
    <t>РХРЕ(зм)</t>
  </si>
  <si>
    <t>РХРЕ(рм)</t>
  </si>
  <si>
    <t>РР (англ.)(зм ч.ез.)</t>
  </si>
  <si>
    <t>СМСАОС(рм)</t>
  </si>
  <si>
    <t>ССХМА(рм)</t>
  </si>
  <si>
    <t>УХ(з)(зм)</t>
  </si>
  <si>
    <t>УХ(р)(рм)</t>
  </si>
  <si>
    <t>Фармация(рм)</t>
  </si>
  <si>
    <t>ФАЕ(рм ч.ез.)</t>
  </si>
  <si>
    <t>ФМ(рм)</t>
  </si>
  <si>
    <t>Х(зб)</t>
  </si>
  <si>
    <t>Х(рб)</t>
  </si>
  <si>
    <t>10301682-ФХФ-бр</t>
  </si>
  <si>
    <t>Х-я и англ. език(рб)</t>
  </si>
  <si>
    <t>ХИ(рб)</t>
  </si>
  <si>
    <t>ЯХ(рм)</t>
  </si>
  <si>
    <t>АКИК(рм3 сем.)</t>
  </si>
  <si>
    <t>АА(рм3 сем.)</t>
  </si>
  <si>
    <t>АПА(зм4 сем.)</t>
  </si>
  <si>
    <t>АМГ(зб)</t>
  </si>
  <si>
    <t>АМГ(рб)</t>
  </si>
  <si>
    <t>5030000302-ФзФ-мр</t>
  </si>
  <si>
    <t>БМУ - р(рм3 сем.)</t>
  </si>
  <si>
    <t>БМУ(зм4 сем.л)</t>
  </si>
  <si>
    <t>5030000301-ФзФ-мз</t>
  </si>
  <si>
    <t>БМУ - прб-з(зм4 сем.)</t>
  </si>
  <si>
    <t>ГФмп(зм)</t>
  </si>
  <si>
    <t>ГФ(зм3 сем.)</t>
  </si>
  <si>
    <t>ГФ(рм3 сем.)</t>
  </si>
  <si>
    <t>Геофизика(зм2 сем)</t>
  </si>
  <si>
    <t>ГЕОФИЗИКА(зм2 сем)</t>
  </si>
  <si>
    <t>ГФ(рм2 сем)</t>
  </si>
  <si>
    <t>Геофизика(рм2 сем)</t>
  </si>
  <si>
    <t>ГФ(рм4 сем.)</t>
  </si>
  <si>
    <t>ИФз.о.(зб)</t>
  </si>
  <si>
    <t>ИФ(зб)</t>
  </si>
  <si>
    <t>ИФ(рб)</t>
  </si>
  <si>
    <t>КЕЛТ(рм3 сем.)</t>
  </si>
  <si>
    <t>КЕЛТ(рм)</t>
  </si>
  <si>
    <t>ККТФ(рб)</t>
  </si>
  <si>
    <t>Кв.Инф.(рм3 сем.)</t>
  </si>
  <si>
    <t>КФЕ~(рб)</t>
  </si>
  <si>
    <t>КФЕ(рб)</t>
  </si>
  <si>
    <t>КФЕ1(рб)</t>
  </si>
  <si>
    <t>КФЕ(рм2 сем)</t>
  </si>
  <si>
    <t>ККТ(рм3 сем.)</t>
  </si>
  <si>
    <t>КИ(рм3 сем.)</t>
  </si>
  <si>
    <t>КИ(рм)</t>
  </si>
  <si>
    <t>КИз(рм5 сем.)</t>
  </si>
  <si>
    <t>МФ(рб)</t>
  </si>
  <si>
    <t>МФ(рм4 сем.)</t>
  </si>
  <si>
    <t>МФ(рм2 сем)</t>
  </si>
  <si>
    <t>МФ(рм3 сем.)</t>
  </si>
  <si>
    <t>Медицинска физика(рм3 сем.)</t>
  </si>
  <si>
    <t>М(зм5 сем.)</t>
  </si>
  <si>
    <t>М5(зм5 сем.)</t>
  </si>
  <si>
    <t>М(зм3 сем.)</t>
  </si>
  <si>
    <t>М(зм)</t>
  </si>
  <si>
    <t>М(рм3 сем.)</t>
  </si>
  <si>
    <t>М(рм)</t>
  </si>
  <si>
    <t>М5(рм5 сем.)</t>
  </si>
  <si>
    <t>М(рм5 сем.)</t>
  </si>
  <si>
    <t>МОФАр2(рм2 сем)</t>
  </si>
  <si>
    <t>МОФАз3(зм3 сем.)</t>
  </si>
  <si>
    <t>МетодологияОФА(рм3 сем.)</t>
  </si>
  <si>
    <t>МЕИТЛП3(зм3 сем.л)</t>
  </si>
  <si>
    <t>МЕИТ(зм3 сем.)</t>
  </si>
  <si>
    <t>МИТ(зм3 се</t>
  </si>
  <si>
    <t>МИТ(зм3 сем.)</t>
  </si>
  <si>
    <t>МИТ(рм3 сем.)</t>
  </si>
  <si>
    <t>МЕИТ(рм3 сем.)</t>
  </si>
  <si>
    <t>МИТ(рм)</t>
  </si>
  <si>
    <t>ОС(рм3 сем.)</t>
  </si>
  <si>
    <t>ОС(рм)</t>
  </si>
  <si>
    <t>Оптометрия(зб)</t>
  </si>
  <si>
    <t>Оптометрия(рб)</t>
  </si>
  <si>
    <t>Опт(рм2 сем)</t>
  </si>
  <si>
    <t>Оптометрия(рм4 сем.л)</t>
  </si>
  <si>
    <t>Оптометрия(рм5 сем.)</t>
  </si>
  <si>
    <t>Оптометрия(зм6 сем.)</t>
  </si>
  <si>
    <t>ПТТС(рм3 сем.)</t>
  </si>
  <si>
    <t>ТИФ(рм3 сем.)</t>
  </si>
  <si>
    <t>ТМФ(рм2 сем)</t>
  </si>
  <si>
    <t>ТМФмп(рм)</t>
  </si>
  <si>
    <t>ТМФ(рм3 сем.)</t>
  </si>
  <si>
    <t>ТСПТ(рм4 сем. ч.ез.)</t>
  </si>
  <si>
    <t>ТСПТ(рм4 сем.)</t>
  </si>
  <si>
    <t>ТСПТ(англ.ез.)(рм4 сем. ч.ез.)</t>
  </si>
  <si>
    <t>ТСПТ(англ.ез.)(рм4 сем.)</t>
  </si>
  <si>
    <t>УПНОСО(рб)</t>
  </si>
  <si>
    <t>Ф(зб)</t>
  </si>
  <si>
    <t>ф(зб)</t>
  </si>
  <si>
    <t>Ф(рб)</t>
  </si>
  <si>
    <t>ФИ(рб)</t>
  </si>
  <si>
    <t>ФМ(зб)</t>
  </si>
  <si>
    <t>ФиМ(зб)</t>
  </si>
  <si>
    <t>ФиМ(рб)</t>
  </si>
  <si>
    <t>ФМ(рб)</t>
  </si>
  <si>
    <t>ФЗАО(зм4 сем.)</t>
  </si>
  <si>
    <t>ФЯЕЧ(рб ч.ез.)</t>
  </si>
  <si>
    <t>ФЯТЧ(рм5 сем.)</t>
  </si>
  <si>
    <t>ФЯЕЧ(рм5 сем.)</t>
  </si>
  <si>
    <t>ФЯЕЧ(рм3 сем.)</t>
  </si>
  <si>
    <t>ФЛФ(рб)</t>
  </si>
  <si>
    <t>ЯЕТ(рм4 сем.л)</t>
  </si>
  <si>
    <t>ЯЕТ(рм4 сем.)</t>
  </si>
  <si>
    <t>ЯЕТ(зм5 сем.)</t>
  </si>
  <si>
    <t>ЯЕТНС(зм5 сем.л)</t>
  </si>
  <si>
    <t>ЯЕТПБ(зм6 сем.л)</t>
  </si>
  <si>
    <t>ЯЕТ(змс)</t>
  </si>
  <si>
    <t>ЯЕТПБ(змл)</t>
  </si>
  <si>
    <t>ЯЕТ(рм3 сем.)</t>
  </si>
  <si>
    <t>ЯЕТ(рм3 сем.л)</t>
  </si>
  <si>
    <t>ЯТЯТ(рм3 сем.л)</t>
  </si>
  <si>
    <t>ЕО(рм4 сем.)</t>
  </si>
  <si>
    <t>ЗОП(рм)</t>
  </si>
  <si>
    <t>МС(рм2 сем)</t>
  </si>
  <si>
    <t>МС(рм3 сем.)</t>
  </si>
  <si>
    <t>МС(рм3 сем.л)</t>
  </si>
  <si>
    <t>МС(рм4 сем.)</t>
  </si>
  <si>
    <t>МБО(рм3 сем.л)</t>
  </si>
  <si>
    <t>МБОмп(рм3 сем.)</t>
  </si>
  <si>
    <t>МБОмп4сем(рм4 сем.)</t>
  </si>
  <si>
    <t>МБО(рм4 сем.)</t>
  </si>
  <si>
    <t>МОМД(рм3 сем.л)</t>
  </si>
  <si>
    <t>МОМД(рм3 сем.)</t>
  </si>
  <si>
    <t>МОМД(рм4 сем.)</t>
  </si>
  <si>
    <t>МО(рб)</t>
  </si>
  <si>
    <t>МО(рм)</t>
  </si>
  <si>
    <t>Пр(зм)</t>
  </si>
  <si>
    <t>Пр(рм)</t>
  </si>
  <si>
    <t>Право 2014(зм)</t>
  </si>
  <si>
    <t>ПЕС(рм2 сем)</t>
  </si>
  <si>
    <t>ПЕСмп2сем(рм2 сем)</t>
  </si>
  <si>
    <t>ПЕс(рм3 сем.)</t>
  </si>
  <si>
    <t>ПЕС(рм3 сем.л)</t>
  </si>
  <si>
    <t>ЧОППЕС(рмл)</t>
  </si>
  <si>
    <t>ЧОППЕСромп(рм)</t>
  </si>
  <si>
    <t>Z:\НАЦИД\Специалности-НАЦИД-Григоров\R\СУ-специалности-Нацид-редактирано_v6_ф-т_R.xlsx</t>
  </si>
  <si>
    <t>Учебна година</t>
  </si>
  <si>
    <t>ЕГН</t>
  </si>
  <si>
    <t>ОБЩА ОЗ:</t>
  </si>
  <si>
    <t>ОЗ – Бакалаври, Магистри и Лекторат</t>
  </si>
  <si>
    <t>ОБЩА АЗ:</t>
  </si>
  <si>
    <t>АЗ – Бакалаври, Магистри и Лекторат</t>
  </si>
  <si>
    <t>ОЗ – Бакалаври, Магистри, Лекторат и Докторанти</t>
  </si>
  <si>
    <t>АЗ – Бакалаври, Магистри, Лекторат и Докторанти</t>
  </si>
  <si>
    <t>фОЗ</t>
  </si>
  <si>
    <t>ОЗ.</t>
  </si>
  <si>
    <t>т№</t>
  </si>
  <si>
    <t>db_EducationPlans_МОН_List</t>
  </si>
  <si>
    <t>dbеФакултет_ОЗ_Спец</t>
  </si>
  <si>
    <t>EducationalFormName</t>
  </si>
  <si>
    <t>EducationalDegreeNameMON</t>
  </si>
  <si>
    <t>initialPartId</t>
  </si>
  <si>
    <t>12264|4030002307-БФ-мр</t>
  </si>
  <si>
    <t>12264</t>
  </si>
  <si>
    <t>12254|4030001314-БФ-мр</t>
  </si>
  <si>
    <t>12254</t>
  </si>
  <si>
    <t>ВЖМП(зм4 сем.)</t>
  </si>
  <si>
    <t>ВЖ2МПзо(зм2 сем)</t>
  </si>
  <si>
    <t>ВЖМП(рм4 сем.)</t>
  </si>
  <si>
    <t>ВЖМПро2(рм2 сем)</t>
  </si>
  <si>
    <t>Извори и традиция(зм4 сем.)</t>
  </si>
  <si>
    <t>Извори и традиция(змнс)</t>
  </si>
  <si>
    <t>Извори 2 сем/задочно(зм2 сем)</t>
  </si>
  <si>
    <t>Извори и традиция/р/(рм2 сем)</t>
  </si>
  <si>
    <t>Литургия и музика(змс)</t>
  </si>
  <si>
    <t>Литургия и музика(зм2 сем)</t>
  </si>
  <si>
    <t>ЛМ/задочно/4сем/(зм4 сем.)</t>
  </si>
  <si>
    <t>ЛМ/задочно/4сем/(змнс)</t>
  </si>
  <si>
    <t>Рел. и образование(зм2 сем)</t>
  </si>
  <si>
    <t>Религия и образовани(зм4 сем.)</t>
  </si>
  <si>
    <t>Религията в Европа(зб)</t>
  </si>
  <si>
    <t>Религията в Европа(рб)</t>
  </si>
  <si>
    <t>САБМПзо2(зм2 сем)</t>
  </si>
  <si>
    <t>САБ(зм4 сем.)</t>
  </si>
  <si>
    <t>САБ(рм4 сем.)</t>
  </si>
  <si>
    <t>САБ(рм2 сем)</t>
  </si>
  <si>
    <t>Бс(зб)</t>
  </si>
  <si>
    <t>Теология 2013(зб)</t>
  </si>
  <si>
    <t>Теология(зб)</t>
  </si>
  <si>
    <t>Теология(рб)</t>
  </si>
  <si>
    <t>Бс(рб)</t>
  </si>
  <si>
    <t>Християнско покл-во(зм4 сем.)</t>
  </si>
  <si>
    <t>11479|2040001314-БсФ-мз</t>
  </si>
  <si>
    <t>2040001314-БсФ-мз</t>
  </si>
  <si>
    <t>11479</t>
  </si>
  <si>
    <t>Християнско поклонни(зм2 сем)</t>
  </si>
  <si>
    <t>Църква и медии(зм2 сем)</t>
  </si>
  <si>
    <t>Църква и медии(зм4 сем.)</t>
  </si>
  <si>
    <t>Църковен мениджмънт(зм2 сем)</t>
  </si>
  <si>
    <t>Църковен мениджмънт(зм4 сем.)</t>
  </si>
  <si>
    <t>Църковно изкуство (змс)</t>
  </si>
  <si>
    <t>Църковно изкуство (змнс)</t>
  </si>
  <si>
    <t>ЦСДсп(змс)</t>
  </si>
  <si>
    <t>Църковно социално де(змс)</t>
  </si>
  <si>
    <t>Църковно социално де(змнс)</t>
  </si>
  <si>
    <t>Църковно социално де(зм4 сем.)</t>
  </si>
  <si>
    <t>12322|30702233-ГГФ-мр</t>
  </si>
  <si>
    <t>12322</t>
  </si>
  <si>
    <t>12321|30702223-ГГФ-мз</t>
  </si>
  <si>
    <t>12321</t>
  </si>
  <si>
    <t>12408|3090001305-ГГФ-мз</t>
  </si>
  <si>
    <t>12408</t>
  </si>
  <si>
    <t>12402|3070023313-ГГФ-мр</t>
  </si>
  <si>
    <t>12402</t>
  </si>
  <si>
    <t>143690|10302693-ГГФ-мр</t>
  </si>
  <si>
    <t>143690</t>
  </si>
  <si>
    <t>11174|2020002359-ИФ-мр</t>
  </si>
  <si>
    <t>11174</t>
  </si>
  <si>
    <t>11097|2020002310-ИФ-мр</t>
  </si>
  <si>
    <t>11097</t>
  </si>
  <si>
    <t>11200|3010002307-ИФ-мр</t>
  </si>
  <si>
    <t>11200</t>
  </si>
  <si>
    <t>11203|3010002308-ИФ-мр</t>
  </si>
  <si>
    <t>11203</t>
  </si>
  <si>
    <t>11151|2020002348-ИФ-мр</t>
  </si>
  <si>
    <t>11151</t>
  </si>
  <si>
    <t>141836|20200943-ИФ-мр</t>
  </si>
  <si>
    <t>141836</t>
  </si>
  <si>
    <t>11172|2020002358-ИФ-мр</t>
  </si>
  <si>
    <t>11172</t>
  </si>
  <si>
    <t>11155|2020002349-ИФ-мр</t>
  </si>
  <si>
    <t>11155</t>
  </si>
  <si>
    <t>78546|3070007317-СтФ-мр</t>
  </si>
  <si>
    <t>78546</t>
  </si>
  <si>
    <t>12799|3070007318-СтФ-мр</t>
  </si>
  <si>
    <t>12799</t>
  </si>
  <si>
    <t>153585|30710833-СтФ-мз</t>
  </si>
  <si>
    <t>153585</t>
  </si>
  <si>
    <t>12796|3070007313-СтФ-мр</t>
  </si>
  <si>
    <t>12796</t>
  </si>
  <si>
    <t>12813|3070007328-СтФ-мр</t>
  </si>
  <si>
    <t>12813</t>
  </si>
  <si>
    <t>12793|3070007310-СтФ-мр</t>
  </si>
  <si>
    <t>12793</t>
  </si>
  <si>
    <t>12807|3070007324-СтФ-мр</t>
  </si>
  <si>
    <t>12807</t>
  </si>
  <si>
    <t>12814|3070007329-СтФ-мр</t>
  </si>
  <si>
    <t>12814</t>
  </si>
  <si>
    <t>12805|3070007323-СтФ-мр</t>
  </si>
  <si>
    <t>12805</t>
  </si>
  <si>
    <t>12754|30702213-СтФ-мр</t>
  </si>
  <si>
    <t>12754</t>
  </si>
  <si>
    <t>12809|3070007325-СтФ-мр</t>
  </si>
  <si>
    <t>12809</t>
  </si>
  <si>
    <t>12750|30702163-СтФ-мр</t>
  </si>
  <si>
    <t>12750</t>
  </si>
  <si>
    <t>12752|30702173-СтФ-мр</t>
  </si>
  <si>
    <t>12752</t>
  </si>
  <si>
    <t>154777|3070007335-СтФ-мз</t>
  </si>
  <si>
    <t>154777</t>
  </si>
  <si>
    <t>12902|3080393329-СтФ-мз</t>
  </si>
  <si>
    <t>12902</t>
  </si>
  <si>
    <t>12899|3080393327-СтФ-мр</t>
  </si>
  <si>
    <t>12899</t>
  </si>
  <si>
    <t>12845|3080008331-СтФ-мр</t>
  </si>
  <si>
    <t>12845</t>
  </si>
  <si>
    <t>286655|30807533-СтФ-мз</t>
  </si>
  <si>
    <t>286655</t>
  </si>
  <si>
    <t>288562|30807533-СтФ-мр</t>
  </si>
  <si>
    <t>288562</t>
  </si>
  <si>
    <t>12794|3070007311-СтФ-мр</t>
  </si>
  <si>
    <t>12794</t>
  </si>
  <si>
    <t>12897|3080393326-СтФ-мз</t>
  </si>
  <si>
    <t>12897</t>
  </si>
  <si>
    <t>12852|3080008338-СтФ-мр</t>
  </si>
  <si>
    <t>12852</t>
  </si>
  <si>
    <t>282737|30807503-СтФ-мз</t>
  </si>
  <si>
    <t>282737</t>
  </si>
  <si>
    <t>12855|3080008341-СтФ-мр</t>
  </si>
  <si>
    <t>12855</t>
  </si>
  <si>
    <t>12888|3080393322-СтФ-мр</t>
  </si>
  <si>
    <t>12888</t>
  </si>
  <si>
    <t>12869|3080393309-СтФ-мр</t>
  </si>
  <si>
    <t>12869</t>
  </si>
  <si>
    <t>287086|30711113-СтФ-мз</t>
  </si>
  <si>
    <t>287086</t>
  </si>
  <si>
    <t>288511|30711113-СтФ-мр</t>
  </si>
  <si>
    <t>288511</t>
  </si>
  <si>
    <t>12847|3080008333-СтФ-мр</t>
  </si>
  <si>
    <t>12847</t>
  </si>
  <si>
    <t>12876|3080393315-СтФ-мр</t>
  </si>
  <si>
    <t>12876</t>
  </si>
  <si>
    <t>12849|3080008335-СтФ-мр</t>
  </si>
  <si>
    <t>12849</t>
  </si>
  <si>
    <t>12880|3080393318-СтФ-мр</t>
  </si>
  <si>
    <t>12880</t>
  </si>
  <si>
    <t>12803|3070007322-СтФ-мр</t>
  </si>
  <si>
    <t>12803</t>
  </si>
  <si>
    <t>12791|3070007308-СтФ-мр</t>
  </si>
  <si>
    <t>12791</t>
  </si>
  <si>
    <t>142245|30807033-СтФ-мз</t>
  </si>
  <si>
    <t>142245</t>
  </si>
  <si>
    <t>12872|3080393311-СтФ-мр</t>
  </si>
  <si>
    <t>12872</t>
  </si>
  <si>
    <t>12871|3080393310-СтФ-мр</t>
  </si>
  <si>
    <t>12871</t>
  </si>
  <si>
    <t>12850|3080008336-СтФ-мр</t>
  </si>
  <si>
    <t>12850</t>
  </si>
  <si>
    <t>12840|3080008325-СтФ-мр</t>
  </si>
  <si>
    <t>12840</t>
  </si>
  <si>
    <t>12927|3050005303-ФЖМК-мз</t>
  </si>
  <si>
    <t>12927</t>
  </si>
  <si>
    <t>12939|3050006311-ФЖМК-мз</t>
  </si>
  <si>
    <t>12939</t>
  </si>
  <si>
    <t>12946|3050006318-ФЖМК-мз</t>
  </si>
  <si>
    <t>12946</t>
  </si>
  <si>
    <t>12945|3050006317-ФЖМК-мз</t>
  </si>
  <si>
    <t>12945</t>
  </si>
  <si>
    <t>11607|2010001314-ФКНФ-мр</t>
  </si>
  <si>
    <t>11607</t>
  </si>
  <si>
    <t>11613|2010001316-ФКНФ-мз</t>
  </si>
  <si>
    <t>11613</t>
  </si>
  <si>
    <t>11611|2010001316-ФКНФ-мр</t>
  </si>
  <si>
    <t>11611</t>
  </si>
  <si>
    <t>11597|2010001304-ФКНФ-мр</t>
  </si>
  <si>
    <t>11597</t>
  </si>
  <si>
    <t>11618|2010013302-ФКНФ-мр</t>
  </si>
  <si>
    <t>11618</t>
  </si>
  <si>
    <t>11615|2010004307-ФКНФ-мр</t>
  </si>
  <si>
    <t>11615</t>
  </si>
  <si>
    <t>11619|2010013303-ФКНФ-мр</t>
  </si>
  <si>
    <t>11619</t>
  </si>
  <si>
    <t>11600|2010001309-ФКНФ-мр</t>
  </si>
  <si>
    <t>11600</t>
  </si>
  <si>
    <t>11609|2010001315-ФКНФ-мр</t>
  </si>
  <si>
    <t>11609</t>
  </si>
  <si>
    <t>11622|2010013308-ФКНФ-мр</t>
  </si>
  <si>
    <t>11622</t>
  </si>
  <si>
    <t>АД(рб)</t>
  </si>
  <si>
    <t>Анализ на данни</t>
  </si>
  <si>
    <t>11732|40500253-ФМИ-мз</t>
  </si>
  <si>
    <t>11732</t>
  </si>
  <si>
    <t>11794|4050001310-ФМИ-мр</t>
  </si>
  <si>
    <t>11794</t>
  </si>
  <si>
    <t>11863|4060003333-ФМИ-мр</t>
  </si>
  <si>
    <t>11863</t>
  </si>
  <si>
    <t>11781|4050001302-ФМИ-мр</t>
  </si>
  <si>
    <t>11781</t>
  </si>
  <si>
    <t>11824|4060003310-ФМИ-мр</t>
  </si>
  <si>
    <t>11824</t>
  </si>
  <si>
    <t>11793|4050001309-ФМИ-мр</t>
  </si>
  <si>
    <t>11793</t>
  </si>
  <si>
    <t>11797|4050003303-ФМИ-мр</t>
  </si>
  <si>
    <t>11797</t>
  </si>
  <si>
    <t>11861|4060003332-ФМИ-мр</t>
  </si>
  <si>
    <t>11861</t>
  </si>
  <si>
    <t>12665|1020002303-ФНОИ-мз</t>
  </si>
  <si>
    <t>12665</t>
  </si>
  <si>
    <t>12664|1020002303-ФНОИ-мр</t>
  </si>
  <si>
    <t>12664</t>
  </si>
  <si>
    <t>12612|10201662-ФНОИ-бз</t>
  </si>
  <si>
    <t>12612</t>
  </si>
  <si>
    <t>187549|10100093-ФП-мр</t>
  </si>
  <si>
    <t>187549</t>
  </si>
  <si>
    <t>11412|2010003323-ФСлФ-мр</t>
  </si>
  <si>
    <t>11412</t>
  </si>
  <si>
    <t>147688|20103623-ФСлФ-мр</t>
  </si>
  <si>
    <t>147688</t>
  </si>
  <si>
    <t>11407|2010003320-ФСлФ-мр</t>
  </si>
  <si>
    <t>11407</t>
  </si>
  <si>
    <t>11435|2010003333-ФСлФ-мр</t>
  </si>
  <si>
    <t>11435</t>
  </si>
  <si>
    <t>11437|2010003334-ФСлФ-мр</t>
  </si>
  <si>
    <t>11437</t>
  </si>
  <si>
    <t>10976|3030003306-ФФ-мр</t>
  </si>
  <si>
    <t>10976</t>
  </si>
  <si>
    <t>10982|3030003310-ФФ-мр</t>
  </si>
  <si>
    <t>10982</t>
  </si>
  <si>
    <t>12055|10301682-ФХФ-бр</t>
  </si>
  <si>
    <t>12055</t>
  </si>
  <si>
    <t>12033|5030000302-ФзФ-мр</t>
  </si>
  <si>
    <t>12033</t>
  </si>
  <si>
    <t>12031|5030000301-ФзФ-мз</t>
  </si>
  <si>
    <t>12031</t>
  </si>
  <si>
    <t>------------</t>
  </si>
  <si>
    <t>k</t>
  </si>
  <si>
    <t>Col_Show_2_ОКС_Бакалавър_НАЦИД</t>
  </si>
  <si>
    <t>Col_Show_3_ОКС_Магистър_НАЦИД</t>
  </si>
  <si>
    <t>кодНАЦИД-МОН</t>
  </si>
  <si>
    <t>Щатен</t>
  </si>
  <si>
    <t>Show НАЦИД sheet</t>
  </si>
  <si>
    <r>
      <rPr>
        <b/>
        <sz val="8"/>
        <color theme="1"/>
        <rFont val="Arial Narrow"/>
        <family val="2"/>
        <charset val="204"/>
      </rPr>
      <t>1.1.</t>
    </r>
    <r>
      <rPr>
        <sz val="8"/>
        <color theme="1"/>
        <rFont val="Arial Narrow"/>
        <family val="2"/>
        <charset val="204"/>
      </rPr>
      <t xml:space="preserve"> За провеждане на обучението на чуждестранни студенти през подготвителната година и курсове по чужди езици обучаемите се разпределят в групи.</t>
    </r>
  </si>
  <si>
    <t>Коеф. на редукция</t>
  </si>
  <si>
    <t>3. Заетостта на щатните преподаватели при обучение на чужденци, които не са студенти, се отчита със следните коефициенти:</t>
  </si>
  <si>
    <t>деоОЗ</t>
  </si>
  <si>
    <t>деоАЗ</t>
  </si>
  <si>
    <r>
      <rPr>
        <b/>
        <sz val="10"/>
        <rFont val="Arial Narrow"/>
        <family val="2"/>
        <charset val="204"/>
      </rPr>
      <t>13</t>
    </r>
    <r>
      <rPr>
        <sz val="10"/>
        <rFont val="Arial Narrow"/>
        <family val="2"/>
        <charset val="204"/>
      </rPr>
      <t>. Учебна практика (по учебен план) – до 30 ч. упр.</t>
    </r>
  </si>
  <si>
    <r>
      <rPr>
        <b/>
        <sz val="10"/>
        <rFont val="Arial Narrow"/>
        <family val="2"/>
        <charset val="204"/>
      </rPr>
      <t>15</t>
    </r>
    <r>
      <rPr>
        <sz val="10"/>
        <rFont val="Arial Narrow"/>
        <family val="2"/>
        <charset val="204"/>
      </rPr>
      <t>. Подготовка на електронни учебни ресурси – до 50 ч. упр.</t>
    </r>
  </si>
  <si>
    <t>диууАЗ</t>
  </si>
  <si>
    <t>диууОЗ</t>
  </si>
  <si>
    <t>Value</t>
  </si>
  <si>
    <t>TeacherLotNumber:</t>
  </si>
  <si>
    <t>М(рмнс)</t>
  </si>
  <si>
    <t>АПК летен прием(рм2 семл)</t>
  </si>
  <si>
    <t>АПК летен неик.(рмнсл)</t>
  </si>
  <si>
    <t>УИС АЕ летен (3 сем)(рм3 сем.л ч.ез.)</t>
  </si>
  <si>
    <t>Управленски информационни системи (3 сем./чужд език)</t>
  </si>
  <si>
    <t>Индийско и иранско културознание и обществознание (Ин.-3 сем.)</t>
  </si>
  <si>
    <t>ИИКОир(рм3 сем.)</t>
  </si>
  <si>
    <t>Индийско и иранско културознание и обществознание (Ин.-5 сем.)</t>
  </si>
  <si>
    <t>Индийско и иранско културознание и обществознание (Ир.-3 сем.)</t>
  </si>
  <si>
    <t>Индийско и иранско културознание и обществознание (Ир.-5 сем.)</t>
  </si>
  <si>
    <t>Приложна лингвистика (2 сем.)</t>
  </si>
  <si>
    <t>ПрЛинг(порт.)(рмнсл)</t>
  </si>
  <si>
    <t>ПЗЗзо(зм3 сем.)</t>
  </si>
  <si>
    <t>СРРзо(зм2 сем)</t>
  </si>
  <si>
    <t>СПзо(зм4 сем.)</t>
  </si>
  <si>
    <t>ФПАбак3 л.(зм4 сем.л ч.ез.)</t>
  </si>
  <si>
    <t>ФПАбак3 л.(рм4 сем.л ч.ез.)</t>
  </si>
  <si>
    <t>оФорма</t>
  </si>
  <si>
    <t>12213|40300692-БФ-брс|АБТХ(рб)</t>
  </si>
  <si>
    <t>40300692-БФ-брс</t>
  </si>
  <si>
    <t>11004|3070006305-ФФ-мзв|АП(зм)</t>
  </si>
  <si>
    <t>3070006305-ФФ-мзв</t>
  </si>
  <si>
    <t>11004|3070006305-ФФ-мзв|АП(змл)</t>
  </si>
  <si>
    <t>12784|3070007301-СтФ-мрв|АУ(рм)</t>
  </si>
  <si>
    <t>3070007301-СтФ-мрв</t>
  </si>
  <si>
    <t>11971|4010002310-ФзФ-мрв|AEC(рм3 сем. ч.ез.)</t>
  </si>
  <si>
    <t>AEC(рм3 сем. ч.ез.)</t>
  </si>
  <si>
    <t>4010002310-ФзФ-мрв</t>
  </si>
  <si>
    <t>12034|5030000303-ФзФ-мрв|АКИК(рм3 сем.)</t>
  </si>
  <si>
    <t>5030000303-ФзФ-мрв</t>
  </si>
  <si>
    <t>12829|3080008313-СтФ-мрв|АУР(рм3 сем.)</t>
  </si>
  <si>
    <t>АУР(рм3 сем.)</t>
  </si>
  <si>
    <t>3080008313-СтФ-мрв</t>
  </si>
  <si>
    <t>12830|3080008314-СтФ-мрв|АУР(рм5 сем.)</t>
  </si>
  <si>
    <t>АУР(рм5 сем.)</t>
  </si>
  <si>
    <t>3080008314-СтФ-мрв</t>
  </si>
  <si>
    <t>11791|4050001308-ФМИ-мрв|АГТ(рм)</t>
  </si>
  <si>
    <t>4050001308-ФМИ-мрв</t>
  </si>
  <si>
    <t>12230|4030001301-БФ-мрв|АиМ(рм)</t>
  </si>
  <si>
    <t>4030001301-БФ-мрв</t>
  </si>
  <si>
    <t>11087|2020002301-ИФ-мрв|АТО(рмс)</t>
  </si>
  <si>
    <t>2020002301-ИФ-мрв</t>
  </si>
  <si>
    <t>11088|2020002302-ИФ-мрв|АТО(рмнс)</t>
  </si>
  <si>
    <t>АТО(рмнс)</t>
  </si>
  <si>
    <t>2020002302-ИФ-мрв</t>
  </si>
  <si>
    <t>40500472-ФМИ-брс</t>
  </si>
  <si>
    <t>11506|20100012-ФКНФ-брс|АнгФ(рб)</t>
  </si>
  <si>
    <t>20100012-ФКНФ-брс</t>
  </si>
  <si>
    <t>11605|2010001313-ФКНФ-мрв|АЕМО(рм)</t>
  </si>
  <si>
    <t>АЕМО(рм)</t>
  </si>
  <si>
    <t>2010001313-ФКНФ-мрв</t>
  </si>
  <si>
    <t>11125|2020002335-ИФ-мрв|АИТ(рмс)</t>
  </si>
  <si>
    <t>АИТ(рмс)</t>
  </si>
  <si>
    <t>2020002335-ИФ-мрв</t>
  </si>
  <si>
    <t>11127|2020002336-ИФ-мрв|АИТ(рмнс)</t>
  </si>
  <si>
    <t>2020002336-ИФ-мрв</t>
  </si>
  <si>
    <t>11657|2010025302-ФКНФ-мрв|АЛК(рмнс)</t>
  </si>
  <si>
    <t>2010025302-ФКНФ-мрв</t>
  </si>
  <si>
    <t>11657|2010025302-ФКНФ-мрв|АнтКуЛит(рмнс)</t>
  </si>
  <si>
    <t>11655|2010025301-ФКНФ-мрв|АнтКуЛит(рм)</t>
  </si>
  <si>
    <t>2010025301-ФКНФ-мрв</t>
  </si>
  <si>
    <t>11655|2010025301-ФКНФ-мрв|АнтКуЛит(рмс)</t>
  </si>
  <si>
    <t>11655|2010025301-ФКНФ-мрв|КлФ(рм)</t>
  </si>
  <si>
    <t>11055|20200743-ИФ-мрв|АиС(рмнс)</t>
  </si>
  <si>
    <t>20200743-ИФ-мрв</t>
  </si>
  <si>
    <t>11169|2020002356-ИФ-мрв|АиС(рмнсл)</t>
  </si>
  <si>
    <t>2020002356-ИФ-мрв</t>
  </si>
  <si>
    <t>11053|20200733-ИФ-мрв|АиС(рмс)</t>
  </si>
  <si>
    <t>20200733-ИФ-мрв</t>
  </si>
  <si>
    <t>11175|2020002360-ИФ-мрв|АиС(рмсл)</t>
  </si>
  <si>
    <t>2020002360-ИФ-мрв</t>
  </si>
  <si>
    <t>11650|2010023301-ФКНФ-мрв|АИСБИБ(рм)</t>
  </si>
  <si>
    <t>2010023301-ФКНФ-мрв</t>
  </si>
  <si>
    <t>11512|20100182-ФКНФ-брс|Арб(рб)</t>
  </si>
  <si>
    <t>20100182-ФКНФ-брс</t>
  </si>
  <si>
    <t>11625|2010018302-ФКНФ-мрв|АОК(рм)</t>
  </si>
  <si>
    <t>АОК(рм)</t>
  </si>
  <si>
    <t>2010018302-ФКНФ-мрв</t>
  </si>
  <si>
    <t>11542|20101132-ФКНФ-брс|АрмКав(рб)</t>
  </si>
  <si>
    <t>20101132-ФКНФ-брс</t>
  </si>
  <si>
    <t>11023|20200012-ИФ-брс|Арх(рб)</t>
  </si>
  <si>
    <t>20200012-ИФ-брс</t>
  </si>
  <si>
    <t>11025|20200013-ИФ-мрв|Арх(рм4 сем.)</t>
  </si>
  <si>
    <t>20200013-ИФ-мрв</t>
  </si>
  <si>
    <t>11025|20200013-ИФ-мрв|Арх4(рм4 сем.)</t>
  </si>
  <si>
    <t>11080|2020001301-ИФ-мрв|А(рмнс)</t>
  </si>
  <si>
    <t>2020001301-ИФ-мрв</t>
  </si>
  <si>
    <t>11082|2020001302-ИФ-мрв|А(рмс)</t>
  </si>
  <si>
    <t>2020001302-ИФ-мрв</t>
  </si>
  <si>
    <t>11084|2020001303-ИФ-мрв|Ам(рм)</t>
  </si>
  <si>
    <t>2020001303-ИФ-мрв</t>
  </si>
  <si>
    <t>12099|4020004301-ФХФ-мрв|А(рм)</t>
  </si>
  <si>
    <t>4020004301-ФХФ-мрв</t>
  </si>
  <si>
    <t>11086|2020001304-ИФ-мрв|Aрхеометрия(рмсл)</t>
  </si>
  <si>
    <t>2020001304-ИФ-мрв</t>
  </si>
  <si>
    <t>11034|20200212-ИФ-брс|АиДок(рб)</t>
  </si>
  <si>
    <t>20200212-ИФ-брс</t>
  </si>
  <si>
    <t>11036|20200212-ИФ-бзс|АиД(зб)</t>
  </si>
  <si>
    <t>20200212-ИФ-бзс</t>
  </si>
  <si>
    <t>12011|4010011304-ФзФ-мрв|АА(рм)</t>
  </si>
  <si>
    <t>АА(рм)</t>
  </si>
  <si>
    <t>4010011304-ФзФ-мрв</t>
  </si>
  <si>
    <t>12011|4010011304-ФзФ-мрв|АА(рм2 сем)</t>
  </si>
  <si>
    <t>АА(рм2 сем)</t>
  </si>
  <si>
    <t>12011|4010011304-ФзФ-мрв|ААФ(рм2 сем)</t>
  </si>
  <si>
    <t>ААФ(рм2 сем)</t>
  </si>
  <si>
    <t>12013|4010011306-ФзФ-мрв|АА(рм3 сем.)</t>
  </si>
  <si>
    <t>4010011306-ФзФ-мрв</t>
  </si>
  <si>
    <t>12018|4010011310-ФзФ-мзв|АПА(зм4 сем.)</t>
  </si>
  <si>
    <t>4010011310-ФзФ-мзв</t>
  </si>
  <si>
    <t>11893|40100112-ФзФ-брс|АМГ(рб)</t>
  </si>
  <si>
    <t>40100112-ФзФ-брс</t>
  </si>
  <si>
    <t>11895|40100112-ФзФ-бзс|АМГ(зб)</t>
  </si>
  <si>
    <t>40100112-ФзФ-бзс</t>
  </si>
  <si>
    <t>67129|8030118302-ФНОИ-мрв|АВД(рм2 сем)</t>
  </si>
  <si>
    <t>8030118302-ФНОИ-мрв</t>
  </si>
  <si>
    <t>67129|8030118302-ФНОИ-мрв|АД/челп/(рмл ч.ез.)</t>
  </si>
  <si>
    <t>Аудиопродукция и мастеринг</t>
  </si>
  <si>
    <t>586099|80301663-ФНОИ-мрв|АПМ(рм3 сем.)</t>
  </si>
  <si>
    <t>АПМ(рм3 сем.)</t>
  </si>
  <si>
    <t>80301663-ФНОИ-мрв</t>
  </si>
  <si>
    <t>12903|3080393330-СтФ-мрв|АПК летен неик.(рмнсл)</t>
  </si>
  <si>
    <t>3080393330-СтФ-мрв</t>
  </si>
  <si>
    <t>12903|3080393330-СтФ-мрв|АПК летен прием(рм2 семл)</t>
  </si>
  <si>
    <t>12903|3080393330-СтФ-мрв|Аутсорсинг ПК неик.(рмнс)</t>
  </si>
  <si>
    <t>12903|3080393330-СтФ-мрв|Аутсорсинг проекти и(рм2 сем)</t>
  </si>
  <si>
    <t>11581|20103422-ФКНФ-брс|Афр(рб ч.ез.)</t>
  </si>
  <si>
    <t>20103422-ФКНФ-брс</t>
  </si>
  <si>
    <t>11322|20100023-ФСлФ-мрс|Б(рм)</t>
  </si>
  <si>
    <t>20100023-ФСлФ-мрс</t>
  </si>
  <si>
    <t>11144|2020002344-ИФ-мрв|Балканите и Русия(рмс)</t>
  </si>
  <si>
    <t>2020002344-ИФ-мрв</t>
  </si>
  <si>
    <t>11145|2020002345-ИФ-мрв|Балканите и Русия (рмнс)</t>
  </si>
  <si>
    <t>2020002345-ИФ-мрв</t>
  </si>
  <si>
    <t>11108|2020002322-ИФ-мрв|БМ2ЦХИ(рмнс)</t>
  </si>
  <si>
    <t>БМ2ЦХИ(рмнс)</t>
  </si>
  <si>
    <t>2020002322-ИФ-мрв</t>
  </si>
  <si>
    <t>11108|2020002322-ИФ-мрв|ХриИсл(рмнс)</t>
  </si>
  <si>
    <t>ХриИсл(рмнс)</t>
  </si>
  <si>
    <t>11090|2020002304-ИФ-мзв|БМ2ЦХИ(змнс)</t>
  </si>
  <si>
    <t>БМ2ЦХИ(змнс)</t>
  </si>
  <si>
    <t>2020002304-ИФ-мзв</t>
  </si>
  <si>
    <t>11961|4010002302-ФзФ-мрв|WND_en_(рм3 сем. ч.ез.)</t>
  </si>
  <si>
    <t>WND_en_(рм3 сем. ч.ез.)</t>
  </si>
  <si>
    <t>4010002302-ФзФ-мрв</t>
  </si>
  <si>
    <t>11961|4010002302-ФзФ-мрв|WND_en_(рм3 сем.)</t>
  </si>
  <si>
    <t>WND_en_(рм3 сем.)</t>
  </si>
  <si>
    <t>11963|4010002302-ФзФ-мрв|БМУ(рм4 сем.)</t>
  </si>
  <si>
    <t>БМУ(рм4 сем.)</t>
  </si>
  <si>
    <t>11964|4010002302-ФзФ-мзв|БМУ зм4л(зм4 сем.л)</t>
  </si>
  <si>
    <t>БМУ зм4л(зм4 сем.л)</t>
  </si>
  <si>
    <t>4010002302-ФзФ-мзв</t>
  </si>
  <si>
    <t>11964|4010002302-ФзФ-мзв|БМУ зм4л(змсл)</t>
  </si>
  <si>
    <t>БМУ зм4л(змсл)</t>
  </si>
  <si>
    <t>11964|4010002302-ФзФ-мзв|БМУ(зм)</t>
  </si>
  <si>
    <t>БМУ(зм)</t>
  </si>
  <si>
    <t>11964|4010002302-ФзФ-мзв|БМУ(зм4 сем.)</t>
  </si>
  <si>
    <t>БМУ(зм4 сем.)</t>
  </si>
  <si>
    <t>11964|4010002302-ФзФ-мзв|БМУ(пб)(зм4 сем.)</t>
  </si>
  <si>
    <t>БМУ(пб)(зм4 сем.)</t>
  </si>
  <si>
    <t>11964|4010002302-ФзФ-мзв|БМУЛПЗ4(змл)</t>
  </si>
  <si>
    <t>БМУЛПЗ4(змл)</t>
  </si>
  <si>
    <t>12033|5030000302-ФзФ-мрв|БМУ - р(рм3 сем.)</t>
  </si>
  <si>
    <t>5030000302-ФзФ-мрв</t>
  </si>
  <si>
    <t>12041|5030000306-ФзФ-мзв|БМУ(зм4 сем.л)</t>
  </si>
  <si>
    <t>5030000306-ФзФ-мзв</t>
  </si>
  <si>
    <t>12031|5030000301-ФзФ-мзв|БМУ - прб-з(зм4 сем.)</t>
  </si>
  <si>
    <t>5030000301-ФзФ-мзв</t>
  </si>
  <si>
    <t>12042|5030104301-ФзФ-мрв|БМУ(рм4 сем.)</t>
  </si>
  <si>
    <t>5030104301-ФзФ-мрв</t>
  </si>
  <si>
    <t>12043|5030104301-ФзФ-мзв|БМУ(зм4 сем.)</t>
  </si>
  <si>
    <t>5030104301-ФзФ-мзв</t>
  </si>
  <si>
    <t>10988|3050015301-ФФ-мзв|БИН(зм)</t>
  </si>
  <si>
    <t>БИН(зм)</t>
  </si>
  <si>
    <t>3050015301-ФФ-мзв</t>
  </si>
  <si>
    <t>10988|3050015301-ФФ-мзв|БИНКП(змл)</t>
  </si>
  <si>
    <t>БИНКП(змл)</t>
  </si>
  <si>
    <t>10988|3050015301-ФФ-мзв|БИНКП(змнсл)</t>
  </si>
  <si>
    <t>БИНКП(змнсл)</t>
  </si>
  <si>
    <t>10849|30500042-ФФ-брс|БИН(рб)</t>
  </si>
  <si>
    <t>30500042-ФФ-брс</t>
  </si>
  <si>
    <t>10850|30500042-ФФ-бзс|БИН(зб)</t>
  </si>
  <si>
    <t>30500042-ФФ-бзс</t>
  </si>
  <si>
    <t>10989|3050015302-ФФ-мзв|БИНКП(зм)</t>
  </si>
  <si>
    <t>3050015302-ФФ-мзв</t>
  </si>
  <si>
    <t>10989|3050015302-ФФ-мзв|БИНКП(змнс)</t>
  </si>
  <si>
    <t>10989|3050015302-ФФ-мзв|БИНКП(змс)</t>
  </si>
  <si>
    <t>10997|3050015310-ФФ-мзв|БИНКП2л(зм2 семл)</t>
  </si>
  <si>
    <t>3050015310-ФФ-мзв</t>
  </si>
  <si>
    <t>10992|3050015305-ФФ-мзв|БИНКП(змсл)</t>
  </si>
  <si>
    <t>3050015305-ФФ-мзв</t>
  </si>
  <si>
    <t>10992|3050015305-ФФ-мзв|БИНКП2(зм2 сем)</t>
  </si>
  <si>
    <t>10994|3050015307-ФФ-мзв|БИТ(зм)</t>
  </si>
  <si>
    <t>3050015307-ФФ-мзв</t>
  </si>
  <si>
    <t>10994|3050015307-ФФ-мзв|БИТ(змл)</t>
  </si>
  <si>
    <t>10993|3050015306-ФФ-мрв|БИНКПр(рм)</t>
  </si>
  <si>
    <t>3050015306-ФФ-мрв</t>
  </si>
  <si>
    <t>10993|3050015306-ФФ-мрв|БИНКПр(рмл)</t>
  </si>
  <si>
    <t>12822|3070007336-СтФ-мрв|БА (2 сем.) летен (рм2 семл)</t>
  </si>
  <si>
    <t>3070007336-СтФ-мрв</t>
  </si>
  <si>
    <t>12822|3070007336-СтФ-мрв|БА (2 сем.)(рм2 сем)</t>
  </si>
  <si>
    <t>12822|3070007336-СтФ-мрв|БА(рм2 сем)</t>
  </si>
  <si>
    <t>12822|3070007336-СтФ-мрв|БА(рм2 семл)</t>
  </si>
  <si>
    <t>12800|3070007319-СтФ-мрв|БА англ.език(рм3 сем.)</t>
  </si>
  <si>
    <t>БА англ.език(рм3 сем.)</t>
  </si>
  <si>
    <t>3070007319-СтФ-мрв</t>
  </si>
  <si>
    <t>12801|3070007320-СтФ-мрв|БА (англ.език)(рм5 сем.)</t>
  </si>
  <si>
    <t>БА (англ.език)(рм5 сем.)</t>
  </si>
  <si>
    <t>3070007320-СтФ-мрв</t>
  </si>
  <si>
    <t>78546|3070007317-СтФ-мрв|БА-ИУЗ(рм3 сем.)</t>
  </si>
  <si>
    <t>3070007317-СтФ-мрв</t>
  </si>
  <si>
    <t>12799|3070007318-СтФ-мрв|БА - ИУЗ 5(рм5 сем.)</t>
  </si>
  <si>
    <t>3070007318-СтФ-мрв</t>
  </si>
  <si>
    <t>153585|30710833-СтФ-мзв|БА-УП ЗО зимен(зм2 сем)</t>
  </si>
  <si>
    <t>30710833-СтФ-мзв</t>
  </si>
  <si>
    <t>153585|30710833-СтФ-мзв|БА-УП ЗО летен(зм2 семл)</t>
  </si>
  <si>
    <t>153585|30710833-СтФ-мзв|БА-УП ЗО-Н зимен(змнс)</t>
  </si>
  <si>
    <t>153585|30710833-СтФ-мзв|БА-УП ЗО-Н летен(змнсл)</t>
  </si>
  <si>
    <t>153585|30710833-СтФ-мзв|БА-УП(зм2 сем)</t>
  </si>
  <si>
    <t>12795|3070007312-СтФ-мрв|БАСУ(рм3 сем.)</t>
  </si>
  <si>
    <t>3070007312-СтФ-мрв</t>
  </si>
  <si>
    <t>12796|3070007313-СтФ-мрв|БА-СУ-ПБ(рм5 сем.)</t>
  </si>
  <si>
    <t>3070007313-СтФ-мрв</t>
  </si>
  <si>
    <t>12796|3070007313-СтФ-мрв|БАСУ(рм5 сем.)</t>
  </si>
  <si>
    <t>12813|3070007328-СтФ-мрв|БА-СУ(рм4 сем.)</t>
  </si>
  <si>
    <t>3070007328-СтФ-мрв</t>
  </si>
  <si>
    <t>12792|3070007309-СтФ-мрв|БАРЧР(рм3 сем.)</t>
  </si>
  <si>
    <t>3070007309-СтФ-мрв</t>
  </si>
  <si>
    <t>12792|3070007309-СтФ-мрв|БАУЧР(рм3 сем.)</t>
  </si>
  <si>
    <t>12793|3070007310-СтФ-мрв|БА-РЧР-ПБ(рм5 сем.)</t>
  </si>
  <si>
    <t>3070007310-СтФ-мрв</t>
  </si>
  <si>
    <t>12793|3070007310-СтФ-мрв|БАРЧР(рм5 сем.)</t>
  </si>
  <si>
    <t>12793|3070007310-СтФ-мрв|БАУЧР(рм5 сем.)</t>
  </si>
  <si>
    <t>12754|30702213-СтФ-мрв|БА-РЧР (на англ.ез.)(рм4 сем. ч.ез.)</t>
  </si>
  <si>
    <t>30702213-СтФ-мрв</t>
  </si>
  <si>
    <t>12754|30702213-СтФ-мрв|БА-РЧР (на англ.ез.)(рм4 сем.)</t>
  </si>
  <si>
    <t>12754|30702213-СтФ-мрв|БА-РЧР-АЕ (4 сем.)(рм4 сем. ч.ез.)</t>
  </si>
  <si>
    <t>12754|30702213-СтФ-мрв|БА-РЧР-АЕ-4Л (4 сем)(рм4 сем.л ч.ез.)</t>
  </si>
  <si>
    <t>12809|3070007325-СтФ-мрв|БА-СУ (2 сем.)(рм2 сем)</t>
  </si>
  <si>
    <t>3070007325-СтФ-мрв</t>
  </si>
  <si>
    <t>12809|3070007325-СтФ-мрв|БА-СУ(рм2 сем)</t>
  </si>
  <si>
    <t>12809|3070007325-СтФ-мрв|БА-СУ-Н(рмнс)</t>
  </si>
  <si>
    <t>12750|30702163-СтФ-мрв|БА-СУ (на англ.ез.)(рм2 сем ч.ез.)</t>
  </si>
  <si>
    <t>30702163-СтФ-мрв</t>
  </si>
  <si>
    <t>12750|30702163-СтФ-мрв|БА-СУ (на англ.ез.)(рм2 сем)</t>
  </si>
  <si>
    <t>12750|30702163-СтФ-мрв|БА-СУ-А-Л(рм2 семл ч.ез.)</t>
  </si>
  <si>
    <t>12750|30702163-СтФ-мрв|БА-СУ-АЕ (2 сем.)(рм2 сем ч.ез.)</t>
  </si>
  <si>
    <t>12750|30702163-СтФ-мрв|БА-СУ-АЕ-Л (2 сем.)(рм2 семл ч.ез.)</t>
  </si>
  <si>
    <t>12752|30702173-СтФ-мрв|БА-СУ (на англ.ез.)(рм4 сем. ч.ез.)</t>
  </si>
  <si>
    <t>30702173-СтФ-мрв</t>
  </si>
  <si>
    <t>12752|30702173-СтФ-мрв|БА-СУ (на англ.ез.)(рм4 сем.)</t>
  </si>
  <si>
    <t>12752|30702173-СтФ-мрв|БА-СУ-АЕ (4 сем.)(рм4 сем. ч.ез.)</t>
  </si>
  <si>
    <t>12752|30702173-СтФ-мрв|БА-СУ-АЕ-Л (4 сем.)(рм4 сем.л ч.ез.)</t>
  </si>
  <si>
    <t>Бизнес икономика (2 сем.)</t>
  </si>
  <si>
    <t>606666|30800913-СтФ-мрв|БИ - неикономисти(рмнс)</t>
  </si>
  <si>
    <t>БИ - неикономисти(рмнс)</t>
  </si>
  <si>
    <t>30800913-СтФ-мрв</t>
  </si>
  <si>
    <t>606666|30800913-СтФ-мрв|Бизнес икономика(рм2 сем)</t>
  </si>
  <si>
    <t>Бизнес икономика(рм2 сем)</t>
  </si>
  <si>
    <t>11812|4060003301-ФМИ-мрв|БМИ(м)</t>
  </si>
  <si>
    <t>4060003301-ФМИ-мрв</t>
  </si>
  <si>
    <t>11812|4060003301-ФМИ-мрв|БМИ(рм)</t>
  </si>
  <si>
    <t>11812|4060003301-ФМИ-мрв|БМИ(рмс)</t>
  </si>
  <si>
    <t>11836|4060003316-ФМИ-мрв|БМИ(рмнс)</t>
  </si>
  <si>
    <t>4060003316-ФМИ-мрв</t>
  </si>
  <si>
    <t>12251|4030001312-БФ-мрв|ББ(рм)</t>
  </si>
  <si>
    <t>4030001312-БФ-мрв</t>
  </si>
  <si>
    <t>12257|4030001316-БФ-мрв|ББП(рм)</t>
  </si>
  <si>
    <t>4030001316-БФ-мрв</t>
  </si>
  <si>
    <t>12296|4030069302-БФ-мрв|БЗБ(рм)</t>
  </si>
  <si>
    <t>4030069302-БФ-мрв</t>
  </si>
  <si>
    <t>12161|40300012-БФ-брс|Б(рб)</t>
  </si>
  <si>
    <t>40300012-БФ-брс</t>
  </si>
  <si>
    <t>12163|40300012-БФ-бзс|Б(зб)</t>
  </si>
  <si>
    <t>40300012-БФ-бзс</t>
  </si>
  <si>
    <t>12154|10300742-БФ-брс|БАЕ(рб)</t>
  </si>
  <si>
    <t>10300742-БФ-брс</t>
  </si>
  <si>
    <t>12146|10300032-БФ-брс|БиХ(рб)</t>
  </si>
  <si>
    <t>10300032-БФ-брс</t>
  </si>
  <si>
    <t>12232|4030001302-БФ-мрв|БР(рм)</t>
  </si>
  <si>
    <t>4030001302-БФ-мрв</t>
  </si>
  <si>
    <t>12178|40300152-БФ-брс|БУР(рб)</t>
  </si>
  <si>
    <t>40300152-БФ-брс</t>
  </si>
  <si>
    <t>12215|51100012-БФ-брс|БТ(рб)</t>
  </si>
  <si>
    <t>51100012-БФ-брс</t>
  </si>
  <si>
    <t>12218|51100012-БФ-бзс|БТ(зб)</t>
  </si>
  <si>
    <t>51100012-БФ-бзс</t>
  </si>
  <si>
    <t>12269|4030003301-БФ-мрв|БФ(рм)</t>
  </si>
  <si>
    <t>4030003301-БФ-мрв</t>
  </si>
  <si>
    <t>12271|4030003302-БФ-мрв|БХ(рм)</t>
  </si>
  <si>
    <t>4030003302-БФ-мрв</t>
  </si>
  <si>
    <t>12284|4030003309-БФ-мрв|БХн.сп.(рмнсл)</t>
  </si>
  <si>
    <t>4030003309-БФ-мрв</t>
  </si>
  <si>
    <t>12206|40300643-БФ-мрв|БХАЕ(рм ч.ез.)</t>
  </si>
  <si>
    <t>40300643-БФ-мрв</t>
  </si>
  <si>
    <t>12206|40300643-БФ-мрв|БХАЕ(рмс)</t>
  </si>
  <si>
    <t>Близкоизточни изследвания с арабски език (за завършили Арабистика)</t>
  </si>
  <si>
    <t>579361|20103913-ФКНФ-мрв|БИ_спец(рм2 сем)</t>
  </si>
  <si>
    <t>БИ_спец(рм2 сем)</t>
  </si>
  <si>
    <t>20103913-ФКНФ-мрв</t>
  </si>
  <si>
    <t>Близкоизточни изследвания с арабски език (за завършили други специалности)</t>
  </si>
  <si>
    <t>579362|20103923-ФКНФ-мрв|БИ_неспец(рм3 сем.)</t>
  </si>
  <si>
    <t>БИ_неспец(рм3 сем.)</t>
  </si>
  <si>
    <t>20103923-ФКНФ-мрв</t>
  </si>
  <si>
    <t>11632|2010018310-ФКНФ-мрв|БИ: ОКАС(рмнс)</t>
  </si>
  <si>
    <t>2010018310-ФКНФ-мрв</t>
  </si>
  <si>
    <t>11630|2010018309-ФКНФ-мрв|БИ: ОКАС(рмс)</t>
  </si>
  <si>
    <t>2010018309-ФКНФ-мрв</t>
  </si>
  <si>
    <t>12234|4030001303-БФ-мрв|Б(рм)</t>
  </si>
  <si>
    <t>4030001303-БФ-мрв</t>
  </si>
  <si>
    <t>12234|4030001303-БФ-мрв|БВР(рм)</t>
  </si>
  <si>
    <t>12234|4030001303-БФ-мрв|БВР(рм3 сем.)</t>
  </si>
  <si>
    <t>12235|4030001303-БФ-мзв|БВРмпзо(зм)</t>
  </si>
  <si>
    <t>4030001303-БФ-мзв</t>
  </si>
  <si>
    <t>624438|2010001301-ФКНФ-мрв|БАЛ(рм)</t>
  </si>
  <si>
    <t>БАЛ(рм)</t>
  </si>
  <si>
    <t>2010001301-ФКНФ-мрв</t>
  </si>
  <si>
    <t>11326|20100032-ФСлФ-брс|БФ(рб)</t>
  </si>
  <si>
    <t>20100032-ФСлФ-брс</t>
  </si>
  <si>
    <t>11328|20100032-ФСлФ-бзс|БФ(зб)</t>
  </si>
  <si>
    <t>20100032-ФСлФ-бзс</t>
  </si>
  <si>
    <t>583759|20100373-ФСлФ-мрс|БФ(рм)</t>
  </si>
  <si>
    <t>20100373-ФСлФ-мрс</t>
  </si>
  <si>
    <t>584067|20100373-ФСлФ-мзс|БФ(зм)</t>
  </si>
  <si>
    <t>БФ(зм)</t>
  </si>
  <si>
    <t>20100373-ФСлФ-мзс</t>
  </si>
  <si>
    <t>11091|2020002306-ИФ-мрв|БСВ(рм)</t>
  </si>
  <si>
    <t>2020002306-ИФ-мрв</t>
  </si>
  <si>
    <t>11091|2020002306-ИФ-мрв|БиБ(рмс)</t>
  </si>
  <si>
    <t>11110|2020002323-ИФ-мрв|БСВ(рмнс)</t>
  </si>
  <si>
    <t>БСВ(рмнс)</t>
  </si>
  <si>
    <t>2020002323-ИФ-мрв</t>
  </si>
  <si>
    <t>11110|2020002323-ИФ-мрв|БиБ(рмнс)</t>
  </si>
  <si>
    <t>БиБ(рмнс)</t>
  </si>
  <si>
    <t>11092|2020002306-ИФ-мзв|БСВ(зм)</t>
  </si>
  <si>
    <t>2020002306-ИФ-мзв</t>
  </si>
  <si>
    <t>11092|2020002306-ИФ-мзв|БиБ(змс)</t>
  </si>
  <si>
    <t>11111|2020002323-ИФ-мзв|БСВ(змнс)</t>
  </si>
  <si>
    <t>БСВ(змнс)</t>
  </si>
  <si>
    <t>2020002323-ИФ-мзв</t>
  </si>
  <si>
    <t>11111|2020002323-ИФ-мзв|БиБ(змнс)</t>
  </si>
  <si>
    <t>БиБ(змнс)</t>
  </si>
  <si>
    <t>11061|20200763-ИФ-мрв|Бълг. средновековие(рмнс)</t>
  </si>
  <si>
    <t>20200763-ИФ-мрв</t>
  </si>
  <si>
    <t>11063|20200763-ИФ-мзв|БСр(змнс)</t>
  </si>
  <si>
    <t>20200763-ИФ-мзв</t>
  </si>
  <si>
    <t>11057|20200753-ИФ-мрв|БСр(рмс)</t>
  </si>
  <si>
    <t>20200753-ИФ-мрв</t>
  </si>
  <si>
    <t>11059|20200753-ИФ-мзв|БСр(змс)</t>
  </si>
  <si>
    <t>20200753-ИФ-мзв</t>
  </si>
  <si>
    <t>11857|4060003330-ФМИ-мрв|ВС(рм)</t>
  </si>
  <si>
    <t>4060003330-ФМИ-мрв</t>
  </si>
  <si>
    <t>11864|4060003334-ФМИ-мрв|ВС(рмл)</t>
  </si>
  <si>
    <t>4060003334-ФМИ-мрв</t>
  </si>
  <si>
    <t>11795|4050003302-ФМИ-мрв|В&amp;С(рмнс)</t>
  </si>
  <si>
    <t>4050003302-ФМИ-мрв</t>
  </si>
  <si>
    <t>533298|4050003302-ФМИ-мрв|В&amp;С</t>
  </si>
  <si>
    <t>533298|4050003302-ФМИ-мрв|В&amp;С(рмс)</t>
  </si>
  <si>
    <t>533298|4050003302-ФМИ-мрв|ВС(рм)</t>
  </si>
  <si>
    <t>11809|4050003309-ФМИ-мрв|ВАС(рмс)</t>
  </si>
  <si>
    <t>4050003309-ФМИ-мрв</t>
  </si>
  <si>
    <t>11807|4050003308-ФМИ-мрв|ВАС(рмнс)</t>
  </si>
  <si>
    <t>4050003308-ФМИ-мрв</t>
  </si>
  <si>
    <t>11732|40500253-ФМИ-мзв|ВАС-на англ.(зм ч.ез.)</t>
  </si>
  <si>
    <t>40500253-ФМИ-мзв</t>
  </si>
  <si>
    <t>11732|40500253-ФМИ-мзв|ВАС-на англ.(зм)</t>
  </si>
  <si>
    <t>Визуални изкуства и образователни практики (2 сем)-Модерна</t>
  </si>
  <si>
    <t>549416|10302953-ФНОИ-мрв|ВИОП(рм2 сем)</t>
  </si>
  <si>
    <t>ВИОП(рм2 сем)</t>
  </si>
  <si>
    <t>10302953-ФНОИ-мрв</t>
  </si>
  <si>
    <t>10876|2030001301-ФФ-мрв|ВК(рм)</t>
  </si>
  <si>
    <t>2030001301-ФФ-мрв</t>
  </si>
  <si>
    <t>10876|2030001301-ФФ-мрв|ВК(рмл)</t>
  </si>
  <si>
    <t>12736|8030118301-ФНОИ-мзв|ВСТТ(зм3 сем.)</t>
  </si>
  <si>
    <t>8030118301-ФНОИ-мзв</t>
  </si>
  <si>
    <t>12273|4030003303-БФ-мрв|В(рм)</t>
  </si>
  <si>
    <t>4030003303-БФ-мрв</t>
  </si>
  <si>
    <t>12197|40300453-БФ-мзв|Вирусология(зм)</t>
  </si>
  <si>
    <t>40300453-БФ-мзв</t>
  </si>
  <si>
    <t>12905|30500052-ФЖМК-брс|ВО(рб)</t>
  </si>
  <si>
    <t>30500052-ФЖМК-брс</t>
  </si>
  <si>
    <t>12907|30500052-ФЖМК-бзс|ВО(зб)</t>
  </si>
  <si>
    <t>30500052-ФЖМК-бзс</t>
  </si>
  <si>
    <t>12922|3050005301-ФЖМК-мрв|ВО(рм2 сем)</t>
  </si>
  <si>
    <t>ВО(рм2 сем)</t>
  </si>
  <si>
    <t>3050005301-ФЖМК-мрв</t>
  </si>
  <si>
    <t>12924|3050005301-ФЖМК-мзв|ВО(зм3 сем.)</t>
  </si>
  <si>
    <t>3050005301-ФЖМК-мзв</t>
  </si>
  <si>
    <t>11121|2020002334-ИФ-мрв|ВиП(рм)</t>
  </si>
  <si>
    <t>2020002334-ИФ-мрв</t>
  </si>
  <si>
    <t>11121|2020002334-ИФ-мрв|ВиП(рмс)</t>
  </si>
  <si>
    <t>11121|2020002334-ИФ-мрв|Възраждане и памет(рмнс)</t>
  </si>
  <si>
    <t>11123|2020002334-ИФ-мзв|ВП(змнс)</t>
  </si>
  <si>
    <t>2020002334-ИФ-мзв</t>
  </si>
  <si>
    <t>11123|2020002334-ИФ-мзв|ВиП(зм)</t>
  </si>
  <si>
    <t>295149|20201013-ИФ-мрв|ВиП 2 сем.(рмнс)</t>
  </si>
  <si>
    <t>20201013-ИФ-мрв</t>
  </si>
  <si>
    <t>295149|20201013-ИФ-мрв|ВиП 2 сем.(рмс)</t>
  </si>
  <si>
    <t>259753|20201013-ИФ-мзв|ВиП 2 сем.(змнс)</t>
  </si>
  <si>
    <t>20201013-ИФ-мзв</t>
  </si>
  <si>
    <t>259753|20201013-ИФ-мзв|ВиП 2 сем.(змс)</t>
  </si>
  <si>
    <t>12929|3050006302-ФЖМК-мрв|ВПЖ(рм)</t>
  </si>
  <si>
    <t>ВПЖ(рм)</t>
  </si>
  <si>
    <t>3050006302-ФЖМК-мрв</t>
  </si>
  <si>
    <t>12930|3050006302-ФЖМК-мзв|ВП(зм3 сем.)</t>
  </si>
  <si>
    <t>3050006302-ФЖМК-мзв</t>
  </si>
  <si>
    <t>11461|2040001308-БсФ-мрв|ВЖМПро2(рм2 сем)</t>
  </si>
  <si>
    <t>2040001308-БсФ-мрв</t>
  </si>
  <si>
    <t>11465|2040001309-БсФ-мрв|ВЖМП(рм4 сем.)</t>
  </si>
  <si>
    <t>2040001309-БсФ-мрв</t>
  </si>
  <si>
    <t>11463|2040001308-БсФ-мзв|ВЖ2МПзо(зм2 сем)</t>
  </si>
  <si>
    <t>2040001308-БсФ-мзв</t>
  </si>
  <si>
    <t>11467|2040001309-БсФ-мзв|ВЖМП(зм4 сем.)</t>
  </si>
  <si>
    <t>2040001309-БсФ-мзв</t>
  </si>
  <si>
    <t>287085|30711103-СтФ-мрв|Геймификация в БПНпС(рм2 сем)</t>
  </si>
  <si>
    <t>30711103-СтФ-мрв</t>
  </si>
  <si>
    <t>287085|30711103-СтФ-мрв|Геймификация в БПНпС(рмнс)</t>
  </si>
  <si>
    <t>12467|4040007301-ГГФ-мрв|ГМмп(рм)</t>
  </si>
  <si>
    <t>4040007301-ГГФ-мрв</t>
  </si>
  <si>
    <t>12274|4030003304-БФ-мрв|Г(рм)</t>
  </si>
  <si>
    <t>4030003304-БФ-мрв</t>
  </si>
  <si>
    <t>12274|4030003304-БФ-мрв|Генетика (рм)</t>
  </si>
  <si>
    <t>12286|4030003310-БФ-мрв|ГиГ(рм)</t>
  </si>
  <si>
    <t>4030003310-БФ-мрв</t>
  </si>
  <si>
    <t>281063|4030003310-БФ-мзв|ГиГ ЗО(зм)</t>
  </si>
  <si>
    <t>4030003310-БФ-мзв</t>
  </si>
  <si>
    <t>66485|4030003313-БФ-мрв|ГиГА(рмнсл ч.ез.)</t>
  </si>
  <si>
    <t>4030003313-БФ-мрв</t>
  </si>
  <si>
    <t>66485|4030003313-БФ-мрв|ГиГА(рмнсл)</t>
  </si>
  <si>
    <t>12288|4030003311-БФ-мрв|ГиГНСп(рмнсл)</t>
  </si>
  <si>
    <t>4030003311-БФ-мрв</t>
  </si>
  <si>
    <t>12208|40300653-БФ-мрв|ГИГАЕ(рм ч.ез.)</t>
  </si>
  <si>
    <t>40300653-БФ-мрв</t>
  </si>
  <si>
    <t>12208|40300653-БФ-мрв|ГИГАЕ(рмс)</t>
  </si>
  <si>
    <t>12298|5110001301-БФ-мрв|ГКлИнж(рм)</t>
  </si>
  <si>
    <t>5110001301-БФ-мрв</t>
  </si>
  <si>
    <t>12299|5110001301-БФ-мзв|ГКИ з.о.(зм)</t>
  </si>
  <si>
    <t>5110001301-БФ-мзв</t>
  </si>
  <si>
    <t>12306|5110001306-БФ-мрв|ГКИнсп(рмнсл)</t>
  </si>
  <si>
    <t>5110001306-БФ-мрв</t>
  </si>
  <si>
    <t>12331|40400022-ГГФ-брс|Г(рб)</t>
  </si>
  <si>
    <t>40400022-ГГФ-брс</t>
  </si>
  <si>
    <t>12333|40400022-ГГФ-бзс|Г(зб)</t>
  </si>
  <si>
    <t>40400022-ГГФ-бзс</t>
  </si>
  <si>
    <t>12336|40400183-ГГФ-мрс|География(рм-97)</t>
  </si>
  <si>
    <t>География(рм-97)</t>
  </si>
  <si>
    <t>40400183-ГГФ-мрс</t>
  </si>
  <si>
    <t>12311|10302502-ГГФ-брс|ГАЕ(рб)</t>
  </si>
  <si>
    <t>10302502-ГГФ-брс</t>
  </si>
  <si>
    <t>12149|10300112-БФ-брс|ГБ(рб)</t>
  </si>
  <si>
    <t>10300112-БФ-брс</t>
  </si>
  <si>
    <t>12151|10300112-БФ-бзс|ГБ(зб)</t>
  </si>
  <si>
    <t>ГБ(зб)</t>
  </si>
  <si>
    <t>10300112-БФ-бзс</t>
  </si>
  <si>
    <t>12415|4040002301-ГГФ-мрв|ГИСК(рм)</t>
  </si>
  <si>
    <t>ГИСК(рм)</t>
  </si>
  <si>
    <t>4040002301-ГГФ-мрв</t>
  </si>
  <si>
    <t>12416|4040002301-ГГФ-мзв|ГИСК(зм)</t>
  </si>
  <si>
    <t>ГИСК(зм)</t>
  </si>
  <si>
    <t>4040002301-ГГФ-мзв</t>
  </si>
  <si>
    <t>12443|4040002320-ГГФ-мрв|ГИСК(рм2 сем)</t>
  </si>
  <si>
    <t>4040002320-ГГФ-мрв</t>
  </si>
  <si>
    <t>12445|4040002320-ГГФ-мзв|ГИСК(зм2 сем)</t>
  </si>
  <si>
    <t>4040002320-ГГФ-мзв</t>
  </si>
  <si>
    <t>12446|4040002321-ГГФ-мрв|ГИСК(рмнс)</t>
  </si>
  <si>
    <t>4040002321-ГГФ-мрв</t>
  </si>
  <si>
    <t>12446|4040002321-ГГФ-мрв|ГИСК(рмнсл)</t>
  </si>
  <si>
    <t>12448|4040002321-ГГФ-мзв|ГИСК(змнс)</t>
  </si>
  <si>
    <t>4040002321-ГГФ-мзв</t>
  </si>
  <si>
    <t>12448|4040002321-ГГФ-мзв|ГИСК(змнсл)</t>
  </si>
  <si>
    <t>12418|4040002302-ГГФ-мрв|ГО(рм)</t>
  </si>
  <si>
    <t>4040002302-ГГФ-мрв</t>
  </si>
  <si>
    <t>12419|4040002302-ГГФ-мзв|ГО(зм)</t>
  </si>
  <si>
    <t>ГО(зм)</t>
  </si>
  <si>
    <t>4040002302-ГГФ-мзв</t>
  </si>
  <si>
    <t>12419|4040002302-ГГФ-мзв|ГО(змс)</t>
  </si>
  <si>
    <t>ГО(змс)</t>
  </si>
  <si>
    <t>12335|40400072-ГГФ-брс|Геол(рб)</t>
  </si>
  <si>
    <t>40400072-ГГФ-брс</t>
  </si>
  <si>
    <t>12469|4040007303-ГГФ-мрв|ГПмп(рм)</t>
  </si>
  <si>
    <t>4040007303-ГГФ-мрв</t>
  </si>
  <si>
    <t>214501|40400922-ГГФ-брс|ГеолППР (рб)(рб)</t>
  </si>
  <si>
    <t>40400922-ГГФ-брс</t>
  </si>
  <si>
    <t>12420|4040002303-ГГФ-мрв|ГМ(рм)</t>
  </si>
  <si>
    <t>ГМ(рм)</t>
  </si>
  <si>
    <t>4040002303-ГГФ-мрв</t>
  </si>
  <si>
    <t>12458|4040002330-ГГФ-мрв|ГМ/ 2 сем.(рм2 сем)</t>
  </si>
  <si>
    <t>4040002330-ГГФ-мрв</t>
  </si>
  <si>
    <t>12421|4040002303-ГГФ-мзв|ГМ(змнсл)</t>
  </si>
  <si>
    <t>4040002303-ГГФ-мзв</t>
  </si>
  <si>
    <t>12421|4040002303-ГГФ-мзв|Гмф(зм)</t>
  </si>
  <si>
    <t>12463|4040002332-ГГФ-мзв|ГМ/ 3 сем.(зм3 сем.)</t>
  </si>
  <si>
    <t>4040002332-ГГФ-мзв</t>
  </si>
  <si>
    <t>12463|4040002332-ГГФ-мзв|Геом(зм3с.)(зм3 сем.)</t>
  </si>
  <si>
    <t>12373|40400882-ГГФ-брс|ГПСТ(рб)</t>
  </si>
  <si>
    <t>40400882-ГГФ-брс</t>
  </si>
  <si>
    <t>12002|4010011301-ФзФ-мрв|Г(рм)</t>
  </si>
  <si>
    <t>4010011301-ФзФ-мрв</t>
  </si>
  <si>
    <t>12002|4010011301-ФзФ-мрв|ГФ(рм3 сем.)</t>
  </si>
  <si>
    <t>12003|4010011301-ФзФ-мзв|ГФ(зм3 сем.)</t>
  </si>
  <si>
    <t>4010011301-ФзФ-мзв</t>
  </si>
  <si>
    <t>12003|4010011301-ФзФ-мзв|ГФмп(зм)</t>
  </si>
  <si>
    <t>12015|4010011309-ФзФ-мрв|ГФ(рм2 сем)</t>
  </si>
  <si>
    <t>4010011309-ФзФ-мрв</t>
  </si>
  <si>
    <t>12015|4010011309-ФзФ-мрв|Геофизика(рм2 сем)</t>
  </si>
  <si>
    <t>12016|4010011309-ФзФ-мзв|ГЕОФИЗИКА(зм2 сем)</t>
  </si>
  <si>
    <t>4010011309-ФзФ-мзв</t>
  </si>
  <si>
    <t>12016|4010011309-ФзФ-мзв|Геофизика(зм2 сем)</t>
  </si>
  <si>
    <t>12014|4010011308-ФзФ-мрв|ГФ(рм4 сем.)</t>
  </si>
  <si>
    <t>4010011308-ФзФ-мрв</t>
  </si>
  <si>
    <t>12470|4040007304-ГГФ-мрв|ГХмп(рм)</t>
  </si>
  <si>
    <t>4040007304-ГГФ-мрв</t>
  </si>
  <si>
    <t>12471|4040007307-ГГФ-мрв|ГХнс(рм)(рм5 сем.)</t>
  </si>
  <si>
    <t>4040007307-ГГФ-мрв</t>
  </si>
  <si>
    <t>12785|3070007302-СтФ-мрв|ГИ(рм)</t>
  </si>
  <si>
    <t>3070007302-СтФ-мрв</t>
  </si>
  <si>
    <t>12785|3070007302-СтФ-мрв|ГИ(рм4 сем.)</t>
  </si>
  <si>
    <t>ГИ(рм4 сем.)</t>
  </si>
  <si>
    <t>10877|2030001302-ФФ-мрв|Г(рм)</t>
  </si>
  <si>
    <t>2030001302-ФФ-мрв</t>
  </si>
  <si>
    <t>10877|2030001302-ФФ-мрв|Глобалистика(рмл)</t>
  </si>
  <si>
    <t>10911|3010003305-ФФ-мрв|ГИ(рм)</t>
  </si>
  <si>
    <t>3010003305-ФФ-мрв</t>
  </si>
  <si>
    <t>10911|3010003305-ФФ-мрв|Градски изследвания(рм)</t>
  </si>
  <si>
    <t>12385|3070023304-ГГФ-мрв|ГРАО(рм)</t>
  </si>
  <si>
    <t>ГРАО(рм)</t>
  </si>
  <si>
    <t>3070023304-ГГФ-мрв</t>
  </si>
  <si>
    <t>12385|3070023304-ГГФ-мрв|ГРиАО(рм)</t>
  </si>
  <si>
    <t>ГРиАО(рм)</t>
  </si>
  <si>
    <t>12386|3070023304-ГГФ-мзв|ГРАО(зм)</t>
  </si>
  <si>
    <t>ГРАО(зм)</t>
  </si>
  <si>
    <t>3070023304-ГГФ-мзв</t>
  </si>
  <si>
    <t>11138|2020002342-ИФ-мрв|ГрОбрОбИстЦив(рм)</t>
  </si>
  <si>
    <t>ГрОбрОбИстЦив(рм)</t>
  </si>
  <si>
    <t>2020002342-ИФ-мрв</t>
  </si>
  <si>
    <t>11139|2020002342-ИФ-мзв|ГрОбрОбИстЦив(зм)</t>
  </si>
  <si>
    <t>ГрОбрОбИстЦив(зм)</t>
  </si>
  <si>
    <t>2020002342-ИФ-мзв</t>
  </si>
  <si>
    <t>12654|80200452-ФНОИ-брс|Графдизайн(рб)</t>
  </si>
  <si>
    <t>80200452-ФНОИ-брс</t>
  </si>
  <si>
    <t>12733|8020045301-ФНОИ-мрв|ГрД(рм2 сем)</t>
  </si>
  <si>
    <t>8020045301-ФНОИ-мрв</t>
  </si>
  <si>
    <t>12735|8020045302-ФНОИ-мрв|ГД3(рм3 сем.)</t>
  </si>
  <si>
    <t>8020045302-ФНОИ-мрв</t>
  </si>
  <si>
    <t>10929|3020001301-ФФ-мрв|ДЮп(рм)</t>
  </si>
  <si>
    <t>ДЮп(рм)</t>
  </si>
  <si>
    <t>3020001301-ФФ-мрв</t>
  </si>
  <si>
    <t>10936|3020001307-ФФ-мрв|ДЮУП(рмс)</t>
  </si>
  <si>
    <t>3020001307-ФФ-мрв</t>
  </si>
  <si>
    <t>10938|3020001308-ФФ-мрв|ДЮУП(рмнс)</t>
  </si>
  <si>
    <t>3020001308-ФФ-мрв</t>
  </si>
  <si>
    <t>12692|1020012302-ФНОИ-мрв|Дтткнр(рм)</t>
  </si>
  <si>
    <t>Дтткнр(рм)</t>
  </si>
  <si>
    <t>1020012302-ФНОИ-мрв</t>
  </si>
  <si>
    <t>12693|1020012302-ФНОИ-мзв|Дтткнр(зм)</t>
  </si>
  <si>
    <t>Дтткнр(зм)</t>
  </si>
  <si>
    <t>1020012302-ФНОИ-мзв</t>
  </si>
  <si>
    <t>12811|3070007326-СтФ-мрв|Дигитален МГ/несп/(рмнс)</t>
  </si>
  <si>
    <t>3070007326-СтФ-мрв</t>
  </si>
  <si>
    <t>12811|3070007326-СтФ-мрв|Дигитален Мг /несп./(рмнс)</t>
  </si>
  <si>
    <t>12811|3070007326-СтФ-мрв|Дигитален маркетинг(рм2 сем)</t>
  </si>
  <si>
    <t>12812|3070007327-СтФ-мрв|Дигитален маркетинг(рм4 сем.)</t>
  </si>
  <si>
    <t>3070007327-СтФ-мрв</t>
  </si>
  <si>
    <t>154777|3070007335-СтФ-мзв|ДМТ - 2 задочно(зм2 сем)</t>
  </si>
  <si>
    <t>3070007335-СтФ-мзв</t>
  </si>
  <si>
    <t>154777|3070007335-СтФ-мзв|ДМТ - задочно 2 сем.(зм2 сем)</t>
  </si>
  <si>
    <t>154777|3070007335-СтФ-мзв|ДМТ-ЗО-Н (2 сем.)(змнс)</t>
  </si>
  <si>
    <t>154777|3070007335-СтФ-мзв|ДМТ-Н-2 задочна(змнс)</t>
  </si>
  <si>
    <t>12890|3080393323-СтФ-мрв|ДТЗБ(рм2 сем)</t>
  </si>
  <si>
    <t>3080393323-СтФ-мрв</t>
  </si>
  <si>
    <t>141834|20200923-ИФ-мрв|DH(рм ч.ез.)</t>
  </si>
  <si>
    <t>20200923-ИФ-мрв</t>
  </si>
  <si>
    <t>Дигитални компетентности в чуждоезиковото обучение (2 сем)-Модерна</t>
  </si>
  <si>
    <t>550026|10302983-ФКНФ-мрв|ДигКомпЧЕОан(рм2 сем ч.ез.)</t>
  </si>
  <si>
    <t>ДигКомпЧЕОан(рм2 сем ч.ез.)</t>
  </si>
  <si>
    <t>10302983-ФКНФ-мрв</t>
  </si>
  <si>
    <t>550026|10302983-ФКНФ-мрв|ДигКомпЧЕОан(рм2 семл ч.ез.)</t>
  </si>
  <si>
    <t>ДигКомпЧЕОан(рм2 семл ч.ез.)</t>
  </si>
  <si>
    <t>550026|10302983-ФКНФ-мрв|ДигКомпЧЕОнем(рм2 сем ч.ез.)</t>
  </si>
  <si>
    <t>ДигКомпЧЕОнем(рм2 сем ч.ез.)</t>
  </si>
  <si>
    <t>550026|10302983-ФКНФ-мрв|ДигКомпЧЕОнем(рм2 семл)</t>
  </si>
  <si>
    <t>ДигКомпЧЕОнем(рм2 семл)</t>
  </si>
  <si>
    <t>12948|3050006320-ФЖМК-мзв|ДМВ(зм)</t>
  </si>
  <si>
    <t>3050006320-ФЖМК-мзв</t>
  </si>
  <si>
    <t>289337|30501423-ФЖМК-мрв|ДМК(рм ч.ез.)</t>
  </si>
  <si>
    <t>30501423-ФЖМК-мрв</t>
  </si>
  <si>
    <t>Дизайн за дигитално учене (2 сем.)-Модерна</t>
  </si>
  <si>
    <t>548104|10202273-ФП-мрв|ДДУ(рм2 сем)</t>
  </si>
  <si>
    <t>ДДУ(рм2 сем)</t>
  </si>
  <si>
    <t>10202273-ФП-мрв</t>
  </si>
  <si>
    <t>548106|10202273-ФП-мзв|ДДУ(зм2 сем)</t>
  </si>
  <si>
    <t>ДДУ(зм2 сем)</t>
  </si>
  <si>
    <t>10202273-ФП-мзв</t>
  </si>
  <si>
    <t>548106|10202273-ФП-мзв|Дизайн за дигитално (зм2 семл)</t>
  </si>
  <si>
    <t>Дизайн за дигитално (зм2 семл)</t>
  </si>
  <si>
    <t>548679|10202273-ФП-мзв|ДДУ-АЕ(зм2 сем ч.ез.)</t>
  </si>
  <si>
    <t>ДДУ-АЕ(зм2 сем ч.ез.)</t>
  </si>
  <si>
    <t>11787|4050001306-ФМИ-мрв|ДСиГ(рм)</t>
  </si>
  <si>
    <t>4050001306-ФМИ-мрв</t>
  </si>
  <si>
    <t>11794|4050001310-ФМИ-мрв|ДСиТЧ - летен прием(рмл)</t>
  </si>
  <si>
    <t>4050001310-ФМИ-мрв</t>
  </si>
  <si>
    <t>11789|4050001307-ФМИ-мрв|ДСиТЧ(рм)</t>
  </si>
  <si>
    <t>4050001307-ФМИ-мрв</t>
  </si>
  <si>
    <t>11171|2020002357-ИФ-мрв|ДиР(рмс)</t>
  </si>
  <si>
    <t>2020002357-ИФ-мрв</t>
  </si>
  <si>
    <t>11176|2020002361-ИФ-мрв|ДРБ(рм)</t>
  </si>
  <si>
    <t>2020002361-ИФ-мрв</t>
  </si>
  <si>
    <t>11841|4060003319-ФМИ-мрв|ДАС(рм)</t>
  </si>
  <si>
    <t>4060003319-ФМИ-мрв</t>
  </si>
  <si>
    <t>12119|4020004320-ФХФ-мрв|ДСХТ(рм)</t>
  </si>
  <si>
    <t>ДСХТ(рм)</t>
  </si>
  <si>
    <t>4020004320-ФХФ-мрв</t>
  </si>
  <si>
    <t>12119|4020004320-ФХФ-мрв|ДСХТ(рм3 сем.)</t>
  </si>
  <si>
    <t>ДСХТ(рм3 сем.)</t>
  </si>
  <si>
    <t>12134|4020015301-ФХФ-мрв|ДСХТ (рм)(рм)</t>
  </si>
  <si>
    <t>4020015301-ФХФ-мрв</t>
  </si>
  <si>
    <t>11187|2020021303-ИФ-мрв|ДАМ(рмс)</t>
  </si>
  <si>
    <t>2020021303-ИФ-мрв</t>
  </si>
  <si>
    <t>11188|2020021303-ИФ-мзв|ДАМ(змс)</t>
  </si>
  <si>
    <t>2020021303-ИФ-мзв</t>
  </si>
  <si>
    <t>11183|2020021301-ИФ-мрв|ДАМ(рмнс)</t>
  </si>
  <si>
    <t>2020021301-ИФ-мрв</t>
  </si>
  <si>
    <t>11184|2020021301-ИФ-мзв|ДАМ(змнс)</t>
  </si>
  <si>
    <t>2020021301-ИФ-мзв</t>
  </si>
  <si>
    <t>11192|2020021306-ИФ-мрв|ДАР(рмнс)</t>
  </si>
  <si>
    <t>2020021306-ИФ-мрв</t>
  </si>
  <si>
    <t>11192|2020021306-ИФ-мрв|ДАР(рмс)</t>
  </si>
  <si>
    <t>10976|3030003306-ФФ-мрв|Е-Европа(рм)</t>
  </si>
  <si>
    <t>3030003306-ФФ-мрв</t>
  </si>
  <si>
    <t>10982|3030003310-ФФ-мрв|Е-Е(рм2 сем)</t>
  </si>
  <si>
    <t>3030003310-ФФ-мрв</t>
  </si>
  <si>
    <t>11093|2020002309-ИФ-мрв|ЕРИЕ(рм)</t>
  </si>
  <si>
    <t>ЕРИЕ(рм)</t>
  </si>
  <si>
    <t>2020002309-ИФ-мрв</t>
  </si>
  <si>
    <t>11093|2020002309-ИФ-мрв|ИЕРИЕ(рмс)</t>
  </si>
  <si>
    <t>ИЕРИЕ(рмс)</t>
  </si>
  <si>
    <t>11093|2020002309-ИФ-мрв|ИЕРИЕ~(рмс)</t>
  </si>
  <si>
    <t>ИЕРИЕ~(рмс)</t>
  </si>
  <si>
    <t>11686|3030026302-ФКНФ-мрв|Е&amp;А:КДГнаЕС(рм ч.ез.)</t>
  </si>
  <si>
    <t>3030026302-ФКНФ-мрв</t>
  </si>
  <si>
    <t>11686|3030026302-ФКНФ-мрв|Е&amp;А:КДГнаЕС(рмл ч.ез.)</t>
  </si>
  <si>
    <t>10838|30300032-ФФ-брс|Евр.(рб)</t>
  </si>
  <si>
    <t>30300032-ФФ-брс</t>
  </si>
  <si>
    <t>10972|3030003301-ФФ-мзв|ЕСН(зм)</t>
  </si>
  <si>
    <t>ЕСН(зм)</t>
  </si>
  <si>
    <t>3030003301-ФФ-мзв</t>
  </si>
  <si>
    <t>10973|3030003302-ФФ-мрв|ЕИ(рм)</t>
  </si>
  <si>
    <t>ЕИ(рм)</t>
  </si>
  <si>
    <t>3030003302-ФФ-мрв</t>
  </si>
  <si>
    <t>10973|3030003302-ФФ-мрв|ЕИ(рмл)</t>
  </si>
  <si>
    <t>ЕИ(рмл)</t>
  </si>
  <si>
    <t>10977|3030003307-ФФ-мрв|ЕИиД(рм)</t>
  </si>
  <si>
    <t>3030003307-ФФ-мрв</t>
  </si>
  <si>
    <t>10980|3030003309-ФФ-мрв|ЕИДЕС(рм2 сем)</t>
  </si>
  <si>
    <t>3030003309-ФФ-мрв</t>
  </si>
  <si>
    <t>10980|3030003309-ФФ-мрв|ЕИДЕСл(рм2 семл)</t>
  </si>
  <si>
    <t>10998|3070006301-ФФ-мрв|ЕПА(рм)</t>
  </si>
  <si>
    <t>3070006301-ФФ-мрв</t>
  </si>
  <si>
    <t>10999|3070006301-ФФ-мзв|ЕПА(зм)</t>
  </si>
  <si>
    <t>3070006301-ФФ-мзв</t>
  </si>
  <si>
    <t>11010|3070006310-ФФ-мрв|ЕПА(рм2 сем)</t>
  </si>
  <si>
    <t>3070006310-ФФ-мрв</t>
  </si>
  <si>
    <t>11174|2020002359-ИФ-мрв|ЕЮ - 2 сем(рмс)</t>
  </si>
  <si>
    <t>2020002359-ИФ-мрв</t>
  </si>
  <si>
    <t>11140|2020002343-ИФ-мрв|ЕЮ(рмсл)</t>
  </si>
  <si>
    <t>ЕЮ(рмсл)</t>
  </si>
  <si>
    <t>2020002343-ИФ-мрв</t>
  </si>
  <si>
    <t>11142|2020002343-ИФ-мзв|ЕЮ(змсл)</t>
  </si>
  <si>
    <t>ЕЮ(змсл)</t>
  </si>
  <si>
    <t>2020002343-ИФ-мзв</t>
  </si>
  <si>
    <t>11096|2020002310-ИФ-мрв|ЕЮ(рмс)</t>
  </si>
  <si>
    <t>2020002310-ИФ-мрв</t>
  </si>
  <si>
    <t>11096|2020002310-ИФ-мрв|ЕЮи(рм)</t>
  </si>
  <si>
    <t>11097|2020002310-ИФ-мрв|ЕЮ - межд. прогр.(рмс)</t>
  </si>
  <si>
    <t>11097|2020002310-ИФ-мрв|ЕЮ-межд.прогр. (рмнс)</t>
  </si>
  <si>
    <t>11097|2020002310-ИФ-мрв|ЕЮ-межд.прогр.~(рмнс)</t>
  </si>
  <si>
    <t>11097|2020002310-ИФ-мрв|Европейски Югоизток (рмнс)</t>
  </si>
  <si>
    <t>11099|2020002310-ИФ-мзв|ЕЮ(зм)</t>
  </si>
  <si>
    <t>ЕЮ(зм)</t>
  </si>
  <si>
    <t>2020002310-ИФ-мзв</t>
  </si>
  <si>
    <t>11099|2020002310-ИФ-мзв|ЕЮ(змс)</t>
  </si>
  <si>
    <t>ЕЮ(змс)</t>
  </si>
  <si>
    <t>11099|2020002310-ИФ-мзв|ЕЮ~(змс)</t>
  </si>
  <si>
    <t>ЕЮ~(змс)</t>
  </si>
  <si>
    <t>11112|2020002324-ИФ-мрв|ЕЮ(рмнс)</t>
  </si>
  <si>
    <t>ЕЮ(рмнс)</t>
  </si>
  <si>
    <t>2020002324-ИФ-мрв</t>
  </si>
  <si>
    <t>11112|2020002324-ИФ-мрв|ЕЮ(рмнсл)</t>
  </si>
  <si>
    <t>ЕЮ(рмнсл)</t>
  </si>
  <si>
    <t>11114|2020002324-ИФ-мзв|ЕЮ(змнс)</t>
  </si>
  <si>
    <t>ЕЮ(змнс)</t>
  </si>
  <si>
    <t>2020002324-ИФ-мзв</t>
  </si>
  <si>
    <t>11114|2020002324-ИФ-мзв|ЕЮ(змнсл)</t>
  </si>
  <si>
    <t>ЕЮ(змнсл)</t>
  </si>
  <si>
    <t>10974|3030003303-ФФ-мрв|ЕИз(рм)</t>
  </si>
  <si>
    <t>ЕИз(рм)</t>
  </si>
  <si>
    <t>3030003303-ФФ-мрв</t>
  </si>
  <si>
    <t>12547|3030010302-ЮФ-мрв|ЕО(рм3 сем.)</t>
  </si>
  <si>
    <t>ЕО(рм3 сем.)</t>
  </si>
  <si>
    <t>3030010302-ЮФ-мрв</t>
  </si>
  <si>
    <t>12547|3030010302-ЮФ-мрв|ЕО(рм3 сем.л)</t>
  </si>
  <si>
    <t>ЕО(рм3 сем.л)</t>
  </si>
  <si>
    <t>12546|3030010301-ЮФ-мрв|ЕО(рм4 сем.)</t>
  </si>
  <si>
    <t>3030010301-ЮФ-мрв</t>
  </si>
  <si>
    <t>10975|3030003304-ФФ-мрв|Европейски проекти(рм)</t>
  </si>
  <si>
    <t>Европейски проекти(рм)</t>
  </si>
  <si>
    <t>3030003304-ФФ-мрв</t>
  </si>
  <si>
    <t>10978|3030003308-ФФ-мрв|ЕП(рмл)</t>
  </si>
  <si>
    <t>3030003308-ФФ-мрв</t>
  </si>
  <si>
    <t>10984|3030003311-ФФ-мрв|Европейски проекти(рм2 сем)</t>
  </si>
  <si>
    <t>3030003311-ФФ-мрв</t>
  </si>
  <si>
    <t>11585|30300262-ФКНФ-брс|ЕС&amp;ЕИ(рб ч.ез.)</t>
  </si>
  <si>
    <t>30300262-ФКНФ-брс</t>
  </si>
  <si>
    <t>11585|30300262-ФКНФ-брс|ЕС&amp;ЕИ(рб)</t>
  </si>
  <si>
    <t>11614|2010004306-ФКНФ-мрв|ЕзКуПр(рм)</t>
  </si>
  <si>
    <t>2010004306-ФКНФ-мрв</t>
  </si>
  <si>
    <t>11678|2010337302-ФКНФ-мрв|ЕКП(нфске)(рм)</t>
  </si>
  <si>
    <t>2010337302-ФКНФ-мрв</t>
  </si>
  <si>
    <t>11607|2010001314-ФКНФ-мрв|ЕиК-Англ(р</t>
  </si>
  <si>
    <t>2010001314-ФКНФ-мрв</t>
  </si>
  <si>
    <t>11607|2010001314-ФКНФ-мрв|ЕиК-Англ(рм)</t>
  </si>
  <si>
    <t>11607|2010001314-ФКНФ-мрв|ЕиК-Англ(рмл)</t>
  </si>
  <si>
    <t>11607|2010001314-ФКНФ-мрв|ЕиК-Англ(рмнс ч.ез.)</t>
  </si>
  <si>
    <t>11607|2010001314-ФКНФ-мрв|ЕиК-Англ(рмнс)</t>
  </si>
  <si>
    <t>11607|2010001314-ФКНФ-мрв|ЕиК-Англ(рмнсл)</t>
  </si>
  <si>
    <t>11607|2010001314-ФКНФ-мрв|ЕиК-Англ(рмс ч.ез.)</t>
  </si>
  <si>
    <t>11607|2010001314-ФКНФ-мрв|ЕиК-Англ(рмс)</t>
  </si>
  <si>
    <t>11427|2010003330-ФСлФ-мрв|ЕКП(рм)</t>
  </si>
  <si>
    <t>2010003330-ФСлФ-мрв</t>
  </si>
  <si>
    <t>11433|2010003332-ФСлФ-мрв|ЕИК/несп(рмнс)</t>
  </si>
  <si>
    <t>2010003332-ФСлФ-мрв</t>
  </si>
  <si>
    <t>624730|2010001303-ФКНФ-мрв|АФ ЕО(рм)</t>
  </si>
  <si>
    <t>АФ ЕО(рм)</t>
  </si>
  <si>
    <t>2010001303-ФКНФ-мрв</t>
  </si>
  <si>
    <t>624634|2010001310-ФКНФ-мрв|ЕЕН(рм)</t>
  </si>
  <si>
    <t>ЕЕН(рм)</t>
  </si>
  <si>
    <t>2010001310-ФКНФ-мрв</t>
  </si>
  <si>
    <t>11672|2010036302-ФКНФ-мрв|ЕКП(рм)</t>
  </si>
  <si>
    <t>2010036302-ФКНФ-мрв</t>
  </si>
  <si>
    <t>11675|2010036306-ФКНФ-мрв|ЕКП(рм2 сем)</t>
  </si>
  <si>
    <t>2010036306-ФКНФ-мрв</t>
  </si>
  <si>
    <t>11440|2010009301-ФСлФ-мрв|ЕКП(рм2 сем)</t>
  </si>
  <si>
    <t>2010009301-ФСлФ-мрв</t>
  </si>
  <si>
    <t>11442|2010009306-ФСлФ-мрв|ЕКПмп(рмнс)</t>
  </si>
  <si>
    <t>2010009306-ФСлФ-мрв</t>
  </si>
  <si>
    <t>11660|2010027301-ФКНФ-мрв|ЕП(рм)</t>
  </si>
  <si>
    <t>2010027301-ФКНФ-мрв</t>
  </si>
  <si>
    <t>12300|5110001302-БФ-мрв|ЕБТ(рм)</t>
  </si>
  <si>
    <t>5110001302-БФ-мрв</t>
  </si>
  <si>
    <t>12258|4030002302-БФ-мрв|Е(рм)</t>
  </si>
  <si>
    <t>4030002302-БФ-мрв</t>
  </si>
  <si>
    <t>12266|4030002308-БФ-мрв|ЕКО(рмнсл)</t>
  </si>
  <si>
    <t>4030002308-БФ-мрв</t>
  </si>
  <si>
    <t>12261|4030002304-БФ-мзв|Е(зм)</t>
  </si>
  <si>
    <t>4030002304-БФ-мзв</t>
  </si>
  <si>
    <t>12165|40300022-БФ-брс|ЕООС(рб)</t>
  </si>
  <si>
    <t>40300022-БФ-брс</t>
  </si>
  <si>
    <t>12167|40300022-БФ-бзс|ЕООС(зб)</t>
  </si>
  <si>
    <t>40300022-БФ-бзс</t>
  </si>
  <si>
    <t>12201|40300603-БФ-мзв|ЕММ(зм)</t>
  </si>
  <si>
    <t>40300603-БФ-мзв</t>
  </si>
  <si>
    <t>12291|4030015302-БФ-мзв|ЕМ(змл)</t>
  </si>
  <si>
    <t>4030015302-БФ-мзв</t>
  </si>
  <si>
    <t>12407|3090001303-ГГФ-мзв|Е(зм)</t>
  </si>
  <si>
    <t>3090001303-ГГФ-мзв</t>
  </si>
  <si>
    <t>12067|40200122-ФХФ-брс|ЕХ(рб)</t>
  </si>
  <si>
    <t>40200122-ФХФ-брс</t>
  </si>
  <si>
    <t>12100|4020004302-ФХФ-мрв|ЕкоХ(рм)</t>
  </si>
  <si>
    <t>4020004302-ФХФ-мрв</t>
  </si>
  <si>
    <t>12101|4020004302-ФХФ-мзв|ЕкоХ(зм)</t>
  </si>
  <si>
    <t>4020004302-ФХФ-мзв</t>
  </si>
  <si>
    <t>12121|4020012301-ФХФ-мрв|ЕХ(р)(рм)</t>
  </si>
  <si>
    <t>4020012301-ФХФ-мрв</t>
  </si>
  <si>
    <t>12122|4020012301-ФХФ-мзв|ЕХ(з)(зм)</t>
  </si>
  <si>
    <t>4020012301-ФХФ-мзв</t>
  </si>
  <si>
    <t>11813|4060003302-ФМИ-мрв|ЕБ(м)</t>
  </si>
  <si>
    <t>4060003302-ФМИ-мрв</t>
  </si>
  <si>
    <t>11813|4060003302-ФМИ-мрв|ЕБ(рм)</t>
  </si>
  <si>
    <t>ЕБ(рм)</t>
  </si>
  <si>
    <t>11813|4060003302-ФМИ-мрв|ЕлБи(рм)</t>
  </si>
  <si>
    <t>ЕлБи(рм)</t>
  </si>
  <si>
    <t>11863|4060003333-ФМИ-мрв|ЕБ на англ.ез.-летен(рмл ч.ез.)</t>
  </si>
  <si>
    <t>4060003333-ФМИ-мрв</t>
  </si>
  <si>
    <t>11859|4060003331-ФМИ-мрв|ЕБ на англ. ез.(рм ч.ез.)</t>
  </si>
  <si>
    <t>4060003331-ФМИ-мрв</t>
  </si>
  <si>
    <t>11859|4060003331-ФМИ-мрв|ЕБ на англ. ез.(рм)</t>
  </si>
  <si>
    <t>11846|4060003322-ФМИ-мрв|ЕБ(м)</t>
  </si>
  <si>
    <t>4060003322-ФМИ-мрв</t>
  </si>
  <si>
    <t>11846|4060003322-ФМИ-мрв|ЕБиЕУ(рм)</t>
  </si>
  <si>
    <t>12931|3050006303-ФЖМК-мрв|ЕМ(рм2 сем)</t>
  </si>
  <si>
    <t>ЕМ(рм2 сем)</t>
  </si>
  <si>
    <t>3050006303-ФЖМК-мрв</t>
  </si>
  <si>
    <t>12932|3050006303-ФЖМК-мзв|ЕМ(зм)</t>
  </si>
  <si>
    <t>ЕМ(зм)</t>
  </si>
  <si>
    <t>3050006303-ФЖМК-мзв</t>
  </si>
  <si>
    <t>12941|3050006313-ФЖМК-мзв|ЕМ(зм2 сем)</t>
  </si>
  <si>
    <t>3050006313-ФЖМК-мзв</t>
  </si>
  <si>
    <t>11774|1030014304-ФМИ-мрв|ЕО(рм)</t>
  </si>
  <si>
    <t>1030014304-ФМИ-мрв</t>
  </si>
  <si>
    <t>11774|1030014304-ФМИ-мрв|ЕлОб(рмс)</t>
  </si>
  <si>
    <t>11772|1030014302-ФМИ-мзв|ЕО(зм)</t>
  </si>
  <si>
    <t>1030014302-ФМИ-мзв</t>
  </si>
  <si>
    <t>11772|1030014302-ФМИ-мзв|ЕлОб(змнс)</t>
  </si>
  <si>
    <t>11772|1030014302-ФМИ-мзв|ЕлОб(змс)</t>
  </si>
  <si>
    <t>11814|4060003303-ФМИ-мрв|ЕО(рмс)</t>
  </si>
  <si>
    <t>ЕО(рмс)</t>
  </si>
  <si>
    <t>4060003303-ФМИ-мрв</t>
  </si>
  <si>
    <t>11814|4060003303-ФМИ-мрв|ЕлОб сп.</t>
  </si>
  <si>
    <t>ЕлОб сп.</t>
  </si>
  <si>
    <t>11814|4060003303-ФМИ-мрв|ЕлОб(рмс)</t>
  </si>
  <si>
    <t>11815|4060003304-ФМИ-мрв|ЕО(рмнс)</t>
  </si>
  <si>
    <t>ЕО(рмнс)</t>
  </si>
  <si>
    <t>4060003304-ФМИ-мрв</t>
  </si>
  <si>
    <t>11815|4060003304-ФМИ-мрв|ЕлОб несп.</t>
  </si>
  <si>
    <t>ЕлОб несп.</t>
  </si>
  <si>
    <t>11815|4060003304-ФМИ-мрв|ЕлОб(рмнс)</t>
  </si>
  <si>
    <t>ЕлОб(рмнс)</t>
  </si>
  <si>
    <t>12902|3080393329-СтФ-мзв|ЕПУ-ЗО 2 сем.(зм2 сем)</t>
  </si>
  <si>
    <t>3080393329-СтФ-мзв</t>
  </si>
  <si>
    <t>12902|3080393329-СтФ-мзв|ЕПУ-ЗО неиконом.(змнс)</t>
  </si>
  <si>
    <t>12902|3080393329-СтФ-мзв|Енергийни пазари Усл(зм2 сем)</t>
  </si>
  <si>
    <t>12902|3080393329-СтФ-мзв|Енергийни пазари и у(змнс)</t>
  </si>
  <si>
    <t>12237|4030001304-БФ-мрв|Ент(рм)</t>
  </si>
  <si>
    <t>4030001304-БФ-мрв</t>
  </si>
  <si>
    <t>12703|1020012325-ФНОИ-мрв|ЕргтерДВНром(рм)</t>
  </si>
  <si>
    <t>1020012325-ФНОИ-мрв</t>
  </si>
  <si>
    <t>12703|1020012325-ФНОИ-мрв|ЕргтерДВНром(рм3 сем.)</t>
  </si>
  <si>
    <t>12705|1020012325-ФНОИ-мзв|ЕргтерДВНзом(зм)</t>
  </si>
  <si>
    <t>1020012325-ФНОИ-мзв</t>
  </si>
  <si>
    <t>12705|1020012325-ФНОИ-мзв|ЕргтерДВНзом(зм3 сем.)</t>
  </si>
  <si>
    <t>12707|1020012329-ФНОИ-мрв|ЕргДВ2сем(рм2 сем)</t>
  </si>
  <si>
    <t>1020012329-ФНОИ-мрв</t>
  </si>
  <si>
    <t>12708|1020012329-ФНОИ-мзв|ЕргДВзад2(зм2 сем)</t>
  </si>
  <si>
    <t>1020012329-ФНОИ-мзв</t>
  </si>
  <si>
    <t>11071|30100022-ИФ-брс|Етн(рб)</t>
  </si>
  <si>
    <t>30100022-ИФ-брс</t>
  </si>
  <si>
    <t>588879|3010002301-ИФ-мрв|Етн(рм)</t>
  </si>
  <si>
    <t>Етн(рм)</t>
  </si>
  <si>
    <t>3010002301-ИФ-мрв</t>
  </si>
  <si>
    <t>11079|30100762-ИФ-брс|ЕКА(рб)</t>
  </si>
  <si>
    <t>30100762-ИФ-брс</t>
  </si>
  <si>
    <t>11193|3010002302-ИФ-мрв|ЕКА(рмс)</t>
  </si>
  <si>
    <t>ЕКА(рмс)</t>
  </si>
  <si>
    <t>3010002302-ИФ-мрв</t>
  </si>
  <si>
    <t>11196|3010002303-ИФ-мрв|ЕКА(рмнс)</t>
  </si>
  <si>
    <t>ЕКА(рмнс)</t>
  </si>
  <si>
    <t>3010002303-ИФ-мрв</t>
  </si>
  <si>
    <t>11200|3010002307-ИФ-мрв|ЕКА-2сем(рм2 сем)</t>
  </si>
  <si>
    <t>3010002307-ИФ-мрв</t>
  </si>
  <si>
    <t>259752|30100813-ИФ-мрв|ЕКА(рм2 сем)</t>
  </si>
  <si>
    <t>30100813-ИФ-мрв</t>
  </si>
  <si>
    <t>11203|3010002308-ИФ-мрв|ЕКА-4сем(рм4 сем.)</t>
  </si>
  <si>
    <t>3010002308-ИФ-мрв</t>
  </si>
  <si>
    <t>278414|10202133-ФНОИ-мрв|ЖЕвО(рм2 сем)</t>
  </si>
  <si>
    <t>10202133-ФНОИ-мрв</t>
  </si>
  <si>
    <t>12908|30500062-ФЖМК-брс|Ж(рб)</t>
  </si>
  <si>
    <t>30500062-ФЖМК-брс</t>
  </si>
  <si>
    <t>12909|30500062-ФЖМК-бзс|Ж(зб)</t>
  </si>
  <si>
    <t>30500062-ФЖМК-бзс</t>
  </si>
  <si>
    <t>587634|30500763-ФЖМК-мрс|Ж(рм)</t>
  </si>
  <si>
    <t>Ж(рм)</t>
  </si>
  <si>
    <t>30500763-ФЖМК-мрс</t>
  </si>
  <si>
    <t>587397|3050006304-ФЖМК-мзв|Ж(зм4 сем.)</t>
  </si>
  <si>
    <t>Ж(зм4 сем.)</t>
  </si>
  <si>
    <t>3050006304-ФЖМК-мзв</t>
  </si>
  <si>
    <t>587635|30500763-ФЖМК-мзс|Ж(зм)</t>
  </si>
  <si>
    <t>Ж(зм)</t>
  </si>
  <si>
    <t>30500763-ФЖМК-мзс</t>
  </si>
  <si>
    <t>12936|3050006308-ФЖМК-мзв|ЖМ(зм)</t>
  </si>
  <si>
    <t>3050006308-ФЖМК-мзв</t>
  </si>
  <si>
    <t>12936|3050006308-ФЖМК-мзв|ЖМмп(зм)</t>
  </si>
  <si>
    <t>11185|2020021302-ИФ-мрв|ЗащДАР(рмл)</t>
  </si>
  <si>
    <t>2020021302-ИФ-мрв</t>
  </si>
  <si>
    <t>11185|2020021302-ИФ-мрв|Защита на документ.(рмс)</t>
  </si>
  <si>
    <t>11186|2020021302-ИФ-мзв|ЗащДАР(змсл)</t>
  </si>
  <si>
    <t>2020021302-ИФ-мзв</t>
  </si>
  <si>
    <t>11186|2020021302-ИФ-мзв|Защита на документ.(змс)</t>
  </si>
  <si>
    <t>11189|2020021304-ИФ-мрв|ЗащДАР(рмнсл)</t>
  </si>
  <si>
    <t>ЗащДАР(рмнсл)</t>
  </si>
  <si>
    <t>2020021304-ИФ-мрв</t>
  </si>
  <si>
    <t>11190|2020021304-ИФ-мзв|ЗащДАР(змнс)</t>
  </si>
  <si>
    <t>ЗащДАР(змнс)</t>
  </si>
  <si>
    <t>2020021304-ИФ-мзв</t>
  </si>
  <si>
    <t>11190|2020021304-ИФ-мзв|ЗащДАР(змнсл)</t>
  </si>
  <si>
    <t>ЗащДАР(змнсл)</t>
  </si>
  <si>
    <t>11191|2020021305-ИФ-мрв|Защита на докум. (рмнс)</t>
  </si>
  <si>
    <t>2020021305-ИФ-мрв</t>
  </si>
  <si>
    <t>11830|4060003313-ФМИ-мрв|ЗИКСМ(рм)</t>
  </si>
  <si>
    <t>4060003313-ФМИ-мрв</t>
  </si>
  <si>
    <t>11830|4060003313-ФМИ-мрв|ЗИКСМ(рмл)</t>
  </si>
  <si>
    <t>11830|4060003313-ФМИ-мрв|ЗИвКСМ(рм)</t>
  </si>
  <si>
    <t>11830|4060003313-ФМИ-мрв|Защита на инф.(рм)</t>
  </si>
  <si>
    <t>143521|30300683-ЮФ-мрв|ЗОП(рм)</t>
  </si>
  <si>
    <t>30300683-ЮФ-мрв</t>
  </si>
  <si>
    <t>12239|4030001305-БФ-мрв|Зоол(рм)</t>
  </si>
  <si>
    <t>4030001305-БФ-мрв</t>
  </si>
  <si>
    <t>11272|1020005319-ФП-мдв|ИКТ в обр.(дистанц.)(дм2 сем)</t>
  </si>
  <si>
    <t>1020005319-ФП-мдв</t>
  </si>
  <si>
    <t>11571|20102773-ФКНФ-мрв|ИА(рм)</t>
  </si>
  <si>
    <t>20102773-ФКНФ-мрв</t>
  </si>
  <si>
    <t>11571|20102773-ФКНФ-мрв|ИбАм(рм)</t>
  </si>
  <si>
    <t>11571|20102773-ФКНФ-мрв|ИбероАм(рм)</t>
  </si>
  <si>
    <t>11646|2010022307-ФКНФ-мрв|ИбероАм(рмнсл)</t>
  </si>
  <si>
    <t>2010022307-ФКНФ-мрв</t>
  </si>
  <si>
    <t>11849|4060003326-ФМИ-мрв|ИИОЗ(рм)</t>
  </si>
  <si>
    <t>4060003326-ФМИ-мрв</t>
  </si>
  <si>
    <t>11481|2040001315-БсФ-мзв|Извори и традиция(зм4 сем.)</t>
  </si>
  <si>
    <t>2040001315-БсФ-мзв</t>
  </si>
  <si>
    <t>11481|2040001315-БсФ-мзв|Извори и традиция(змнс)</t>
  </si>
  <si>
    <t>11486|2040001318-БсФ-мрв|Извори и традиция/р/(рм2 сем)</t>
  </si>
  <si>
    <t>2040001318-БсФ-мрв</t>
  </si>
  <si>
    <t>11487|2040001318-БсФ-мзв|Извори 2 сем/задочно(зм2 сем)</t>
  </si>
  <si>
    <t>2040001318-БсФ-мзв</t>
  </si>
  <si>
    <t>10914|3010005301-ФФ-мрв|ИС(рм)</t>
  </si>
  <si>
    <t>3010005301-ФФ-мрв</t>
  </si>
  <si>
    <t>10914|3010005301-ФФ-мрв|ИзкС(рмл)</t>
  </si>
  <si>
    <t>11816|4060003305-ФМИ-мрв|ИИ спец(м)</t>
  </si>
  <si>
    <t>4060003305-ФМИ-мрв</t>
  </si>
  <si>
    <t>11816|4060003305-ФМИ-мрв|ИИ(рм)</t>
  </si>
  <si>
    <t>11816|4060003305-ФМИ-мрв|ИИ(рмс)</t>
  </si>
  <si>
    <t>11817|4060003305-ФМИ-мрв|ИИ несп(м)</t>
  </si>
  <si>
    <t>11817|4060003305-ФМИ-мрв|ИИ(м)</t>
  </si>
  <si>
    <t>11817|4060003305-ФМИ-мрв|ИИ(рмнс)</t>
  </si>
  <si>
    <t>286654|30807523-СтФ-мрв|Изкуствен интелект (рм2 сем)</t>
  </si>
  <si>
    <t>30807523-СтФ-мрв</t>
  </si>
  <si>
    <t>Изкуствен интелект за бизнес и финанси (4 сем.)</t>
  </si>
  <si>
    <t>ИИБФ - 4 сем.(рм4 сем.)</t>
  </si>
  <si>
    <t>12455|4040002328-ГГФ-мзв|ИКУВ(змнсл)</t>
  </si>
  <si>
    <t>4040002328-ГГФ-мзв</t>
  </si>
  <si>
    <t>12454|4040002327-ГГФ-мрв|ИКУВ(рмс)</t>
  </si>
  <si>
    <t>4040002327-ГГФ-мрв</t>
  </si>
  <si>
    <t>12450|4040002326-ГГФ-мрв|ИКУВ(рмнс)</t>
  </si>
  <si>
    <t>4040002326-ГГФ-мрв</t>
  </si>
  <si>
    <t>12450|4040002326-ГГФ-мрв|ИКУВ(рмнсл)</t>
  </si>
  <si>
    <t>12452|4040002326-ГГФ-мзв|ИКУВ(змс)</t>
  </si>
  <si>
    <t>4040002326-ГГФ-мзв</t>
  </si>
  <si>
    <t>12449|4040002325-ГГФ-мрв|ИКУВ(рм4 сем.л)</t>
  </si>
  <si>
    <t>ИКУВ(рм4 сем.л)</t>
  </si>
  <si>
    <t>4040002325-ГГФ-мрв</t>
  </si>
  <si>
    <t>12455|4040002325-ГГФ-мзв|ИКУВ(змнс)</t>
  </si>
  <si>
    <t>4040002325-ГГФ-мзв</t>
  </si>
  <si>
    <t>12629|10300122-ФНОИ-брс|ПОИИз(рб)</t>
  </si>
  <si>
    <t>10300122-ФНОИ-брс</t>
  </si>
  <si>
    <t>11669|2010032302-ФКНФ-мрв|ИАК(рм)</t>
  </si>
  <si>
    <t>2010032302-ФКНФ-мрв</t>
  </si>
  <si>
    <t>11818|4060003306-ФМИ-мрв|ИИнф(рмнс)</t>
  </si>
  <si>
    <t>4060003306-ФМИ-мрв</t>
  </si>
  <si>
    <t>11818|4060003306-ФМИ-мрв|ИИнф(рмс)</t>
  </si>
  <si>
    <t>11818|4060003306-ФМИ-мрв|ИзИн несп</t>
  </si>
  <si>
    <t>11818|4060003306-ФМИ-мрв|ИзчИнф сп.</t>
  </si>
  <si>
    <t>11818|4060003306-ФМИ-мрв|ИзчИнф(рм)</t>
  </si>
  <si>
    <t>11818|4060003306-ФМИ-мрв|ИзчИнф(рмс)</t>
  </si>
  <si>
    <t>11780|4050001301-ФМИ-мрв|ИМ сп.</t>
  </si>
  <si>
    <t>ИМ сп.</t>
  </si>
  <si>
    <t>4050001301-ФМИ-мрв</t>
  </si>
  <si>
    <t>11780|4050001301-ФМИ-мрв|ИМ(рмнс)</t>
  </si>
  <si>
    <t>ИМ(рмнс)</t>
  </si>
  <si>
    <t>11780|4050001301-ФМИ-мрв|ИзчМ(м)</t>
  </si>
  <si>
    <t>ИзчМ(м)</t>
  </si>
  <si>
    <t>11780|4050001301-ФМИ-мрв|ИзчМ(рм)</t>
  </si>
  <si>
    <t>ИзчМ(рм)</t>
  </si>
  <si>
    <t>11803|4050003306-ФМИ-мрв|ИМиММ(рм)</t>
  </si>
  <si>
    <t>4050003306-ФМИ-мрв</t>
  </si>
  <si>
    <t>12102|4020004303-ФХФ-мрв|ИзХ(рм)</t>
  </si>
  <si>
    <t>ИзХ(рм)</t>
  </si>
  <si>
    <t>4020004303-ФХФ-мрв</t>
  </si>
  <si>
    <t>12098|4020001301-ФХФ-мрв|ИХ(рм)</t>
  </si>
  <si>
    <t>4020001301-ФХФ-мрв</t>
  </si>
  <si>
    <t>12756|30800082-СтФ-брс|И(рб)</t>
  </si>
  <si>
    <t>30800082-СтФ-брс</t>
  </si>
  <si>
    <t>12756|30800082-СтФ-брс|ИкФ(рб)</t>
  </si>
  <si>
    <t>588670|3080008302-СтФ-мрв|И(рм)</t>
  </si>
  <si>
    <t>И(рм)</t>
  </si>
  <si>
    <t>3080008302-СтФ-мрв</t>
  </si>
  <si>
    <t>12798|3070007315-СтФ-мрв|ИМТИН(рм5 сем.)</t>
  </si>
  <si>
    <t>3070007315-СтФ-мрв</t>
  </si>
  <si>
    <t>12857|3080393301-СтФ-мрв|Иконом. и право неик(рмнс)</t>
  </si>
  <si>
    <t>3080393301-СтФ-мрв</t>
  </si>
  <si>
    <t>12857|3080393301-СтФ-мрв|Икономика и право Л(рм2 семл)</t>
  </si>
  <si>
    <t>12857|3080393301-СтФ-мрв|Икономика и право(рм2 сем)</t>
  </si>
  <si>
    <t>12857|3080393301-СтФ-мрв|Икономика и право(рм2 семл)</t>
  </si>
  <si>
    <t>12857|3080393301-СтФ-мрв|Икономика и право(рмнс)</t>
  </si>
  <si>
    <t>12873|3080393312-СтФ-мрв|ИУЕИКУ(рм2</t>
  </si>
  <si>
    <t>3080393312-СтФ-мрв</t>
  </si>
  <si>
    <t>12873|3080393312-СтФ-мрв|ИУЕИКУ(рм2 сем)</t>
  </si>
  <si>
    <t>12874|3080393313-СтФ-мрв|ИУЕИКУ(рм4 сем.)</t>
  </si>
  <si>
    <t>3080393313-СтФ-мрв</t>
  </si>
  <si>
    <t>12899|3080393327-СтФ-мрв|ИУЕИКУ-ПБ(рм4 сем.)</t>
  </si>
  <si>
    <t>3080393327-СтФ-мрв</t>
  </si>
  <si>
    <t>12825|3080008307-СтФ-мрв|ИЕИКУ(рм3 сем.)</t>
  </si>
  <si>
    <t>3080008307-СтФ-мрв</t>
  </si>
  <si>
    <t>12825|3080008307-СтФ-мрв|ИУЕИКУ(рм3 сем.)</t>
  </si>
  <si>
    <t>12832|3080008315-СтФ-мрв|ИУЕИКУмн(рм5 сем.)</t>
  </si>
  <si>
    <t>3080008315-СтФ-мрв</t>
  </si>
  <si>
    <t>12844|3080008330-СтФ-мрв|ИУЕИКУ(рм2 сем)</t>
  </si>
  <si>
    <t>3080008330-СтФ-мрв</t>
  </si>
  <si>
    <t>12845|3080008331-СтФ-мрв|ИУЕИКУ(рм4 сем.)</t>
  </si>
  <si>
    <t>3080008331-СтФ-мрв</t>
  </si>
  <si>
    <t>12845|3080008331-СтФ-мрв|ИУЕИКУ-ПБ(</t>
  </si>
  <si>
    <t>12845|3080008331-СтФ-мрв|ИУЕИКУ-ПБ(рм4 сем.)</t>
  </si>
  <si>
    <t>12837|3080008322-СтФ-мрв|ИУАС(рм5 сем.)</t>
  </si>
  <si>
    <t>3080008322-СтФ-мрв</t>
  </si>
  <si>
    <t>12842|3080008328-СтФ-мрв|ИУЛВС(рм3 сем.)</t>
  </si>
  <si>
    <t>3080008328-СтФ-мрв</t>
  </si>
  <si>
    <t>12841|3080008327-СтФ-мрв|ИУЛВС/5(рм5 сем.)</t>
  </si>
  <si>
    <t>3080008327-СтФ-мрв</t>
  </si>
  <si>
    <t>12833|3080008316-СтФ-мрв|ИУОНИ(рм3 сем.)</t>
  </si>
  <si>
    <t>3080008316-СтФ-мрв</t>
  </si>
  <si>
    <t>12834|3080008317-СтФ-мрв|ИУОНИ(рм5 сем.)</t>
  </si>
  <si>
    <t>3080008317-СтФ-мрв</t>
  </si>
  <si>
    <t>288562|30807533-СтФ-мрв|ИУПР - РО</t>
  </si>
  <si>
    <t>ИУПР - РО</t>
  </si>
  <si>
    <t>30807533-СтФ-мрв</t>
  </si>
  <si>
    <t>288562|30807533-СтФ-мрв|ИУПР-РО не</t>
  </si>
  <si>
    <t>286655|30807533-СтФ-мзв|ИУПР - ЗО (2 сем.)(зм2 сем)</t>
  </si>
  <si>
    <t>30807533-СтФ-мзв</t>
  </si>
  <si>
    <t>286655|30807533-СтФ-мзв|ИУПР-ЗО неиконом.(змнс)</t>
  </si>
  <si>
    <t>12786|3070007303-СтФ-мрв|ИУПС(рм)</t>
  </si>
  <si>
    <t>3070007303-СтФ-мрв</t>
  </si>
  <si>
    <t>12786|3070007303-СтФ-мрв|ИУПС(рм3 сем.)</t>
  </si>
  <si>
    <t>12797|3070007314-СтФ-мрв|ИУПСмп(рм5 сем.)</t>
  </si>
  <si>
    <t>3070007314-СтФ-мрв</t>
  </si>
  <si>
    <t>12797|3070007314-СтФ-мрв|ИУПСмп(рмнс)</t>
  </si>
  <si>
    <t>12817|3070007331-СтФ-мрв|ИУПС(рм2 сем)</t>
  </si>
  <si>
    <t>3070007331-СтФ-мрв</t>
  </si>
  <si>
    <t>12818|3070007332-СтФ-мрв|ИУПС(рм4 сем.)</t>
  </si>
  <si>
    <t>3070007332-СтФ-мрв</t>
  </si>
  <si>
    <t>12838|3080008323-СтФ-мрв|ИУСС(рм3 сем.)</t>
  </si>
  <si>
    <t>3080008323-СтФ-мрв</t>
  </si>
  <si>
    <t>12839|3080008324-СтФ-мрв|ИУСС(рм5 сем.)</t>
  </si>
  <si>
    <t>3080008324-СтФ-мрв</t>
  </si>
  <si>
    <t>12787|3070007304-СтФ-мрв|ИУТ(рм)</t>
  </si>
  <si>
    <t>3070007304-СтФ-мрв</t>
  </si>
  <si>
    <t>12787|3070007304-СтФ-мрв|ИУТ(рм3 сем.)</t>
  </si>
  <si>
    <t>12794|3070007311-СтФ-мрв|ИУТ(рм5 сем.)</t>
  </si>
  <si>
    <t>3070007311-СтФ-мрв</t>
  </si>
  <si>
    <t>12794|3070007311-СтФ-мрв|ИУТ-ПБ(рм5 сем.)</t>
  </si>
  <si>
    <t>12794|3070007311-СтФ-мрв|ИУТмп(рм5 сем.)</t>
  </si>
  <si>
    <t>12794|3070007311-СтФ-мрв|ИУТмп(рмнс)</t>
  </si>
  <si>
    <t>12816|3070007330-СтФ-мрв|ИУТ(рм4 сем.)</t>
  </si>
  <si>
    <t>3070007330-СтФ-мрв</t>
  </si>
  <si>
    <t>30803932-СтФ-брс</t>
  </si>
  <si>
    <t>12775|30803932-СтФ-брс|Икономика и финанси(рб)</t>
  </si>
  <si>
    <t>12895|3080393326-СтФ-мрв|ИФ зимен 2 сем.(рм2 сем)</t>
  </si>
  <si>
    <t>3080393326-СтФ-мрв</t>
  </si>
  <si>
    <t>12895|3080393326-СтФ-мрв|ИФ(рм2 сем)</t>
  </si>
  <si>
    <t>12895|3080393326-СтФ-мрв|ИФ(рмнс)</t>
  </si>
  <si>
    <t>12895|3080393326-СтФ-мрв|ИФ(рмнсл)</t>
  </si>
  <si>
    <t>12826|3080008308-СтФ-мрв|ИФ(рм3 сем.)</t>
  </si>
  <si>
    <t>3080008308-СтФ-мрв</t>
  </si>
  <si>
    <t>12827|3080008309-СтФ-мрв|ИФ(рм5 сем.)</t>
  </si>
  <si>
    <t>3080008309-СтФ-мрв</t>
  </si>
  <si>
    <t>12473|4040007308-ГГФ-мрв|ИГмп(рмл)</t>
  </si>
  <si>
    <t>4040007308-ГГФ-мрв</t>
  </si>
  <si>
    <t>11633|2010020301-ФКНФ-мрв|ИИКО(рм)</t>
  </si>
  <si>
    <t>2010020301-ФКНФ-мрв</t>
  </si>
  <si>
    <t>11633|2010020301-ФКНФ-мрв|ИИКОинд(рмл)</t>
  </si>
  <si>
    <t>11633|2010020301-ФКНФ-мрв|ИИКОинд(рмс)</t>
  </si>
  <si>
    <t>11633|2010020301-ФКНФ-мрв|ИИКОир(рм3 сем.)</t>
  </si>
  <si>
    <t>11634|2010020302-ФКНФ-мрв|ИИКО(рмнс)</t>
  </si>
  <si>
    <t>2010020302-ФКНФ-мрв</t>
  </si>
  <si>
    <t>11634|2010020302-ФКНФ-мрв|ИИКОинд(рмнс)</t>
  </si>
  <si>
    <t>11636|2010021301-ФКНФ-мрв|ИИКОир(рм3 сем.)</t>
  </si>
  <si>
    <t>2010021301-ФКНФ-мрв</t>
  </si>
  <si>
    <t>11636|2010021301-ФКНФ-мрв|ИИКОир(рмс)</t>
  </si>
  <si>
    <t>11638|2010021302-ФКНФ-мрв|ИИКОир(рмнс)</t>
  </si>
  <si>
    <t>2010021302-ФКНФ-мрв</t>
  </si>
  <si>
    <t>624436|2010034302-ФКНФ-мрв|Инд КО(рм)</t>
  </si>
  <si>
    <t>Инд КО(рм)</t>
  </si>
  <si>
    <t>2010034302-ФКНФ-мрв</t>
  </si>
  <si>
    <t>11514|20100202-ФКНФ-брс|Инд(рб)</t>
  </si>
  <si>
    <t>20100202-ФКНФ-брс</t>
  </si>
  <si>
    <t>12302|5110001303-БФ-мрв|ИБ(рм)</t>
  </si>
  <si>
    <t>5110001303-БФ-мрв</t>
  </si>
  <si>
    <t>Индустриални и фармацевтични биотехнологии (2 сем)-Модерна</t>
  </si>
  <si>
    <t>550340|51100133-БФ-мрв|ИФБ(рм)</t>
  </si>
  <si>
    <t>ИФБ(рм)</t>
  </si>
  <si>
    <t>51100133-БФ-мрв</t>
  </si>
  <si>
    <t>11879|40100022-ФзФ-брс|ИФ(рб)</t>
  </si>
  <si>
    <t>40100022-ФзФ-брс</t>
  </si>
  <si>
    <t>11881|40100022-ФзФ-бзс|ИФ(зб)</t>
  </si>
  <si>
    <t>40100022-ФзФ-бзс</t>
  </si>
  <si>
    <t>11881|40100022-ФзФ-бзс|ИФз.о.(зб)</t>
  </si>
  <si>
    <t>11960|4010002301-ФзФ-мрв|ИФ(рм)</t>
  </si>
  <si>
    <t>ИФ(рм)</t>
  </si>
  <si>
    <t>4010002301-ФзФ-мрв</t>
  </si>
  <si>
    <t>12071|40200152-ФХФ-брс|ИХСМ(рб)</t>
  </si>
  <si>
    <t>40200152-ФХФ-брс</t>
  </si>
  <si>
    <t>Иновации в училищното физическо възпитание (2 сем)-Модерна</t>
  </si>
  <si>
    <t>549415|10302943-ФНОИ-мзв|ИУФВ(зм2 сем)</t>
  </si>
  <si>
    <t>ИУФВ(зм2 сем)</t>
  </si>
  <si>
    <t>10302943-ФНОИ-мзв</t>
  </si>
  <si>
    <t>Иновации и дигитална трансформация на агробизнеса</t>
  </si>
  <si>
    <t>602108|30711283-СтФ-мрв|ИДТА - нес</t>
  </si>
  <si>
    <t>ИДТА - нес</t>
  </si>
  <si>
    <t>30711283-СтФ-мрв</t>
  </si>
  <si>
    <t>602108|30711283-СтФ-мрв|Иновации и</t>
  </si>
  <si>
    <t>Иновации и</t>
  </si>
  <si>
    <t>558082|30711283-СтФ-мзв|ИДТА - неспец.(змнс)</t>
  </si>
  <si>
    <t>ИДТА - неспец.(змнс)</t>
  </si>
  <si>
    <t>30711283-СтФ-мзв</t>
  </si>
  <si>
    <t>558082|30711283-СтФ-мзв|Иновации и ДТА(зм2 сем)</t>
  </si>
  <si>
    <t>Иновации и ДТА(зм2 сем)</t>
  </si>
  <si>
    <t>Иновации и мултидисциплинарност в задължителната подготовка по математика, компютърно моделиране и информационни технологии (2 сен.)</t>
  </si>
  <si>
    <t>458209|10302933-ФМИ-мрв|ИМЗПМКМИТ(рм)</t>
  </si>
  <si>
    <t>ИМЗПМКМИТ(рм)</t>
  </si>
  <si>
    <t>10302933-ФМИ-мрв</t>
  </si>
  <si>
    <t>10894|2030001318-ФФ-мрв|ИБ(рм)</t>
  </si>
  <si>
    <t>2030001318-ФФ-мрв</t>
  </si>
  <si>
    <t>10894|2030001318-ФФ-мрв|ИБЕ(рм)</t>
  </si>
  <si>
    <t>10894|2030001318-ФФ-мрв|ИБЕ(рмл)</t>
  </si>
  <si>
    <t>Интелигентна аналитика (2 сем.)-Модерна</t>
  </si>
  <si>
    <t>550154|40200673-ФХФ-мрв|Интелигентна аналити(рмс)</t>
  </si>
  <si>
    <t>Интелигентна аналити(рмс)</t>
  </si>
  <si>
    <t>40200673-ФХФ-мрв</t>
  </si>
  <si>
    <t>11409|2010003321-ФСлФ-мрв|ИА(рм)</t>
  </si>
  <si>
    <t>2010003321-ФСлФ-мрв</t>
  </si>
  <si>
    <t>11410|2010003322-ФСлФ-мрв|Интерпретативна антр(рмл)</t>
  </si>
  <si>
    <t>2010003322-ФСлФ-мрв</t>
  </si>
  <si>
    <t>11410|2010003322-ФСлФ-мрв|Интерпретативна/несп(рм)</t>
  </si>
  <si>
    <t>11410|2010003322-ФСлФ-мрв|Интерпретативна/несп(рмнс)</t>
  </si>
  <si>
    <t>11743|40600032-ФМИ-брс|И</t>
  </si>
  <si>
    <t>40600032-ФМИ-брс</t>
  </si>
  <si>
    <t>11743|40600032-ФМИ-брс|И(рб)</t>
  </si>
  <si>
    <t>11764|40600333-ФМИ-мрс|И(рм-97)</t>
  </si>
  <si>
    <t>И(рм-97)</t>
  </si>
  <si>
    <t>40600333-ФМИ-мрс</t>
  </si>
  <si>
    <t>11764|40600333-ФМИ-мрс|И-97</t>
  </si>
  <si>
    <t>И-97</t>
  </si>
  <si>
    <t>11819|4060003307-ФМИ-мрв|И(рм)</t>
  </si>
  <si>
    <t>4060003307-ФМИ-мрв</t>
  </si>
  <si>
    <t>11819|4060003307-ФМИ-мрв|И-маг</t>
  </si>
  <si>
    <t>И-маг</t>
  </si>
  <si>
    <t>11264|1020005315-ФП-мрв|ИКТО (рм 3 сем)(рмс)</t>
  </si>
  <si>
    <t>1020005315-ФП-мрв</t>
  </si>
  <si>
    <t>11265|1020005315-ФП-мзв|ИКТ (зм 3 сем.)(змнс)</t>
  </si>
  <si>
    <t>1020005315-ФП-мзв</t>
  </si>
  <si>
    <t>11265|1020005315-ФП-мзв|ИКТ в образованието(зм3 сем.)</t>
  </si>
  <si>
    <t>11267|1020005317-ФП-мрв|ИКТ в образованието(рм2 сем)</t>
  </si>
  <si>
    <t>1020005317-ФП-мрв</t>
  </si>
  <si>
    <t>11269|1020005317-ФП-мзв|ИКТ в образованието(зм2 сем)</t>
  </si>
  <si>
    <t>1020005317-ФП-мзв</t>
  </si>
  <si>
    <t>11762|40600282-ФМИ-брс|ИС(рб)</t>
  </si>
  <si>
    <t>40600282-ФМИ-брс</t>
  </si>
  <si>
    <t>11820|4060003308-ФМИ-мрв|ИС неспец.</t>
  </si>
  <si>
    <t>ИС неспец.</t>
  </si>
  <si>
    <t>4060003308-ФМИ-мрв</t>
  </si>
  <si>
    <t>11820|4060003308-ФМИ-мрв|ИС(рмнс)</t>
  </si>
  <si>
    <t>ИС(рмнс)</t>
  </si>
  <si>
    <t>11820|4060003308-ФМИ-мрв|ИС-мнс</t>
  </si>
  <si>
    <t>ИС-мнс</t>
  </si>
  <si>
    <t>11822|4060003309-ФМИ-мрв|ИС спец.</t>
  </si>
  <si>
    <t>4060003309-ФМИ-мрв</t>
  </si>
  <si>
    <t>11822|4060003309-ФМИ-мрв|ИС(мс)</t>
  </si>
  <si>
    <t>11822|4060003309-ФМИ-мрв|ИС(рм)</t>
  </si>
  <si>
    <t>11822|4060003309-ФМИ-мрв|ИС(рмс)</t>
  </si>
  <si>
    <t>583049|4020004304-ФХФ-мзв|ИТХ(зм)</t>
  </si>
  <si>
    <t>ИТХ(зм)</t>
  </si>
  <si>
    <t>4020004304-ФХФ-мзв</t>
  </si>
  <si>
    <t>11842|4060003320-ФМИ-мрв|ИТУ(рм)</t>
  </si>
  <si>
    <t>4060003320-ФМИ-мрв</t>
  </si>
  <si>
    <t>11842|4060003320-ФМИ-мрв|ИТУ(рмс)</t>
  </si>
  <si>
    <t>11844|4060003321-ФМИ-мрв|ИТУ(рмнс)</t>
  </si>
  <si>
    <t>ИТУ(рмнс)</t>
  </si>
  <si>
    <t>4060003321-ФМИ-мрв</t>
  </si>
  <si>
    <t>11851|4060003327-ФМИ-мрв|ИТУП(рм)</t>
  </si>
  <si>
    <t>4060003327-ФМИ-мрв</t>
  </si>
  <si>
    <t>11516|20100212-ФКНФ-брс|Ирн(рб)</t>
  </si>
  <si>
    <t>20100212-ФКНФ-брс</t>
  </si>
  <si>
    <t>11518|20100222-ФКНФ-брс|ИспФ(рб)</t>
  </si>
  <si>
    <t>20100222-ФКНФ-брс</t>
  </si>
  <si>
    <t>624812|20100223-ФКНФ-мрв|Прев-Ред(рм)</t>
  </si>
  <si>
    <t>Прев-Ред(рм)</t>
  </si>
  <si>
    <t>20100223-ФКНФ-мрв</t>
  </si>
  <si>
    <t>624361|20101933-ФКНФ-мрс|ИспФ(рм)</t>
  </si>
  <si>
    <t>ИспФ(рм)</t>
  </si>
  <si>
    <t>20101933-ФКНФ-мрс</t>
  </si>
  <si>
    <t>11151|2020002348-ИФ-мрв|Историко-етн. модели(рмс)</t>
  </si>
  <si>
    <t>2020002348-ИФ-мрв</t>
  </si>
  <si>
    <t>11026|20200022-ИФ-брс|Ист(рб)</t>
  </si>
  <si>
    <t>20200022-ИФ-брс</t>
  </si>
  <si>
    <t>11028|20200022-ИФ-бзс|Ист(зб)</t>
  </si>
  <si>
    <t>20200022-ИФ-бзс</t>
  </si>
  <si>
    <t>588880|20200043-ИФ-мрс|Ист(рм)</t>
  </si>
  <si>
    <t>Ист(рм)</t>
  </si>
  <si>
    <t>20200043-ИФ-мрс</t>
  </si>
  <si>
    <t>11017|10300132-ИФ-брс|ИиГ(рб)</t>
  </si>
  <si>
    <t>10300132-ИФ-брс</t>
  </si>
  <si>
    <t>11068|20200902-ИФ-брс|ИГПБ(рб)</t>
  </si>
  <si>
    <t>20200902-ИФ-брс</t>
  </si>
  <si>
    <t>11160|2020002351-ИФ-мрв|ИСРС от Изт. Азия(рмс)</t>
  </si>
  <si>
    <t>2020002351-ИФ-мрв</t>
  </si>
  <si>
    <t>11160|2020002351-ИФ-мрв|ИСРС от ИзтАзия(рм)</t>
  </si>
  <si>
    <t>11160|2020002351-ИФ-мрв|ИСРС от ИзтАзия(рмс)</t>
  </si>
  <si>
    <t>141836|20200943-ИФ-мрв|ИС на Р-я, ИА и Евр.(рмнс)</t>
  </si>
  <si>
    <t>20200943-ИФ-мрв</t>
  </si>
  <si>
    <t>141836|20200943-ИФ-мрв|ИС на Р-я, ИА и Евр.(рмс)</t>
  </si>
  <si>
    <t>10898|2030001320-ФФ-мрв|ИСФ(рмс)</t>
  </si>
  <si>
    <t>2030001320-ФФ-мрв</t>
  </si>
  <si>
    <t>10900|2030001321-ФФ-мрв|ИСФ(рмнс)</t>
  </si>
  <si>
    <t>2030001321-ФФ-мрв</t>
  </si>
  <si>
    <t>11019|10300572-ИФ-брс|Ист. и философия(рб)</t>
  </si>
  <si>
    <t>10300572-ИФ-брс</t>
  </si>
  <si>
    <t>11021|10302492-ИФ-брс|История и чужд език(рб)</t>
  </si>
  <si>
    <t>10302492-ИФ-брс</t>
  </si>
  <si>
    <t>11172|2020002358-ИФ-мрв|ИЕРИ - 2 сем(рмнс)</t>
  </si>
  <si>
    <t>2020002358-ИФ-мрв</t>
  </si>
  <si>
    <t>11172|2020002358-ИФ-мрв|ИЕРИ - 2 сем(рмс)</t>
  </si>
  <si>
    <t>10918|3010005306-ФФ-мрв|ИЖП(рм4 сем.)</t>
  </si>
  <si>
    <t>3010005306-ФФ-мрв</t>
  </si>
  <si>
    <t>10918|3010005306-ФФ-мрв|ИЖПл(рм4 сем.л)</t>
  </si>
  <si>
    <t>10923|3010005309-ФФ-мрв|ИстЖПсем3(</t>
  </si>
  <si>
    <t>3010005309-ФФ-мрв</t>
  </si>
  <si>
    <t>10923|3010005309-ФФ-мрв|ИстЖПсем3(рм3 сем. ч.ез.)</t>
  </si>
  <si>
    <t>10861|30501063-ФФ-мрв|ИКЧ(рм2 сем)</t>
  </si>
  <si>
    <t>30501063-ФФ-мрв</t>
  </si>
  <si>
    <t>10862|30501063-ФФ-мзв|ИКЧ(зм)</t>
  </si>
  <si>
    <t>30501063-ФФ-мзв</t>
  </si>
  <si>
    <t>10996|3050015309-ФФ-мзв|ИКЧ(змл)</t>
  </si>
  <si>
    <t>3050015309-ФФ-мзв</t>
  </si>
  <si>
    <t>10891|2030001314-ФФ-мрв|ИФ(рмс)</t>
  </si>
  <si>
    <t>2030001314-ФФ-мрв</t>
  </si>
  <si>
    <t>10891|2030001314-ФФ-мрв|ИФ(рмсл)</t>
  </si>
  <si>
    <t>10891|2030001314-ФФ-мрв|История на философия(рмс)</t>
  </si>
  <si>
    <t>10892|2030001315-ФФ-мрв|ИФ(рмнс)</t>
  </si>
  <si>
    <t>2030001315-ФФ-мрв</t>
  </si>
  <si>
    <t>10892|2030001315-ФФ-мрв|ИФ(рмнсл)</t>
  </si>
  <si>
    <t>10892|2030001315-ФФ-мрв|История на философия(рмнс)</t>
  </si>
  <si>
    <t>11520|20100232-ФКНФ-брс|ИтлФ(рб)</t>
  </si>
  <si>
    <t>20100232-ФКНФ-брс</t>
  </si>
  <si>
    <t>11282|1020077303-ФП-мзв|КОИМНО(зм3 сем.)</t>
  </si>
  <si>
    <t>1020077303-ФП-мзв</t>
  </si>
  <si>
    <t>11282|1020077303-ФП-мзв|КОИМО(змнс)</t>
  </si>
  <si>
    <t>12293|4030069301-БФ-мрв|КБХ(рм)</t>
  </si>
  <si>
    <t>4030069301-БФ-мрв</t>
  </si>
  <si>
    <t>12294|4030069301-БФ-мзв|КБХ з.о.(зм)</t>
  </si>
  <si>
    <t>4030069301-БФ-мзв</t>
  </si>
  <si>
    <t>11283|3040002301-ФП-мзв|КПРС(зм2 сем)</t>
  </si>
  <si>
    <t>3040002301-ФП-мзв</t>
  </si>
  <si>
    <t>11284|3040002302-ФП-мзв|КПРС(зм3 сем.)</t>
  </si>
  <si>
    <t>3040002302-ФП-мзв</t>
  </si>
  <si>
    <t>11970|4010002309-ФзФ-мрв|КЕЛТ(рм)</t>
  </si>
  <si>
    <t>4010002309-ФзФ-мрв</t>
  </si>
  <si>
    <t>11970|4010002309-ФзФ-мрв|КЕЛТ(рм3 сем.)</t>
  </si>
  <si>
    <t>11923|40100362-ФзФ-брс|ККТФ(рб)</t>
  </si>
  <si>
    <t>40100362-ФзФ-брс</t>
  </si>
  <si>
    <t>259555|40100843-ФзФ-мрв|Кв.Инф.(рм3 сем.)</t>
  </si>
  <si>
    <t>40100843-ФзФ-мрв</t>
  </si>
  <si>
    <t>12699|1020012322-ФНОИ-мрв|КинНСЗ(рмнс)</t>
  </si>
  <si>
    <t>КинНСЗ(рмнс)</t>
  </si>
  <si>
    <t>1020012322-ФНОИ-мрв</t>
  </si>
  <si>
    <t>12701|1020012323-ФНОИ-мрв|КинНСЗ(рм)</t>
  </si>
  <si>
    <t>КинНСЗ(рм)</t>
  </si>
  <si>
    <t>1020012323-ФНОИ-мрв</t>
  </si>
  <si>
    <t>12700|1020012322-ФНОИ-мзв|КинНСЗ(змнс)</t>
  </si>
  <si>
    <t>КинНСЗ(змнс)</t>
  </si>
  <si>
    <t>1020012322-ФНОИ-мзв</t>
  </si>
  <si>
    <t>12702|1020012323-ФНОИ-мзв|КинНСЗ(зм)</t>
  </si>
  <si>
    <t>КинНСЗ(зм)</t>
  </si>
  <si>
    <t>1020012323-ФНОИ-мзв</t>
  </si>
  <si>
    <t>11522|20100242-ФКНФ-брс|Кит(рб)</t>
  </si>
  <si>
    <t>20100242-ФКНФ-брс</t>
  </si>
  <si>
    <t>11524|20100252-ФКНФ-брс|КлФ(рб)</t>
  </si>
  <si>
    <t>20100252-ФКНФ-брс</t>
  </si>
  <si>
    <t>259353|20103723-ФКНФ-мрв|КлЕзИАнтЛит(рм2 сем)</t>
  </si>
  <si>
    <t>20103723-ФКНФ-мрв</t>
  </si>
  <si>
    <t>259354|20103733-ФКНФ-мрв|КлЕзИАнтЛит(рм4 сем.)</t>
  </si>
  <si>
    <t>20103733-ФКНФ-мрв</t>
  </si>
  <si>
    <t>12241|4030001306-БФ-мрв|КлБиП(рм)</t>
  </si>
  <si>
    <t>4030001306-БФ-мрв</t>
  </si>
  <si>
    <t>10930|3020001303-ФФ-мрв|ККП(рм)</t>
  </si>
  <si>
    <t>3020001303-ФФ-мрв</t>
  </si>
  <si>
    <t>10930|3020001303-ФФ-мрв|КЛК+ПР(рм5 сем.)</t>
  </si>
  <si>
    <t>10944|3020001313-ФФ-мрв|КП(рм3 сем.)</t>
  </si>
  <si>
    <t>3020001313-ФФ-мрв</t>
  </si>
  <si>
    <t>10951|3020001317-ФФ-мрв|КлПсих5(рм5 сем.)</t>
  </si>
  <si>
    <t>3020001317-ФФ-мрв</t>
  </si>
  <si>
    <t>11286|3040002303-ФП-мзв|КСР(зм2 сем)</t>
  </si>
  <si>
    <t>3040002303-ФП-мзв</t>
  </si>
  <si>
    <t>11288|3040002304-ФП-мзв|КСР(зм3 сем.)</t>
  </si>
  <si>
    <t>3040002304-ФП-мзв</t>
  </si>
  <si>
    <t>12914|30500162-ФЖМК-брс|КИ(рб)</t>
  </si>
  <si>
    <t>30500162-ФЖМК-брс</t>
  </si>
  <si>
    <t>12949|3050016302-ФЖМК-мзв|КН21(зм)</t>
  </si>
  <si>
    <t>3050016302-ФЖМК-мзв</t>
  </si>
  <si>
    <t>12141|4020015307-ФХФ-мрв|Козметика и битова х(рм)</t>
  </si>
  <si>
    <t>4020015307-ФХФ-мрв</t>
  </si>
  <si>
    <t>12144|4020015307-ФХФ-мзв|Козметика и битова х(зм)</t>
  </si>
  <si>
    <t>4020015307-ФХФ-мзв</t>
  </si>
  <si>
    <t>188685|40200583-ФХФ-мзв|Козметика и битова х(зм4 сем.л)</t>
  </si>
  <si>
    <t>40200583-ФХФ-мзв</t>
  </si>
  <si>
    <t>12103|4020004305-ФХФ-мрв|КССНТ(рм)</t>
  </si>
  <si>
    <t>КССНТ(рм)</t>
  </si>
  <si>
    <t>4020004305-ФХФ-мрв</t>
  </si>
  <si>
    <t>12104|4020004305-ФХФ-мзв|КССНТ(зм)</t>
  </si>
  <si>
    <t>КССНТ(зм)</t>
  </si>
  <si>
    <t>4020004305-ФХФ-мзв</t>
  </si>
  <si>
    <t>11831|4060003314-ФМИ-мрв|КГ(рм)</t>
  </si>
  <si>
    <t>4060003314-ФМИ-мрв</t>
  </si>
  <si>
    <t>11831|4060003314-ФМИ-мрв|КомпГраф(рм)</t>
  </si>
  <si>
    <t>11831|4060003314-ФМИ-мрв|КомпГраф(рмс)</t>
  </si>
  <si>
    <t>11832|4060003314-ФМИ-мрв|КомпГраф(рмнс)</t>
  </si>
  <si>
    <t>11853|4060003328-ФМИ-мрв|КомпЛингв(рм)</t>
  </si>
  <si>
    <t>4060003328-ФМИ-мрв</t>
  </si>
  <si>
    <t>11380|2010003302-ФСлФ-мрв|КлИт(рм)</t>
  </si>
  <si>
    <t>2010003302-ФСлФ-мрв</t>
  </si>
  <si>
    <t>608435|2010003302-ФСлФ-мзв|КлИтХум(зм)</t>
  </si>
  <si>
    <t>КлИтХум(зм)</t>
  </si>
  <si>
    <t>2010003302-ФСлФ-мзв</t>
  </si>
  <si>
    <t>12058|40200012-ФХФ-брс|КХ(рб)</t>
  </si>
  <si>
    <t>40200012-ФХФ-брс</t>
  </si>
  <si>
    <t>11752|40600082-ФМИ-брс|КН(рб)</t>
  </si>
  <si>
    <t>40600082-ФМИ-брс</t>
  </si>
  <si>
    <t>11953|50301612-ФзФ-брс|КИ(рб)</t>
  </si>
  <si>
    <t>50301612-ФзФ-брс</t>
  </si>
  <si>
    <t>11899|40100212-ФзФ-брс|КФЕ(рб)</t>
  </si>
  <si>
    <t>40100212-ФзФ-брс</t>
  </si>
  <si>
    <t>11899|40100212-ФзФ-брс|КФЕ~(рб)</t>
  </si>
  <si>
    <t>11952|50301572-ФзФ-брс|КФЕ1(рб)</t>
  </si>
  <si>
    <t>50301572-ФзФ-брс</t>
  </si>
  <si>
    <t>11900|40100213-ФзФ-мрв|КФЕ(рм2 сем)</t>
  </si>
  <si>
    <t>40100213-ФзФ-мрв</t>
  </si>
  <si>
    <t>12039|5030000305-ФзФ-мрв|КФЕ(рм2 сем)</t>
  </si>
  <si>
    <t>5030000305-ФзФ-мрв</t>
  </si>
  <si>
    <t>12920|30501262-ФЖМК-брс|КМ(рб)</t>
  </si>
  <si>
    <t>30501262-ФЖМК-брс</t>
  </si>
  <si>
    <t>12036|5030000304-ФзФ-мрв|ККТ(рм3 сем.)</t>
  </si>
  <si>
    <t>5030000304-ФзФ-мрв</t>
  </si>
  <si>
    <t>11611|2010001316-ФКНФ-мрв|КоЕзЛиМе(рмнс ч.ез.)</t>
  </si>
  <si>
    <t>2010001316-ФКНФ-мрв</t>
  </si>
  <si>
    <t>11611|2010001316-ФКНФ-мрв|КоЕзЛиМе(рмнс)</t>
  </si>
  <si>
    <t>11611|2010001316-ФКНФ-мрв|КоЕзЛиМе-спец(рмс ч.ез.)</t>
  </si>
  <si>
    <t>11613|2010001316-ФКНФ-мзв|КоЕзЛиМе(змнс ч.ез.)</t>
  </si>
  <si>
    <t>2010001316-ФКНФ-мзв</t>
  </si>
  <si>
    <t>11613|2010001316-ФКНФ-мзв|КоЕзЛиМе(змнс)</t>
  </si>
  <si>
    <t>11613|2010001316-ФКНФ-мзв|КоЕзЛиМе(змнсл)</t>
  </si>
  <si>
    <t>11613|2010001316-ФКНФ-мзв|КоЕзЛиМе-спец(змс ч.ез.)</t>
  </si>
  <si>
    <t>11603|2010001312-ФКНФ-мрв|КоЕзЛиМе(рм)</t>
  </si>
  <si>
    <t>2010001312-ФКНФ-мрв</t>
  </si>
  <si>
    <t>11603|2010001312-ФКНФ-мрв|КоЕзЛиМе(рмс ч.ез.)</t>
  </si>
  <si>
    <t>11603|2010001312-ФКНФ-мрв|КоЕзЛиМе(рмс)</t>
  </si>
  <si>
    <t>11604|2010001312-ФКНФ-мзв|КЕУЛКМГ(зм)</t>
  </si>
  <si>
    <t>2010001312-ФКНФ-мзв</t>
  </si>
  <si>
    <t>11604|2010001312-ФКНФ-мзв|КоЕзЛиМе(зм)</t>
  </si>
  <si>
    <t>11604|2010001312-ФКНФ-мзв|КоЕзЛиМе(змс ч.ез.)</t>
  </si>
  <si>
    <t>11604|2010001312-ФКНФ-мзв|КоЕзЛиМе(змс)</t>
  </si>
  <si>
    <t>12689|1020010311-ФНОИ-мрв|КСППСром(рм)</t>
  </si>
  <si>
    <t>1020010311-ФНОИ-мрв</t>
  </si>
  <si>
    <t>12691|1020010312-ФНОИ-мзв|КСППСзом(зм)</t>
  </si>
  <si>
    <t>1020010312-ФНОИ-мзв</t>
  </si>
  <si>
    <t>11597|2010001304-ФКНФ-мрв|КП(рм)</t>
  </si>
  <si>
    <t>2010001304-ФКНФ-мрв</t>
  </si>
  <si>
    <t>11597|2010001304-ФКНФ-мрв|КП-ан(рм)</t>
  </si>
  <si>
    <t>11615|2010004307-ФКНФ-мрв|КП-не(рм)</t>
  </si>
  <si>
    <t>2010004307-ФКНФ-мрв</t>
  </si>
  <si>
    <t>11618|2010013302-ФКНФ-мрв|КП(рм)</t>
  </si>
  <si>
    <t>2010013302-ФКНФ-мрв</t>
  </si>
  <si>
    <t>11618|2010013302-ФКНФ-мрв|КП-фр(рм)</t>
  </si>
  <si>
    <t>11642|2010022304-ФКНФ-мрв|КП-ис(рм)</t>
  </si>
  <si>
    <t>КП-ис(рм)</t>
  </si>
  <si>
    <t>2010022304-ФКНФ-мрв</t>
  </si>
  <si>
    <t>11677|2010337301-ФКНФ-мрв|КП(нфске)(рм)</t>
  </si>
  <si>
    <t>2010337301-ФКНФ-мрв</t>
  </si>
  <si>
    <t>11677|2010337301-ФКНФ-мрв|КП(нфске)(рм2 сем)</t>
  </si>
  <si>
    <t>11526|20100262-ФКНФ-брс|Кор(рб)</t>
  </si>
  <si>
    <t>20100262-ФКНФ-брс</t>
  </si>
  <si>
    <t>12868|3080393307-СтФ-мрв|КССС(рм2 сем)</t>
  </si>
  <si>
    <t>3080393307-СтФ-мрв</t>
  </si>
  <si>
    <t>12851|3080008337-СтФ-мрв|КССС(рм2 сем)</t>
  </si>
  <si>
    <t>3080008337-СтФ-мрв</t>
  </si>
  <si>
    <t>12852|3080008338-СтФ-мрв|КССС-4(рм4 сем.)</t>
  </si>
  <si>
    <t>3080008338-СтФ-мрв</t>
  </si>
  <si>
    <t>11972|4010003216-ФзФ-мрв|КИ(рм)</t>
  </si>
  <si>
    <t>4010003216-ФзФ-мрв</t>
  </si>
  <si>
    <t>11972|4010003216-ФзФ-мрв|КИ(рм3 сем.)</t>
  </si>
  <si>
    <t>11988|4010003319-ФзФ-мрв|КИз(рм5 сем.)</t>
  </si>
  <si>
    <t>4010003319-ФзФ-мрв</t>
  </si>
  <si>
    <t>12927|3050005303-ФЖМК-мзв|КК(зм)</t>
  </si>
  <si>
    <t>3050005303-ФЖМК-мзв</t>
  </si>
  <si>
    <t>12927|3050005303-ФЖМК-мзв|КК(змл)</t>
  </si>
  <si>
    <t>12927|3050005303-ФЖМК-мзв|КК-л(змл)</t>
  </si>
  <si>
    <t>141835|20200933-ИФ-мрв|ККДСП(рм2 сем)</t>
  </si>
  <si>
    <t>20200933-ИФ-мрв</t>
  </si>
  <si>
    <t>11155|2020002349-ИФ-мрв|ККДСП ХVІ - ХХІ(рмс)</t>
  </si>
  <si>
    <t>2020002349-ИФ-мрв</t>
  </si>
  <si>
    <t>11155|2020002349-ИФ-мрв|ККДСП ХVІ-ХХІ век(рмнс)</t>
  </si>
  <si>
    <t>11155|2020002349-ИФ-мрв|ККДСП ХVІ-ХХІ(рмс)</t>
  </si>
  <si>
    <t>11116|2020002325-ИФ-мрв|ККДСП(рмнс)</t>
  </si>
  <si>
    <t>ККДСП(рмнс)</t>
  </si>
  <si>
    <t>2020002325-ИФ-мрв</t>
  </si>
  <si>
    <t>11117|2020002325-ИФ-мзв|ККДСП(змнс)</t>
  </si>
  <si>
    <t>ККДСП(змнс)</t>
  </si>
  <si>
    <t>2020002325-ИФ-мзв</t>
  </si>
  <si>
    <t>11101|2020002313-ИФ-мрв|ККДСП(рмс)</t>
  </si>
  <si>
    <t>2020002313-ИФ-мрв</t>
  </si>
  <si>
    <t>11102|2020002313-ИФ-мзв|ККДСП(змс)</t>
  </si>
  <si>
    <t>2020002313-ИФ-мзв</t>
  </si>
  <si>
    <t>11668|2010031302-ФКНФ-мрв|КултУнг(рм3 сем.)</t>
  </si>
  <si>
    <t>2010031302-ФКНФ-мрв</t>
  </si>
  <si>
    <t>12405|3090001301-ГГФ-мзв|КТ(зм)</t>
  </si>
  <si>
    <t>3090001301-ГГФ-мзв</t>
  </si>
  <si>
    <t>10925|3010005310-ФФ-мрв|КА2(рм2 сем)</t>
  </si>
  <si>
    <t>3010005310-ФФ-мрв</t>
  </si>
  <si>
    <t>274375|30100823-ФФ-мрв|КАнов(рм)</t>
  </si>
  <si>
    <t>30100823-ФФ-мрв</t>
  </si>
  <si>
    <t>10919|3010005307-ФФ-мрв|КА(рм)</t>
  </si>
  <si>
    <t>3010005307-ФФ-мрв</t>
  </si>
  <si>
    <t>12440|4040002318-ГГФ-мрв|КПГ(рм)</t>
  </si>
  <si>
    <t>4040002318-ГГФ-мрв</t>
  </si>
  <si>
    <t>11601|2010001311-ФКНФ-мрв|КВ(рм)</t>
  </si>
  <si>
    <t>2010001311-ФКНФ-мрв</t>
  </si>
  <si>
    <t>11681|3030026301-ФКНФ-мрв|КВиГЕС(рм ч.ез.)</t>
  </si>
  <si>
    <t>3030026301-ФКНФ-мрв</t>
  </si>
  <si>
    <t>11681|3030026301-ФКНФ-мрв|КВиГЕС(рм)</t>
  </si>
  <si>
    <t>11684|3030026301-ФКНФ-мзв|КВиГЕС(зм)</t>
  </si>
  <si>
    <t>3030026301-ФКНФ-мзв</t>
  </si>
  <si>
    <t>10776|30100052-ФФ-брс|К.(рб)</t>
  </si>
  <si>
    <t>30100052-ФФ-брс</t>
  </si>
  <si>
    <t>12460|4040002331-ГГФ-мрв|ЛЕПК(рмс)</t>
  </si>
  <si>
    <t>4040002331-ГГФ-мрв</t>
  </si>
  <si>
    <t>12462|4040002331-ГГФ-мзв|ЛЕПК(змс)</t>
  </si>
  <si>
    <t>4040002331-ГГФ-мзв</t>
  </si>
  <si>
    <t>12939|3050006311-ФЖМК-мзв|ЛЖ(зм)</t>
  </si>
  <si>
    <t>3050006311-ФЖМК-мзв</t>
  </si>
  <si>
    <t>12939|3050006311-ФЖМК-мзв|ЛЖ-л(зм3 сем.л)</t>
  </si>
  <si>
    <t>12946|3050006318-ФЖМК-мзв|ЛЖ-2(зм2 сем)</t>
  </si>
  <si>
    <t>3050006318-ФЖМК-мзв</t>
  </si>
  <si>
    <t>671966|4040002333-ГГФ-мрв|ЛЕПК(рмнсл)</t>
  </si>
  <si>
    <t>ЛЕПК(рмнсл)</t>
  </si>
  <si>
    <t>4040002333-ГГФ-мрв</t>
  </si>
  <si>
    <t>12466|4040002333-ГГФ-мзв|ЛЕПК(змнсл)</t>
  </si>
  <si>
    <t>4040002333-ГГФ-мзв</t>
  </si>
  <si>
    <t>11438|2010003335-ФСлФ-мрв|Лингвистика/Несп(рмнс)</t>
  </si>
  <si>
    <t>2010003335-ФСлФ-мрв</t>
  </si>
  <si>
    <t>11412|2010003323-ФСлФ-мрв|Лингвистика - езиков(рмл)</t>
  </si>
  <si>
    <t>2010003323-ФСлФ-мрв</t>
  </si>
  <si>
    <t>11412|2010003323-ФСлФ-мрв|Лингвистика езикова(рм)</t>
  </si>
  <si>
    <t>11412|2010003323-ФСлФ-мрв|Лингвистика езикови(рм)</t>
  </si>
  <si>
    <t>11403|2010003316-ФСлФ-мрв|ЛКВК(рмс)</t>
  </si>
  <si>
    <t>2010003316-ФСлФ-мрв</t>
  </si>
  <si>
    <t>11405|2010003317-ФСлФ-мрв|ЛКВК(рмнс)</t>
  </si>
  <si>
    <t>2010003317-ФСлФ-мрв</t>
  </si>
  <si>
    <t>11382|2010003305-ФСлФ-мрв|Л ТП(рм2 сем)</t>
  </si>
  <si>
    <t>2010003305-ФСлФ-мрв</t>
  </si>
  <si>
    <t>11401|2010003315-ФСлФ-мрв|ЛТПмп(рмнс)</t>
  </si>
  <si>
    <t>2010003315-ФСлФ-мрв</t>
  </si>
  <si>
    <t>11384|2010003306-ФСлФ-мрв|ЛЗ(рм)</t>
  </si>
  <si>
    <t>2010003306-ФСлФ-мрв</t>
  </si>
  <si>
    <t>11421|2010003328-ФСлФ-мрв|Литературознание(рмнс)</t>
  </si>
  <si>
    <t>2010003328-ФСлФ-мрв</t>
  </si>
  <si>
    <t>11483|2040001316-БсФ-мзв|Литургия и музика(зм2 сем)</t>
  </si>
  <si>
    <t>2040001316-БсФ-мзв</t>
  </si>
  <si>
    <t>11483|2040001316-БсФ-мзв|Литургия и музика(змс)</t>
  </si>
  <si>
    <t>11485|2040001317-БсФ-мзв|ЛМ/задочно/4сем/(зм4 сем.)</t>
  </si>
  <si>
    <t>2040001317-БсФ-мзв</t>
  </si>
  <si>
    <t>11485|2040001317-БсФ-мзв|ЛМ/задочно/4сем/(змнс)</t>
  </si>
  <si>
    <t>11781|4050001302-ФМИ-мрв|ЛиА мат(м)</t>
  </si>
  <si>
    <t>4050001302-ФМИ-мрв</t>
  </si>
  <si>
    <t>11781|4050001302-ФМИ-мрв|ЛиА(рм)</t>
  </si>
  <si>
    <t>11781|4050001302-ФМИ-мрв|ЛиА-М(м)</t>
  </si>
  <si>
    <t>11781|4050001302-ФМИ-мрв|ЛиА-мат(рм)</t>
  </si>
  <si>
    <t>11824|4060003310-ФМИ-мрв|ЛиА инф(м)</t>
  </si>
  <si>
    <t>4060003310-ФМИ-мрв</t>
  </si>
  <si>
    <t>11824|4060003310-ФМИ-мрв|ЛиА(рм)</t>
  </si>
  <si>
    <t>11824|4060003310-ФМИ-мрв|ЛиА-И(м)</t>
  </si>
  <si>
    <t>11824|4060003310-ФМИ-мрв|ЛиА-инф(рм)</t>
  </si>
  <si>
    <t>11793|4050001309-ФМИ-мрв|ЛА(рм)</t>
  </si>
  <si>
    <t>4050001309-ФМИ-мрв</t>
  </si>
  <si>
    <t>11793|4050001309-ФМИ-мрв|ЛА-на англ.(рм ч.ез.)</t>
  </si>
  <si>
    <t>11793|4050001309-ФМИ-мрв|ЛА-на англ.(рм)</t>
  </si>
  <si>
    <t>12564|10200022-ФНОИ-брс|Логоп.(рб)</t>
  </si>
  <si>
    <t>10200022-ФНОИ-брс</t>
  </si>
  <si>
    <t>12658|1020002301-ФНОИ-мрв|Л(рм)</t>
  </si>
  <si>
    <t>Л(рм)</t>
  </si>
  <si>
    <t>1020002301-ФНОИ-мрв</t>
  </si>
  <si>
    <t>12658|1020002301-ФНОИ-мрв|Л(рмнс)</t>
  </si>
  <si>
    <t>Л(рмнс)</t>
  </si>
  <si>
    <t>12658|1020002301-ФНОИ-мрв|Л(рмчс)(рм3 сем.)</t>
  </si>
  <si>
    <t>Л(рмчс)(рм3 сем.)</t>
  </si>
  <si>
    <t>12658|1020002301-ФНОИ-мрв|Логнесп(рмлп)(рмнсл)</t>
  </si>
  <si>
    <t>Логнесп(рмлп)(рмнсл)</t>
  </si>
  <si>
    <t>12658|1020002301-ФНОИ-мрв|Логопнесп(рм3 сем.)</t>
  </si>
  <si>
    <t>Логопнесп(рм3 сем.)</t>
  </si>
  <si>
    <t>12660|1020002302-ФНОИ-мрв|ЛогМ лет.пр(рмл)</t>
  </si>
  <si>
    <t>1020002302-ФНОИ-мрв</t>
  </si>
  <si>
    <t>12660|1020002302-ФНОИ-мрв|Логбългари(рм4 сем.)</t>
  </si>
  <si>
    <t>12660|1020002302-ФНОИ-мрв|Логдр.спец.(рм4 сем.)</t>
  </si>
  <si>
    <t>12662|1020002302-ФНОИ-мзв|Л(змнс)</t>
  </si>
  <si>
    <t>1020002302-ФНОИ-мзв</t>
  </si>
  <si>
    <t>12662|1020002302-ФНОИ-мзв|Логбългаризо(зм4 сем.)</t>
  </si>
  <si>
    <t>12662|1020002302-ФНОИ-мзв|Логопнесп(зм4 сем.)</t>
  </si>
  <si>
    <t>12664|1020002303-ФНОИ-мрв|Лог-КНР(рм3 сем.)</t>
  </si>
  <si>
    <t>1020002303-ФНОИ-мрв</t>
  </si>
  <si>
    <t>12664|1020002303-ФНОИ-мрв|Лог-КНР3(рм3 сем.)</t>
  </si>
  <si>
    <t>12665|1020002303-ФНОИ-мзв|Лог-КНР(зм3 сем.)</t>
  </si>
  <si>
    <t>1020002303-ФНОИ-мзв</t>
  </si>
  <si>
    <t>12823|3080008304-СтФ-мрв|МИ(рм3 сем.)</t>
  </si>
  <si>
    <t>3080008304-СтФ-мрв</t>
  </si>
  <si>
    <t>12828|3080008311-СтФ-мрв|МИ(рм5 сем.)</t>
  </si>
  <si>
    <t>3080008311-СтФ-мрв</t>
  </si>
  <si>
    <t>11703|40500012-ФМИ-брс|М</t>
  </si>
  <si>
    <t>40500012-ФМИ-брс</t>
  </si>
  <si>
    <t>11703|40500012-ФМИ-брс|М(рб)</t>
  </si>
  <si>
    <t>11694|10300142-ФМИ-брс|МИ</t>
  </si>
  <si>
    <t>10300142-ФМИ-брс</t>
  </si>
  <si>
    <t>11694|10300142-ФМИ-брс|МИ(рб)</t>
  </si>
  <si>
    <t>11696|10300142-ФМИ-бзс|МИ(з)</t>
  </si>
  <si>
    <t>10300142-ФМИ-бзс</t>
  </si>
  <si>
    <t>11696|10300142-ФМИ-бзс|МИ(зб)</t>
  </si>
  <si>
    <t>11782|4050001303-ФМИ-мрв|ММФ</t>
  </si>
  <si>
    <t>ММФ</t>
  </si>
  <si>
    <t>4050001303-ФМИ-мрв</t>
  </si>
  <si>
    <t>11782|4050001303-ФМИ-мрв|ММФ(м)</t>
  </si>
  <si>
    <t>ММФ(м)</t>
  </si>
  <si>
    <t>11782|4050001303-ФМИ-мрв|ММФ(рм)</t>
  </si>
  <si>
    <t>ММФ(рм)</t>
  </si>
  <si>
    <t>11797|4050003303-ФМИ-мрв|ММИ(м)</t>
  </si>
  <si>
    <t>4050003303-ФМИ-мрв</t>
  </si>
  <si>
    <t>11797|4050003303-ФМИ-мрв|ММИ(рм)</t>
  </si>
  <si>
    <t>11797|4050003303-ФМИ-мрв|ММИ-летен(рмл)</t>
  </si>
  <si>
    <t>11810|4050003310-ФМИ-мрв|ММИ(рмл)</t>
  </si>
  <si>
    <t>4050003310-ФМИ-мрв</t>
  </si>
  <si>
    <t>11798|4050003303-ФМИ-мзв|ММИ(зм)</t>
  </si>
  <si>
    <t>ММИ(зм)</t>
  </si>
  <si>
    <t>4050003303-ФМИ-мзв</t>
  </si>
  <si>
    <t>11847|4060003324-ФМИ-мрв|ММИ_инф(рм)</t>
  </si>
  <si>
    <t>ММИ_инф(рм)</t>
  </si>
  <si>
    <t>4060003324-ФМИ-мрв</t>
  </si>
  <si>
    <t>11799|4050003304-ФМИ-мрв|ММиПМ</t>
  </si>
  <si>
    <t>ММиПМ</t>
  </si>
  <si>
    <t>4050003304-ФМИ-мрв</t>
  </si>
  <si>
    <t>11799|4050003304-ФМИ-мрв|ММиПМ несп</t>
  </si>
  <si>
    <t>ММиПМ несп</t>
  </si>
  <si>
    <t>11799|4050003304-ФМИ-мрв|ММиПМ(м)</t>
  </si>
  <si>
    <t>ММиПМ(м)</t>
  </si>
  <si>
    <t>11799|4050003304-ФМИ-мрв|ММиПМ(рм)</t>
  </si>
  <si>
    <t>ММиПМ(рм)</t>
  </si>
  <si>
    <t>11799|4050003304-ФМИ-мрв|ММиПМ(рмнс)</t>
  </si>
  <si>
    <t>ММиПМ(рмнс)</t>
  </si>
  <si>
    <t>11799|4050003304-ФМИ-мрв|ММиПМ(рмс)</t>
  </si>
  <si>
    <t>ММиПМ(рмс)</t>
  </si>
  <si>
    <t>12105|4020004306-ФХФ-мрв|Мат(рм)</t>
  </si>
  <si>
    <t>4020004306-ФХФ-мрв</t>
  </si>
  <si>
    <t>12947|3050006319-ФЖМК-мзв|МД(зм3 сем.)</t>
  </si>
  <si>
    <t>3050006319-ФЖМК-мзв</t>
  </si>
  <si>
    <t>11103|2020002314-ИФ-мрв|МИП(рмс)</t>
  </si>
  <si>
    <t>2020002314-ИФ-мрв</t>
  </si>
  <si>
    <t>10917|3010005305-ФФ-мрв|МКК(рм)</t>
  </si>
  <si>
    <t>3010005305-ФФ-мрв</t>
  </si>
  <si>
    <t>10921|3010005308-ФФ-мрв|Медии, комуникация, (рм2 сем)</t>
  </si>
  <si>
    <t>3010005308-ФФ-мрв</t>
  </si>
  <si>
    <t>12625|10201922-ФНОИ-брс|МПХК(рб)</t>
  </si>
  <si>
    <t>10201922-ФНОИ-брс</t>
  </si>
  <si>
    <t>12954|70100013-МФ-мрс|Мед(рм)</t>
  </si>
  <si>
    <t>70100013-МФ-мрс</t>
  </si>
  <si>
    <t>12964|70100833-МФ-мрс|Мед (англ.)(рм ч.ез.)</t>
  </si>
  <si>
    <t>70100833-МФ-мрс</t>
  </si>
  <si>
    <t>12106|4020004307-ФХФ-мрв|МФБФХ(рм)</t>
  </si>
  <si>
    <t>4020004307-ФХФ-мрв</t>
  </si>
  <si>
    <t>12125|4020012303-ФХФ-мрв|МФБФХ(рм)</t>
  </si>
  <si>
    <t>4020012303-ФХФ-мрв</t>
  </si>
  <si>
    <t>12966|70400012-МФ-брс|МРЕ(рб)</t>
  </si>
  <si>
    <t>70400012-МФ-брс</t>
  </si>
  <si>
    <t>12969|70500042-МФ-брс|МедС(рб)</t>
  </si>
  <si>
    <t>70500042-МФ-брс</t>
  </si>
  <si>
    <t>11897|40100172-ФзФ-брс|МФ(рб)</t>
  </si>
  <si>
    <t>40100172-ФзФ-брс</t>
  </si>
  <si>
    <t>11935|40100593-ФзФ-мрв|МФ(рм4 сем.)</t>
  </si>
  <si>
    <t>40100593-ФзФ-мрв</t>
  </si>
  <si>
    <t>12021|4010017201-ФзФ-мрв|МФ(рм2 сем)</t>
  </si>
  <si>
    <t>4010017201-ФзФ-мрв</t>
  </si>
  <si>
    <t>11993|4010003323-ФзФ-мрв|МФ 2с(рм2 сем)</t>
  </si>
  <si>
    <t>МФ 2с(рм2 сем)</t>
  </si>
  <si>
    <t>4010003323-ФзФ-мрв</t>
  </si>
  <si>
    <t>11974|4010003304-ФзФ-мрв|МФмп3ро(рм3 сем.)</t>
  </si>
  <si>
    <t>МФмп3ро(рм3 сем.)</t>
  </si>
  <si>
    <t>4010003304-ФзФ-мрв</t>
  </si>
  <si>
    <t>12023|4010017202-ФзФ-мрв|МФ(рм3 сем.)</t>
  </si>
  <si>
    <t>4010017202-ФзФ-мрв</t>
  </si>
  <si>
    <t>12023|4010017202-ФзФ-мрв|Медицинска физика(рм3 сем.)</t>
  </si>
  <si>
    <t>11975|4010003305-ФзФ-мрв|МФ(рм4 сем.)</t>
  </si>
  <si>
    <t>4010003305-ФзФ-мрв</t>
  </si>
  <si>
    <t>Медицинска физика (на английски език)(3 сем.)</t>
  </si>
  <si>
    <t>458410|40100863-ФзФ-мрв|МФ-Англ.ез.(рм3 сем. ч.ез.)</t>
  </si>
  <si>
    <t>МФ-Англ.ез.(рм3 сем. ч.ез.)</t>
  </si>
  <si>
    <t>40100863-ФзФ-мрв</t>
  </si>
  <si>
    <t>12107|4020004308-ФХФ-мрв|МХ(рм)</t>
  </si>
  <si>
    <t>4020004308-ФХФ-мрв</t>
  </si>
  <si>
    <t>12124|4020012302-ФХФ-мрв|МХ(рм)</t>
  </si>
  <si>
    <t>4020012302-ФХФ-мрв</t>
  </si>
  <si>
    <t>11653|2010024303-ФКНФ-мрв|МКиПКиБЕ(рм2 сем)</t>
  </si>
  <si>
    <t>2010024303-ФКНФ-мрв</t>
  </si>
  <si>
    <t>11654|2010024304-ФКНФ-мрв|МКиПКиБЕ(рм4 сем.)</t>
  </si>
  <si>
    <t>2010024304-ФКНФ-мрв</t>
  </si>
  <si>
    <t>Международен финансов мениджмънт (на английски език)-3сем.</t>
  </si>
  <si>
    <t>МФМ на АЕ - неик.(рмнс ч.ез.)</t>
  </si>
  <si>
    <t>МФМ на АЕ(рм3 сем. ч.ез.)</t>
  </si>
  <si>
    <t>12933|3050006305-ФЖМК-мрв|МЖ(рм)</t>
  </si>
  <si>
    <t>3050006305-ФЖМК-мрв</t>
  </si>
  <si>
    <t>12934|3050006305-ФЖМК-мзв|МЖ(зм2 сем)</t>
  </si>
  <si>
    <t>3050006305-ФЖМК-мзв</t>
  </si>
  <si>
    <t>12937|3050006309-ФЖМК-мзв|МЖ(зм3 сем.)</t>
  </si>
  <si>
    <t>3050006309-ФЖМК-мзв</t>
  </si>
  <si>
    <t>258840|30300733-ЮФ-мрв|МС(рм2 сем)</t>
  </si>
  <si>
    <t>30300733-ЮФ-мрв</t>
  </si>
  <si>
    <t>12550|3030010304-ЮФ-мрв|МС(рм3 сем.)</t>
  </si>
  <si>
    <t>3030010304-ЮФ-мрв</t>
  </si>
  <si>
    <t>12550|3030010304-ЮФ-мрв|МС(рм3 сем.л)</t>
  </si>
  <si>
    <t>12548|3030010303-ЮФ-мрв|МС(рм4 сем.)</t>
  </si>
  <si>
    <t>3030010303-ЮФ-мрв</t>
  </si>
  <si>
    <t>Международни бизнес отношения (2 сем.)</t>
  </si>
  <si>
    <t>564883|30300773-ЮФ-мрв|МБО(рм2 сем)</t>
  </si>
  <si>
    <t>МБО(рм2 сем)</t>
  </si>
  <si>
    <t>30300773-ЮФ-мрв</t>
  </si>
  <si>
    <t>12556|3030010307-ЮФ-мрв|МБО(рм3 сем.л)</t>
  </si>
  <si>
    <t>3030010307-ЮФ-мрв</t>
  </si>
  <si>
    <t>12556|3030010307-ЮФ-мрв|МБОмп(рм3 сем.)</t>
  </si>
  <si>
    <t>12557|3030010308-ЮФ-мрв|МБО(рм4 сем.)</t>
  </si>
  <si>
    <t>3030010308-ЮФ-мрв</t>
  </si>
  <si>
    <t>12557|3030010308-ЮФ-мрв|МБОмп4сем(рм4 сем.)</t>
  </si>
  <si>
    <t>12552|3030010305-ЮФ-мрв|МОМД(рм3 сем.)</t>
  </si>
  <si>
    <t>3030010305-ЮФ-мрв</t>
  </si>
  <si>
    <t>12552|3030010305-ЮФ-мрв|МОМД(рм3 сем.л)</t>
  </si>
  <si>
    <t>12554|3030010306-ЮФ-мрв|МОМД(рм4 сем.)</t>
  </si>
  <si>
    <t>3030010306-ЮФ-мрв</t>
  </si>
  <si>
    <t>12475|30300102-ЮФ-брс|МО(рб)</t>
  </si>
  <si>
    <t>30300102-ЮФ-брс</t>
  </si>
  <si>
    <t>12477|30300103-ЮФ-мрс|МО(рм)</t>
  </si>
  <si>
    <t>30300103-ЮФ-мрс</t>
  </si>
  <si>
    <t>10955|3030001301-ФФ-мрв|МОПС р 3сем.(рм3 сем.)</t>
  </si>
  <si>
    <t>3030001301-ФФ-мрв</t>
  </si>
  <si>
    <t>10955|3030001301-ФФ-мрв|МОПС(рмсл)</t>
  </si>
  <si>
    <t>10955|3030001301-ФФ-мрв|МПОС(рмс)</t>
  </si>
  <si>
    <t>10959|3030001302-ФФ-мрв|МПОС(рмнс)</t>
  </si>
  <si>
    <t>3030001302-ФФ-мрв</t>
  </si>
  <si>
    <t>10957|3030001301-ФФ-мзв|МОПС з 3сем(зм3 сем.)</t>
  </si>
  <si>
    <t>3030001301-ФФ-мзв</t>
  </si>
  <si>
    <t>10957|3030001301-ФФ-мзв|МОПС(змсл)</t>
  </si>
  <si>
    <t>10957|3030001301-ФФ-мзв|МПОС(змс)</t>
  </si>
  <si>
    <t>10961|3030001302-ФФ-мзв|МПОС(змнс)</t>
  </si>
  <si>
    <t>3030001302-ФФ-мзв</t>
  </si>
  <si>
    <t>10916|3010005304-ФФ-мрв|МСКН(рм)</t>
  </si>
  <si>
    <t>3010005304-ФФ-мрв</t>
  </si>
  <si>
    <t>10916|3010005304-ФФ-мрв|МСКНл(рмл)</t>
  </si>
  <si>
    <t>10927|3010005311-ФФ-мрв|МСКН2(рм2 сем)</t>
  </si>
  <si>
    <t>3010005311-ФФ-мрв</t>
  </si>
  <si>
    <t>12678|1020006325-ФНОИ-мзв|МОПЗ(зм)</t>
  </si>
  <si>
    <t>1020006325-ФНОИ-мзв</t>
  </si>
  <si>
    <t>12678|1020006325-ФНОИ-мзв|МОПЗ(зм3 сем.)</t>
  </si>
  <si>
    <t>11258|1020005311-ФП-мрв|МОВ(рм3 сем.)</t>
  </si>
  <si>
    <t>1020005311-ФП-мрв</t>
  </si>
  <si>
    <t>11259|1020005311-ФП-мзв|МОВ (зм 3 сем.)(зм3 сем.)</t>
  </si>
  <si>
    <t>1020005311-ФП-мзв</t>
  </si>
  <si>
    <t>11259|1020005311-ФП-мзв|МОВ(зм3 сем.)</t>
  </si>
  <si>
    <t>12683|1020010302-ФНОИ-мрв|Мсд(рм)</t>
  </si>
  <si>
    <t>1020010302-ФНОИ-мрв</t>
  </si>
  <si>
    <t>12685|1020010303-ФНОИ-мрв|МСПД(рмнс)</t>
  </si>
  <si>
    <t>1020010303-ФНОИ-мрв</t>
  </si>
  <si>
    <t>12686|1020010303-ФНОИ-мзв|МСПД(змнс)</t>
  </si>
  <si>
    <t>1020010303-ФНОИ-мзв</t>
  </si>
  <si>
    <t>12686|1020010303-ФНОИ-мзв|Мсд(зм)</t>
  </si>
  <si>
    <t>11281|1020077302-ФП-мзв|Мениджмънт на услуги(зм3 сем.)</t>
  </si>
  <si>
    <t>Мениджмънт на услуги(зм3 сем.)</t>
  </si>
  <si>
    <t>1020077302-ФП-мзв</t>
  </si>
  <si>
    <t>11281|1020077302-ФП-мзв|Мениджмънт на услуги(змнс)</t>
  </si>
  <si>
    <t>11280|1020077301-ФП-мзв|Мениджмънт на услуги(зм2 сем)</t>
  </si>
  <si>
    <t>Мениджмънт на услуги(зм2 сем)</t>
  </si>
  <si>
    <t>1020077301-ФП-мзв</t>
  </si>
  <si>
    <t>12005|4010011302-ФзФ-мрв|М(рм)</t>
  </si>
  <si>
    <t>4010011302-ФзФ-мрв</t>
  </si>
  <si>
    <t>12005|4010011302-ФзФ-мрв|М(рм3 сем.)</t>
  </si>
  <si>
    <t>12008|4010011303-ФзФ-мрв|М(рм5 сем.)</t>
  </si>
  <si>
    <t>4010011303-ФзФ-мрв</t>
  </si>
  <si>
    <t>12008|4010011303-ФзФ-мрв|М5(рм5 сем.)</t>
  </si>
  <si>
    <t>12007|4010011302-ФзФ-мзв|М(зм)</t>
  </si>
  <si>
    <t>4010011302-ФзФ-мзв</t>
  </si>
  <si>
    <t>12007|4010011302-ФзФ-мзв|М(зм3 сем.)</t>
  </si>
  <si>
    <t>12010|4010011303-ФзФ-мзв|М(зм5 сем.)</t>
  </si>
  <si>
    <t>4010011303-ФзФ-мзв</t>
  </si>
  <si>
    <t>12010|4010011303-ФзФ-мзв|М5(зм5 сем.)</t>
  </si>
  <si>
    <t>11598|2010001307-ФКНФ-мрв|МЧЕО(рм)</t>
  </si>
  <si>
    <t>МЧЕО(рм)</t>
  </si>
  <si>
    <t>2010001307-ФКНФ-мрв</t>
  </si>
  <si>
    <t>11598|2010001307-ФКНФ-мрв|МЧЕОан(рм)</t>
  </si>
  <si>
    <t>МЧЕОан(рм)</t>
  </si>
  <si>
    <t>11616|2010004308-ФКНФ-мрв|МЧЕО(рм)</t>
  </si>
  <si>
    <t>2010004308-ФКНФ-мрв</t>
  </si>
  <si>
    <t>11616|2010004308-ФКНФ-мрв|МЧЕОне(рм)</t>
  </si>
  <si>
    <t>МЧЕОне(рм)</t>
  </si>
  <si>
    <t>11621|2010013307-ФКНФ-мрв|МЧЕО(рм)</t>
  </si>
  <si>
    <t>2010013307-ФКНФ-мрв</t>
  </si>
  <si>
    <t>11621|2010013307-ФКНФ-мрв|МЧЕОфр(рм)</t>
  </si>
  <si>
    <t>МЧЕОфр(рм)</t>
  </si>
  <si>
    <t>11643|2010022305-ФКНФ-мрв|МЧЕО(рм)</t>
  </si>
  <si>
    <t>2010022305-ФКНФ-мрв</t>
  </si>
  <si>
    <t>11643|2010022305-ФКНФ-мрв|МЧЕОис(рм)</t>
  </si>
  <si>
    <t>МЧЕОис(рм)</t>
  </si>
  <si>
    <t>11651|2010023302-ФКНФ-мрв|МЧЕО(рм)</t>
  </si>
  <si>
    <t>2010023302-ФКНФ-мрв</t>
  </si>
  <si>
    <t>11651|2010023302-ФКНФ-мрв|МЧЕОит(рм)</t>
  </si>
  <si>
    <t>МЧЕОит(рм)</t>
  </si>
  <si>
    <t>11588|1030001301-ФКНФ-мрв|МЧО(анг.)(рм)</t>
  </si>
  <si>
    <t>1030001301-ФКНФ-мрв</t>
  </si>
  <si>
    <t>11591|1030022301-ФКНФ-мрв|МЧО(исп.)(рм)</t>
  </si>
  <si>
    <t>1030022301-ФКНФ-мрв</t>
  </si>
  <si>
    <t>11592|1030023301-ФКНФ-мрв|МЧО(ит.)(рм)</t>
  </si>
  <si>
    <t>1030023301-ФКНФ-мрв</t>
  </si>
  <si>
    <t>11595|1030337301-ФКНФ-мрв|МЧО(нфске)(рм)</t>
  </si>
  <si>
    <t>1030337301-ФКНФ-мрв</t>
  </si>
  <si>
    <t>11593|1030028301-ФКНФ-мрв|МЧЕОпорт(рм)</t>
  </si>
  <si>
    <t>1030028301-ФКНФ-мрв</t>
  </si>
  <si>
    <t>11590|1030013301-ФКНФ-мрв|МЧО(фр.)(рм)</t>
  </si>
  <si>
    <t>1030013301-ФКНФ-мрв</t>
  </si>
  <si>
    <t>Методика на чуждоезиковото обучение в междукултурна среда (T)</t>
  </si>
  <si>
    <t>579360|10303063-ФКНФ-мрв|МЧОвМС(тюрк.)(рм2 сем)</t>
  </si>
  <si>
    <t>МЧОвМС(тюрк.)(рм2 сем)</t>
  </si>
  <si>
    <t>10303063-ФКНФ-мрв</t>
  </si>
  <si>
    <t>140134|10302683-ФКНФ-мрв|МЧОвМС(анг.)(рм2 сем)</t>
  </si>
  <si>
    <t>10302683-ФКНФ-мрв</t>
  </si>
  <si>
    <t>140134|10302683-ФКНФ-мрв|МЧОвМС(анг.)(рм2 семл)</t>
  </si>
  <si>
    <t>145010|10302703-ФКНФ-мрв|МЧОвМС(исп.)(рм2 сем)</t>
  </si>
  <si>
    <t>10302703-ФКНФ-мрв</t>
  </si>
  <si>
    <t>145011|10302713-ФКНФ-мрв|МЧОвМС(итал.)(рм2 сем)</t>
  </si>
  <si>
    <t>10302713-ФКНФ-мрв</t>
  </si>
  <si>
    <t>259355|10302893-ФКНФ-мрв|МЧОвМС(нем.)(рм2 сем)</t>
  </si>
  <si>
    <t>10302893-ФКНФ-мрв</t>
  </si>
  <si>
    <t>281064|10302873-ФКНФ-мрв|МЧОвМС(фр.)(рм2 сем)</t>
  </si>
  <si>
    <t>10302873-ФКНФ-мрв</t>
  </si>
  <si>
    <t>11958|1030019302-ФзФ-мрв|МОФАр2(рм2 сем)</t>
  </si>
  <si>
    <t>1030019302-ФзФ-мрв</t>
  </si>
  <si>
    <t>11955|1030019301-ФзФ-мрс|МетодологияОФА(рм3 сем.)</t>
  </si>
  <si>
    <t>1030019301-ФзФ-мрс</t>
  </si>
  <si>
    <t>11956|1030019301-ФзФ-мзв|МОФАз3(зм3 сем.)</t>
  </si>
  <si>
    <t>1030019301-ФзФ-мзв</t>
  </si>
  <si>
    <t>11834|4060003315-ФМИ-мрв|Мех&amp;роб(рм)</t>
  </si>
  <si>
    <t>4060003315-ФМИ-мрв</t>
  </si>
  <si>
    <t>11834|4060003315-ФМИ-мрв|Мех&amp;роб(рмс)</t>
  </si>
  <si>
    <t>11834|4060003315-ФМИ-мрв|МиР(рм)</t>
  </si>
  <si>
    <t>12276|4030003306-БФ-мрв|МБМБК(рм)</t>
  </si>
  <si>
    <t>4030003306-БФ-мрв</t>
  </si>
  <si>
    <t>11966|4010002304-ФзФ-мрв|МЕИТ(рм3 сем.)</t>
  </si>
  <si>
    <t>4010002304-ФзФ-мрв</t>
  </si>
  <si>
    <t>11966|4010002304-ФзФ-мрв|МИТ(рм)</t>
  </si>
  <si>
    <t>11966|4010002304-ФзФ-мрв|МИТ(рм3 сем.)</t>
  </si>
  <si>
    <t>11967|4010002304-ФзФ-мзв|МЕИТ(зм3 сем.)</t>
  </si>
  <si>
    <t>4010002304-ФзФ-мзв</t>
  </si>
  <si>
    <t>11967|4010002304-ФзФ-мзв|МЕИТЛП3(зм3 сем.л)</t>
  </si>
  <si>
    <t>11967|4010002304-ФзФ-мзв|МИТ(зм3 се</t>
  </si>
  <si>
    <t>11967|4010002304-ФзФ-мзв|МИТ(зм3 сем.)</t>
  </si>
  <si>
    <t>11031|20200182-ИФ-брс|МСЮЕ(рб)</t>
  </si>
  <si>
    <t>20200182-ИФ-брс</t>
  </si>
  <si>
    <t>12474|4040007309-ГГФ-мрв|МППИ(рм)</t>
  </si>
  <si>
    <t>4040007309-ГГФ-мрв</t>
  </si>
  <si>
    <t>12901|3080393328-СтФ-мзв|МД контрол летен(зм2 семл)</t>
  </si>
  <si>
    <t>3080393328-СтФ-мзв</t>
  </si>
  <si>
    <t>12901|3080393328-СтФ-мзв|МД контрол неикон. л(змнсл)</t>
  </si>
  <si>
    <t>12901|3080393328-СтФ-мзв|МД контрол неиконом.(змнс)</t>
  </si>
  <si>
    <t>12901|3080393328-СтФ-мзв|МД контрол(зм2 сем)</t>
  </si>
  <si>
    <t>12901|3080393328-СтФ-мзв|Минт Данч К(зм2 сем)</t>
  </si>
  <si>
    <t>12901|3080393328-СтФ-мзв|МитДанъчен Кн(змнс)</t>
  </si>
  <si>
    <t>12901|3080393328-СтФ-мзв|Митн Данч К лнс(змнсл)</t>
  </si>
  <si>
    <t>12901|3080393328-СтФ-мзв|Митнически и ДКл(зм2 семл)</t>
  </si>
  <si>
    <t>11197|3010002304-ИФ-мзв|Моб&amp;Миг(зм)</t>
  </si>
  <si>
    <t>3010002304-ИФ-мзв</t>
  </si>
  <si>
    <t>282737|30807503-СтФ-мзв|МГДБФ-ЗО зимен неик.(змнс)</t>
  </si>
  <si>
    <t>30807503-СтФ-мзв</t>
  </si>
  <si>
    <t>282737|30807503-СтФ-мзв|МГДБФ-ЗО зимен(зм2 сем)</t>
  </si>
  <si>
    <t>282737|30807503-СтФ-мзв|МГДБФ-ЗО летен неик.(змнсл)</t>
  </si>
  <si>
    <t>282737|30807503-СтФ-мзв|МГДБФ-ЗО летен(зм2 семл)</t>
  </si>
  <si>
    <t>12856|3080008342-СтФ-мрв|МГДБФ(рм2 семл)</t>
  </si>
  <si>
    <t>3080008342-СтФ-мрв</t>
  </si>
  <si>
    <t>12854|3080008340-СтФ-мрв|МГДБФ(рм2 сем)</t>
  </si>
  <si>
    <t>3080008340-СтФ-мрв</t>
  </si>
  <si>
    <t>12855|3080008341-СтФ-мрв|МГДБФ - 3(рм3 сем.)</t>
  </si>
  <si>
    <t>3080008341-СтФ-мрв</t>
  </si>
  <si>
    <t>12886|3080393321-СтФ-мрв|МГДБФ(рм2 семл)</t>
  </si>
  <si>
    <t>3080393321-СтФ-мрв</t>
  </si>
  <si>
    <t>12860|3080393303-СтФ-мрв|МГДБФ(рм2 сем)</t>
  </si>
  <si>
    <t>3080393303-СтФ-мрв</t>
  </si>
  <si>
    <t>12888|3080393322-СтФ-мрв|МГДБФ - 3(рм3 сем.л)</t>
  </si>
  <si>
    <t>3080393322-СтФ-мрв</t>
  </si>
  <si>
    <t>12869|3080393309-СтФ-мрв|МГДБФ - 3(рм3 сем.)</t>
  </si>
  <si>
    <t>3080393309-СтФ-мрв</t>
  </si>
  <si>
    <t>11146|2020002346-ИФ-мрв|Модерна България(рмс)</t>
  </si>
  <si>
    <t>2020002346-ИФ-мрв</t>
  </si>
  <si>
    <t>11148|2020002346-ИФ-мзв|Модерна България(змнс)</t>
  </si>
  <si>
    <t>2020002346-ИФ-мзв</t>
  </si>
  <si>
    <t>11148|2020002346-ИФ-мзв|Модерна България(змс)</t>
  </si>
  <si>
    <t>11150|2020002347-ИФ-мрв|Модерна България(рмнс)</t>
  </si>
  <si>
    <t>2020002347-ИФ-мрв</t>
  </si>
  <si>
    <t>12170|40300032-БФ-брс|МБ(рб)</t>
  </si>
  <si>
    <t>40300032-БФ-брс</t>
  </si>
  <si>
    <t>278413|10202163-ФНОИ-мзв|МПДО(зм2 сем)</t>
  </si>
  <si>
    <t>10202163-ФНОИ-мзв</t>
  </si>
  <si>
    <t>11133|2020002341-ИФ-мрв|М(рмнс)</t>
  </si>
  <si>
    <t>2020002341-ИФ-мрв</t>
  </si>
  <si>
    <t>11133|2020002341-ИФ-мрв|М(рмс)</t>
  </si>
  <si>
    <t>11135|2020002341-ИФ-мзв|М(змс)</t>
  </si>
  <si>
    <t>2020002341-ИФ-мзв</t>
  </si>
  <si>
    <t>11135|2020002341-ИФ-мзв|М3(змнс)</t>
  </si>
  <si>
    <t>12631|10300152-ФНОИ-брс|Муз.П(рб)</t>
  </si>
  <si>
    <t>10300152-ФНОИ-брс</t>
  </si>
  <si>
    <t>12722|1030015301-ФНОИ-мрв|МузП(рм)</t>
  </si>
  <si>
    <t>1030015301-ФНОИ-мрв</t>
  </si>
  <si>
    <t>12722|1030015301-ФНОИ-мрв|МузПед(рм)</t>
  </si>
  <si>
    <t>12722|1030015301-ФНОИ-мрв|МузПед(рм2 сем)</t>
  </si>
  <si>
    <t>288563|80301503-ФНОИ-мрв|МАМ(рм2 сем)</t>
  </si>
  <si>
    <t>80301503-ФНОИ-мрв</t>
  </si>
  <si>
    <t>Музикална педагогика - ръководство на фолклорна формация (2 сем)-Модерна</t>
  </si>
  <si>
    <t>549417|10302963-ФНОИ-мрв|МП-РФФ(рм2 сем)</t>
  </si>
  <si>
    <t>МП-РФФ(рм2 сем)</t>
  </si>
  <si>
    <t>10302963-ФНОИ-мрв</t>
  </si>
  <si>
    <t>12729|1030015305-ФНОИ-мрв|ММТро(рм2 сем)</t>
  </si>
  <si>
    <t>1030015305-ФНОИ-мрв</t>
  </si>
  <si>
    <t>12730|1030015305-ФНОИ-мзв|МММТ(сп)(змс)</t>
  </si>
  <si>
    <t>1030015305-ФНОИ-мзв</t>
  </si>
  <si>
    <t>12726|1030015304-ФНОИ-мрв|МММТдр.спец.(рм3 сем.)</t>
  </si>
  <si>
    <t>1030015304-ФНОИ-мрв</t>
  </si>
  <si>
    <t>12727|1030015304-ФНОИ-мзв|МММТ(несп)(змнс)</t>
  </si>
  <si>
    <t>1030015304-ФНОИ-мзв</t>
  </si>
  <si>
    <t>12724|1030015303-ФНОИ-мрв|МКТ(рм)</t>
  </si>
  <si>
    <t>МКТ(рм)</t>
  </si>
  <si>
    <t>1030015303-ФНОИ-мрв</t>
  </si>
  <si>
    <t>12731|1030015306-ФНОИ-мрв|МКТТ(рм2 сем)</t>
  </si>
  <si>
    <t>1030015306-ФНОИ-мрв</t>
  </si>
  <si>
    <t>12657|80301182-ФНОИ-брс|ММТТ(рб)</t>
  </si>
  <si>
    <t>80301182-ФНОИ-брс</t>
  </si>
  <si>
    <t>11839|4060003318-ФМИ-мрв|НОЕиИТ(рм)</t>
  </si>
  <si>
    <t>НОЕиИТ(рм)</t>
  </si>
  <si>
    <t>4060003318-ФМИ-мрв</t>
  </si>
  <si>
    <t>12668|1020006307-ФНОИ-мрв|НУП(рм4 сем.)</t>
  </si>
  <si>
    <t>1020006307-ФНОИ-мрв</t>
  </si>
  <si>
    <t>12669|1020006307-ФНОИ-мзв|ПНУПм(зм4 сем.)</t>
  </si>
  <si>
    <t>1020006307-ФНОИ-мзв</t>
  </si>
  <si>
    <t>12666|1020006306-ФНОИ-мзв|НУП (учит.прав.)(зм2 сем)</t>
  </si>
  <si>
    <t>1020006306-ФНОИ-мзв</t>
  </si>
  <si>
    <t>12666|1020006306-ФНОИ-мзв|НУП(зм2 сем)</t>
  </si>
  <si>
    <t>12666|1020006306-ФНОИ-мзв|НУПучправо(зм2 сем)</t>
  </si>
  <si>
    <t>12567|10200042-ФНОИ-брс|НУПЧЕ(рб)</t>
  </si>
  <si>
    <t>10200042-ФНОИ-брс</t>
  </si>
  <si>
    <t>11508|20100042-ФКНФ-брс|НФ(рб)</t>
  </si>
  <si>
    <t>20100042-ФКНФ-брс</t>
  </si>
  <si>
    <t>11508|20100042-ФКНФ-брс|НемФ(рб)</t>
  </si>
  <si>
    <t>11580|20103372-ФКНФ-брс|НФСке(рб)</t>
  </si>
  <si>
    <t>20103372-ФКНФ-брс</t>
  </si>
  <si>
    <t>12140|4020015306-ФХФ-мрв|НХМСТ(рм)</t>
  </si>
  <si>
    <t>4020015306-ФХФ-мрв</t>
  </si>
  <si>
    <t>11211|10200772-ФП-брс|НО(рб)</t>
  </si>
  <si>
    <t>10200772-ФП-брс</t>
  </si>
  <si>
    <t>11213|10200772-ФП-бзс|НО(зб)</t>
  </si>
  <si>
    <t>10200772-ФП-бзс</t>
  </si>
  <si>
    <t>11104|2020002316-ИФ-мрв|НСБИ(рм)</t>
  </si>
  <si>
    <t>2020002316-ИФ-мрв</t>
  </si>
  <si>
    <t>11104|2020002316-ИФ-мрв|НСБИ(рмс)</t>
  </si>
  <si>
    <t>11105|2020002316-ИФ-мзв|НСБИ(зм)</t>
  </si>
  <si>
    <t>2020002316-ИФ-мзв</t>
  </si>
  <si>
    <t>11105|2020002316-ИФ-мзв|НСБИ(змс)</t>
  </si>
  <si>
    <t>11528|20100272-ФКНФ-брс|НГФ(рб)</t>
  </si>
  <si>
    <t>20100272-ФКНФ-брс</t>
  </si>
  <si>
    <t>11661|2010027302-ФКНФ-мрв|НГФ(рм)</t>
  </si>
  <si>
    <t>2010027302-ФКНФ-мрв</t>
  </si>
  <si>
    <t>11673|2010036305-ФКНФ-мрв|Н(рм)</t>
  </si>
  <si>
    <t>2010036305-ФКНФ-мрв</t>
  </si>
  <si>
    <t>11673|2010036305-ФКНФ-мрв|Норд(рм)</t>
  </si>
  <si>
    <t>11386|2010003307-ФСлФ-мрв|ОБЕЛ(рм)</t>
  </si>
  <si>
    <t>2010003307-ФСлФ-мрв</t>
  </si>
  <si>
    <t>11394|2010003311-ФСлФ-мрв|ОБЕЛСУмп(рмнс)</t>
  </si>
  <si>
    <t>2010003311-ФСлФ-мрв</t>
  </si>
  <si>
    <t>11388|2010003307-ФСлФ-мзв|ОБЕЛ(зм)</t>
  </si>
  <si>
    <t>2010003307-ФСлФ-мзв</t>
  </si>
  <si>
    <t>11396|2010003311-ФСлФ-мзв|ОБЕЛмп(змнс)</t>
  </si>
  <si>
    <t>2010003311-ФСлФ-мзв</t>
  </si>
  <si>
    <t>11130|2020002340-ИФ-мрв|ОИСУ(рм)</t>
  </si>
  <si>
    <t>ОИСУ(рм)</t>
  </si>
  <si>
    <t>2020002340-ИФ-мрв</t>
  </si>
  <si>
    <t>11130|2020002340-ИФ-мрв|ОИСУ(рмс)</t>
  </si>
  <si>
    <t>ОИСУ(рмс)</t>
  </si>
  <si>
    <t>562042|10303003-ИФ-мрв|ОИСУ(рм)</t>
  </si>
  <si>
    <t>10303003-ИФ-мрв</t>
  </si>
  <si>
    <t>11131|2020002340-ИФ-мзв|ОИСУ(змнс)</t>
  </si>
  <si>
    <t>2020002340-ИФ-мзв</t>
  </si>
  <si>
    <t>556577|10303003-ИФ-мзв|ОИСУ(зм)</t>
  </si>
  <si>
    <t>ОИСУ(зм)</t>
  </si>
  <si>
    <t>10303003-ИФ-мзв</t>
  </si>
  <si>
    <t>11178|2020002362-ИФ-мрв|ОИСУ(спец)(рм3 сем.)</t>
  </si>
  <si>
    <t>2020002362-ИФ-мрв</t>
  </si>
  <si>
    <t>11180|2020002362-ИФ-мзв|ОИУ(спец)(зм3 сем.)</t>
  </si>
  <si>
    <t>2020002362-ИФ-мзв</t>
  </si>
  <si>
    <t>11162|2020002352-ИФ-мзв|ОИСУ(змс)</t>
  </si>
  <si>
    <t>2020002352-ИФ-мзв</t>
  </si>
  <si>
    <t>11164|2020002353-ИФ-мрв|ОИСУ(рм5 сем.)</t>
  </si>
  <si>
    <t>2020002353-ИФ-мрв</t>
  </si>
  <si>
    <t>11164|2020002353-ИФ-мрв|ОИСУ(рмнс)</t>
  </si>
  <si>
    <t>11166|2020002353-ИФ-мзв|ОИСУ(несп)(зм5 сем.)</t>
  </si>
  <si>
    <t>2020002353-ИФ-мзв</t>
  </si>
  <si>
    <t>11166|2020002353-ИФ-мзв|ОИУ(несп)(зм5 сем.)</t>
  </si>
  <si>
    <t>11246|1020005301-ФП-мрв|МУПОМ(рм3 сем.)</t>
  </si>
  <si>
    <t>МУПОМ(рм3 сем.)</t>
  </si>
  <si>
    <t>1020005301-ФП-мрв</t>
  </si>
  <si>
    <t>11256|1020005309-ФП-мрв|ОМ(рм3 сем.)</t>
  </si>
  <si>
    <t>ОМ(рм3 сем.)</t>
  </si>
  <si>
    <t>1020005309-ФП-мрв</t>
  </si>
  <si>
    <t>11247|1020005301-ФП-мзв|МУПОМ(зм3 сем.)</t>
  </si>
  <si>
    <t>МУПОМ(зм3 сем.)</t>
  </si>
  <si>
    <t>1020005301-ФП-мзв</t>
  </si>
  <si>
    <t>11257|1020005309-ФП-мзв|ОМ(зм3 сем.)</t>
  </si>
  <si>
    <t>ОМ(зм3 сем.)</t>
  </si>
  <si>
    <t>1020005309-ФП-мзв</t>
  </si>
  <si>
    <t>11270|1020005318-ФП-мрв|ОМ(рмс)</t>
  </si>
  <si>
    <t>ОМ(рмс)</t>
  </si>
  <si>
    <t>1020005318-ФП-мрв</t>
  </si>
  <si>
    <t>11271|1020005318-ФП-мзв|ОМ(зм2 сем)</t>
  </si>
  <si>
    <t>1020005318-ФП-мзв</t>
  </si>
  <si>
    <t>11271|1020005318-ФП-мзв|ОМ(змс)</t>
  </si>
  <si>
    <t>ОМ(змс)</t>
  </si>
  <si>
    <t>ОМ-а.е.-задочна-ЧЕ(зм2 семл ч.ез.)</t>
  </si>
  <si>
    <t>12679|1020006327-ФНОИ-мрв|ОНИВ(ае)(рм2 сем ч.ез.)</t>
  </si>
  <si>
    <t>1020006327-ФНОИ-мрв</t>
  </si>
  <si>
    <t>12679|1020006327-ФНОИ-мрв|ОНИВ(ае)(рм2 сем)</t>
  </si>
  <si>
    <t>12679|1020006327-ФНОИ-мрв|ОНИВ/ае//рм//лп/(рм2 семл ч.ез.)</t>
  </si>
  <si>
    <t>12679|1020006327-ФНОИ-мрв|ОНИВ/ае//рм//лп/(рм2 семл)</t>
  </si>
  <si>
    <t>Обучението по гражданско и интеркултурно образование в средното училище (2сем)-Модерна</t>
  </si>
  <si>
    <t>549617|10302973-ИФ-мрв|ОГИОК(рм2 сем)</t>
  </si>
  <si>
    <t>ОГИОК(рм2 сем)</t>
  </si>
  <si>
    <t>10302973-ИФ-мрв</t>
  </si>
  <si>
    <t>12242|4030001307-БФ-мрв|ОАнтр(рм)</t>
  </si>
  <si>
    <t>4030001307-БФ-мрв</t>
  </si>
  <si>
    <t>12256|4030001315-БФ-мрв|ОА(рмнсл)</t>
  </si>
  <si>
    <t>4030001315-БФ-мрв</t>
  </si>
  <si>
    <t>10942|3020001312-ФФ-мзв|ОПАЕ(зм ч.ез.)</t>
  </si>
  <si>
    <t>3020001312-ФФ-мзв</t>
  </si>
  <si>
    <t>10942|3020001312-ФФ-мзв|ОПАЕ(зм)</t>
  </si>
  <si>
    <t>11659|2010026303-ФКНФ-мрв|ОКК(рм)</t>
  </si>
  <si>
    <t>2010026303-ФКНФ-мрв</t>
  </si>
  <si>
    <t>11626|2010018305-ФКНФ-мрв|ОКАСмп(рм)</t>
  </si>
  <si>
    <t>2010018305-ФКНФ-мрв</t>
  </si>
  <si>
    <t>10907|3010003302-ФФ-мрв|ТИК(рм)</t>
  </si>
  <si>
    <t>ТИК(рм)</t>
  </si>
  <si>
    <t>3010003302-ФФ-мрв</t>
  </si>
  <si>
    <t>12945|3050006317-ФЖМК-мзв|ОЖМ-л(змл)</t>
  </si>
  <si>
    <t>3050006317-ФЖМК-мзв</t>
  </si>
  <si>
    <t>583766|2010003318-ФСлФ-мрв|ОБКНмп(рм2 сем)</t>
  </si>
  <si>
    <t>ОБКНмп(рм2 сем)</t>
  </si>
  <si>
    <t>2010003318-ФСлФ-мрв</t>
  </si>
  <si>
    <t>11415|2010003325-ФСлФ-мрв|ОБКултН(рмнс)</t>
  </si>
  <si>
    <t>2010003325-ФСлФ-мрв</t>
  </si>
  <si>
    <t>11415|2010003325-ФСлФ-мрв|ОБКултН(рмс)</t>
  </si>
  <si>
    <t>11415|2010003325-ФСлФ-мрв|ОБКултН/2сем(рмс)</t>
  </si>
  <si>
    <t>11417|2010003325-ФСлФ-мзв|Опазв. бълг. кул. н.(змнс)</t>
  </si>
  <si>
    <t>2010003325-ФСлФ-мзв</t>
  </si>
  <si>
    <t>11417|2010003325-ФСлФ-мзв|Опазв. бълг. кул. н.(змс)</t>
  </si>
  <si>
    <t>11418|2010003326-ФСлФ-мрв|ОБКултН(рмнс)</t>
  </si>
  <si>
    <t>2010003326-ФСлФ-мрв</t>
  </si>
  <si>
    <t>11418|2010003326-ФСлФ-мрв|ОБКултН/3сем(рмнс)</t>
  </si>
  <si>
    <t>11418|2010003326-ФСлФ-мрв|ОБКултН~(рмнс)</t>
  </si>
  <si>
    <t>12262|4030002305-БФ-мрв|ООС(рм)</t>
  </si>
  <si>
    <t>4030002305-БФ-мрв</t>
  </si>
  <si>
    <t>12264|4030002307-БФ-мрв|ООС-НС(рмнсл)</t>
  </si>
  <si>
    <t>4030002307-БФ-мрв</t>
  </si>
  <si>
    <t>12260|4030002303-БФ-мрв|ОПС(рм)</t>
  </si>
  <si>
    <t>4030002303-БФ-мрв</t>
  </si>
  <si>
    <t>11977|4010003309-ФзФ-мрв|ОС(рм)</t>
  </si>
  <si>
    <t>4010003309-ФзФ-мрв</t>
  </si>
  <si>
    <t>11977|4010003309-ФзФ-мрв|ОС(рм3 сем.)</t>
  </si>
  <si>
    <t>11805|4050003307-ФМИ-мрв|Опт(рм)</t>
  </si>
  <si>
    <t>4050003307-ФМИ-мрв</t>
  </si>
  <si>
    <t>11927|40100382-ФзФ-брс|Оптометрия(рб)</t>
  </si>
  <si>
    <t>40100382-ФзФ-брс</t>
  </si>
  <si>
    <t>11929|40100382-ФзФ-бзс|Оптометрия(зб)</t>
  </si>
  <si>
    <t>40100382-ФзФ-бзс</t>
  </si>
  <si>
    <t>12029|4010038304-ФзФ-мрв|Опт(рм2 сем)</t>
  </si>
  <si>
    <t>4010038304-ФзФ-мрв</t>
  </si>
  <si>
    <t>12024|4010038301-ФзФ-мрв|Оптометрия(рм4 сем.л)</t>
  </si>
  <si>
    <t>4010038301-ФзФ-мрв</t>
  </si>
  <si>
    <t>12025|4010038302-ФзФ-мрв|Оптометрия(рм5 сем.)</t>
  </si>
  <si>
    <t>4010038302-ФзФ-мрв</t>
  </si>
  <si>
    <t>12027|4010038303-ФзФ-мзв|Оптометрия(зм6 сем.)</t>
  </si>
  <si>
    <t>4010038303-ФзФ-мзв</t>
  </si>
  <si>
    <t>Организационна психология и кроскултурен мениджмънт (на английски език)-4 сем.</t>
  </si>
  <si>
    <t>557882|30200623-ФФ-мзв|ОПКМ 4с(зм4 сем. ч.ез.)</t>
  </si>
  <si>
    <t>ОПКМ 4с(зм4 сем. ч.ез.)</t>
  </si>
  <si>
    <t>30200623-ФФ-мзв</t>
  </si>
  <si>
    <t>10945|3020001314-ФФ-мзв|ОПКМангл(зм3 сем. ч.ез.)</t>
  </si>
  <si>
    <t>3020001314-ФФ-мзв</t>
  </si>
  <si>
    <t>10945|3020001314-ФФ-мзв|ОПКМангл(зм3 сем.)</t>
  </si>
  <si>
    <t>10953|3020001318-ФФ-мрв|ОПКО(рм3 сем.)</t>
  </si>
  <si>
    <t>3020001318-ФФ-мрв</t>
  </si>
  <si>
    <t>10953|3020001318-ФФ-мрв|ОпКо(рм3 сем.)</t>
  </si>
  <si>
    <t>10931|3020001304-ФФ-мрв|ОПКО (рмнс)</t>
  </si>
  <si>
    <t>3020001304-ФФ-мрв</t>
  </si>
  <si>
    <t>10931|3020001304-ФФ-мрв|ОПКО(рмнс)</t>
  </si>
  <si>
    <t>10931|3020001304-ФФ-мрв|ОПУО(рмнс)</t>
  </si>
  <si>
    <t>12788|3070007305-СтФ-мрв|ОР(рм)</t>
  </si>
  <si>
    <t>ОР(рм)</t>
  </si>
  <si>
    <t>3070007305-СтФ-мрв</t>
  </si>
  <si>
    <t>288511|30711113-СтФ-мрв|ОУУ - РО (</t>
  </si>
  <si>
    <t>30711113-СтФ-мрв</t>
  </si>
  <si>
    <t>288511|30711113-СтФ-мрв|ОУУ - РО н</t>
  </si>
  <si>
    <t>287086|30711113-СтФ-мзв|ОУУ - ЗО (2 сем.)(зм2 сем)</t>
  </si>
  <si>
    <t>30711113-СтФ-мзв</t>
  </si>
  <si>
    <t>287086|30711113-СтФ-мзв|ОУУ - ЗО неспец.(змнс)</t>
  </si>
  <si>
    <t>11008|3070006309-ФФ-мрв|ОПОВ(рм2 сем)</t>
  </si>
  <si>
    <t>3070006309-ФФ-мрв</t>
  </si>
  <si>
    <t>320911|4040007305-ГГФ-мрв|ПБмп(рм)</t>
  </si>
  <si>
    <t>4040007305-ГГФ-мрв</t>
  </si>
  <si>
    <t>12244|4030001308-БФ-мрв|П(рм)</t>
  </si>
  <si>
    <t>4030001308-БФ-мрв</t>
  </si>
  <si>
    <t>11207|10200052-ФП-брс|Пед(рб)</t>
  </si>
  <si>
    <t>10200052-ФП-брс</t>
  </si>
  <si>
    <t>11209|10200052-ФП-бзс|Пед(зб)</t>
  </si>
  <si>
    <t>10200052-ФП-бзс</t>
  </si>
  <si>
    <t>590470|10201213-ФП-мзс|Пед(зм)(зм)</t>
  </si>
  <si>
    <t>Пед(зм)(зм)</t>
  </si>
  <si>
    <t>10201213-ФП-мзс</t>
  </si>
  <si>
    <t>12716|1030012302-ФНОИ-мрв|ПСИИз(рм)</t>
  </si>
  <si>
    <t>1030012302-ФНОИ-мрв</t>
  </si>
  <si>
    <t>12716|1030012302-ФНОИ-мрв|ПСИИз(рм2 сем)</t>
  </si>
  <si>
    <t>12720|1030012306-ФНОИ-мрв|ПСИИзав.др.спец.(рм3 сем.)</t>
  </si>
  <si>
    <t>1030012306-ФНОИ-мрв</t>
  </si>
  <si>
    <t>11248|1020005302-ФП-мрв|ПДП(рм3 сем.)</t>
  </si>
  <si>
    <t>1020005302-ФП-мрв</t>
  </si>
  <si>
    <t>11252|1020005303-ФП-мрв|ПДП(рм2 сем)</t>
  </si>
  <si>
    <t>1020005303-ФП-мрв</t>
  </si>
  <si>
    <t>11250|1020005302-ФП-мзв|ПДП(зм3 сем.)</t>
  </si>
  <si>
    <t>1020005302-ФП-мзв</t>
  </si>
  <si>
    <t>11254|1020005303-ФП-мзв|ПДП(зм2 сем)</t>
  </si>
  <si>
    <t>1020005303-ФП-мзв</t>
  </si>
  <si>
    <t>278415|10202193-ФНОИ-мрв|ПДУму(спец.)(рм2 сем)</t>
  </si>
  <si>
    <t>10202193-ФНОИ-мрв</t>
  </si>
  <si>
    <t>12694|1020012311-ФНОИ-мрв|Пзз(рм)</t>
  </si>
  <si>
    <t>Пзз(рм)</t>
  </si>
  <si>
    <t>1020012311-ФНОИ-мрв</t>
  </si>
  <si>
    <t>12695|1020012311-ФНОИ-мзв|ПЗЗ(зав.др.сп.)(зм3 сем.)</t>
  </si>
  <si>
    <t>ПЗЗ(зав.др.сп.)(зм3 сем.)</t>
  </si>
  <si>
    <t>1020012311-ФНОИ-мзв</t>
  </si>
  <si>
    <t>12695|1020012311-ФНОИ-мзв|ПЗЗпедправосп(зм3 сем.)</t>
  </si>
  <si>
    <t>ПЗЗпедправосп(зм3 сем.)</t>
  </si>
  <si>
    <t>12695|1020012311-ФНОИ-мзв|Пзз(зм)</t>
  </si>
  <si>
    <t>Пзз(зм)</t>
  </si>
  <si>
    <t>583248|1020012310-ФНОИ-мзв|Пзз(зм4 сем.)</t>
  </si>
  <si>
    <t>Пзз(зм4 сем.)</t>
  </si>
  <si>
    <t>1020012310-ФНОИ-мзв</t>
  </si>
  <si>
    <t>583248|1020012310-ФНОИ-мзв|Пззн(зм4 сем.)</t>
  </si>
  <si>
    <t>Пззн(зм4 сем.)</t>
  </si>
  <si>
    <t>583248|1020012310-ФНОИ-мзв|Пззн(змнс)</t>
  </si>
  <si>
    <t>Пззн(змнс)</t>
  </si>
  <si>
    <t>12619|10201753-ФНОИ-мзв|ПЗЗ(пед.правоспособ)(зм3 сем.)</t>
  </si>
  <si>
    <t>10201753-ФНОИ-мзв</t>
  </si>
  <si>
    <t>12619|10201753-ФНОИ-мзв|ПЗЗзо(зм3 сем.)</t>
  </si>
  <si>
    <t>12592|10200672-ФНОИ-брс|ПМХК(рб)</t>
  </si>
  <si>
    <t>10200672-ФНОИ-брс</t>
  </si>
  <si>
    <t>12671|1020006308-ФНОИ-мрв|ПМХК(рм)</t>
  </si>
  <si>
    <t>ПМХК(рм)</t>
  </si>
  <si>
    <t>1020006308-ФНОИ-мрв</t>
  </si>
  <si>
    <t>12672|1020006308-ФНОИ-мзв|ПМХК(зм)</t>
  </si>
  <si>
    <t>1020006308-ФНОИ-мзв</t>
  </si>
  <si>
    <t>12672|1020006308-ФНОИ-мзв|ПМХК(зм3 сем.)</t>
  </si>
  <si>
    <t>12627|10201972-ФНОИ-брс|ПМХК(ае)(рб ч.ез.)</t>
  </si>
  <si>
    <t>10201972-ФНОИ-брс</t>
  </si>
  <si>
    <t>12627|10201972-ФНОИ-брс|ПМХК/ае/(рб)</t>
  </si>
  <si>
    <t>Педагогика на обучението по география и история (2 сем.)-Модерна</t>
  </si>
  <si>
    <t>549817|10302993-ГГФ-мрв|ПОГИ (60)(рм)</t>
  </si>
  <si>
    <t>ПОГИ (60)(рм)</t>
  </si>
  <si>
    <t>10302993-ГГФ-мрв</t>
  </si>
  <si>
    <t>12049|10300222-ФХФ-брс|ХФ(рб)</t>
  </si>
  <si>
    <t>ХФ(рб)</t>
  </si>
  <si>
    <t>10300222-ФХФ-брс</t>
  </si>
  <si>
    <t>643793|10300313-ФХФ-мрв|Хф1г(рм-97)</t>
  </si>
  <si>
    <t>Хф1г(рм-97)</t>
  </si>
  <si>
    <t>10300313-ФХФ-мрв</t>
  </si>
  <si>
    <t>284317|10202143-ФНОИ-мзв|Педсъв(зм2 сем)</t>
  </si>
  <si>
    <t>10202143-ФНОИ-мзв</t>
  </si>
  <si>
    <t>12935|3050006306-ФЖМК-мзв|ПМ(зм)</t>
  </si>
  <si>
    <t>3050006306-ФЖМК-мзв</t>
  </si>
  <si>
    <t>12935|3050006306-ФЖМК-мзв|ПМмп(зм)</t>
  </si>
  <si>
    <t>11996|4010003327-ФзФ-мрв|ПТТС(рм3 сем.)</t>
  </si>
  <si>
    <t>4010003327-ФзФ-мрв</t>
  </si>
  <si>
    <t>12378|3070023301-ГГФ-мрв|ПУТС(рмс)</t>
  </si>
  <si>
    <t>3070023301-ГГФ-мрв</t>
  </si>
  <si>
    <t>12394|3070023307-ГГФ-мрв|ПУТС(рмнсл)</t>
  </si>
  <si>
    <t>3070023307-ГГФ-мрв</t>
  </si>
  <si>
    <t>12395|3070023309-ГГФ-мрв|ПУТС (за ОКС "ПБ")(рм4 сем.)</t>
  </si>
  <si>
    <t>3070023309-ГГФ-мрв</t>
  </si>
  <si>
    <t>583168|1020012312-ФНОИ-мрв|ПРУУсон(рм)</t>
  </si>
  <si>
    <t>ПРУУсон(рм)</t>
  </si>
  <si>
    <t>1020012312-ФНОИ-мрв</t>
  </si>
  <si>
    <t>583177|1020012312-ФНОИ-мзв|ПруусС(зм)</t>
  </si>
  <si>
    <t>ПруусС(зм)</t>
  </si>
  <si>
    <t>1020012312-ФНОИ-мзв</t>
  </si>
  <si>
    <t>12108|4020004313-ФХФ-мрв|Пол.(рм)</t>
  </si>
  <si>
    <t>4020004313-ФХФ-мрв</t>
  </si>
  <si>
    <t>12109|4020004313-ФХФ-мзв|Пзо(зм)</t>
  </si>
  <si>
    <t>4020004313-ФХФ-мзв</t>
  </si>
  <si>
    <t>12109|4020004313-ФХФ-мзв|Пзо~(зм)</t>
  </si>
  <si>
    <t>259153|4020004313-ФХФ-мзв|Полимери(зм3 сем.)</t>
  </si>
  <si>
    <t>142074|40200573-ФХФ-мрв|ПолимАЕ(рм3 сем. ч.ез.)</t>
  </si>
  <si>
    <t>40200573-ФХФ-мрв</t>
  </si>
  <si>
    <t>10986|3030003312-ФФ-мрв|ПИПЕС(рм ч.ез.)</t>
  </si>
  <si>
    <t>3030003312-ФФ-мрв</t>
  </si>
  <si>
    <t>10986|3030003312-ФФ-мрс|ПИПЕСл(рм3 сем.л ч.ез.)</t>
  </si>
  <si>
    <t>3030003312-ФФ-мрс</t>
  </si>
  <si>
    <t>10912|3010003306-ФФ-мрв|ПС(рмл)</t>
  </si>
  <si>
    <t>3010003306-ФФ-мрв</t>
  </si>
  <si>
    <t>10912|3010003306-ФФ-мрв|Псоц(рм)</t>
  </si>
  <si>
    <t>10913|3010003307-ФФ-мрв|ПолСоц2сем(рм2 сем)</t>
  </si>
  <si>
    <t>3010003307-ФФ-мрв</t>
  </si>
  <si>
    <t>10963|3030001304-ФФ-мрв|ПМ(рмс)</t>
  </si>
  <si>
    <t>3030001304-ФФ-мрв</t>
  </si>
  <si>
    <t>10963|3030001304-ФФ-мрв|ПМлрс(рмсл)</t>
  </si>
  <si>
    <t>10966|3030001305-ФФ-мрв|ПМ(рмнс)</t>
  </si>
  <si>
    <t>3030001305-ФФ-мрв</t>
  </si>
  <si>
    <t>10966|3030001305-ФФ-мрв|ПМлрнесп(рмнсл)</t>
  </si>
  <si>
    <t>10965|3030001304-ФФ-мзв|ПМ(змс)</t>
  </si>
  <si>
    <t>3030001304-ФФ-мзв</t>
  </si>
  <si>
    <t>10965|3030001304-ФФ-мзв|ПМ(змсл)</t>
  </si>
  <si>
    <t>10968|3030001305-ФФ-мзв|ПМ(змнс)</t>
  </si>
  <si>
    <t>3030001305-ФФ-мзв</t>
  </si>
  <si>
    <t>10968|3030001305-ФФ-мзв|ПМ(змнсл)</t>
  </si>
  <si>
    <t>283998|30300753-ФФ-мрв|ПМК(рм)</t>
  </si>
  <si>
    <t>30300753-ФФ-мрв</t>
  </si>
  <si>
    <t>10971|3030001312-ФФ-мдв|ППГСангл(дм2 сем ч.ез.)</t>
  </si>
  <si>
    <t>3030001312-ФФ-мдв</t>
  </si>
  <si>
    <t>10971|3030001312-ФФ-мдв|ППГСангл(дм2 семл ч.ез.)</t>
  </si>
  <si>
    <t>10969|3030001311-ФФ-мрв|ПКрмс(рмс)</t>
  </si>
  <si>
    <t>3030001311-ФФ-мрв</t>
  </si>
  <si>
    <t>10969|3030001311-ФФ-мрв|Полконс(рм)</t>
  </si>
  <si>
    <t>10847|30300563-ФФ-мрв|ПК(рмнс)</t>
  </si>
  <si>
    <t>30300563-ФФ-мрв</t>
  </si>
  <si>
    <t>10831|30300012-ФФ-брс|Пол.(рб)</t>
  </si>
  <si>
    <t>30300012-ФФ-брс</t>
  </si>
  <si>
    <t>11530|20100282-ФКНФ-брс|ПорФ(рб)</t>
  </si>
  <si>
    <t>20100282-ФКНФ-брс</t>
  </si>
  <si>
    <t>643410|2010028301-ФКНФ-мрв|ПФ(рм)</t>
  </si>
  <si>
    <t>ПФ(рм)</t>
  </si>
  <si>
    <t>2010028301-ФКНФ-мрв</t>
  </si>
  <si>
    <t>12482|30600033-ЮФ-мрс|Пр(рм)</t>
  </si>
  <si>
    <t>30600033-ЮФ-мрс</t>
  </si>
  <si>
    <t>12483|30600033-ЮФ-мзс|Пр(зм)</t>
  </si>
  <si>
    <t>30600033-ЮФ-мзс</t>
  </si>
  <si>
    <t>12530|30600263-ЮФ-мзс|Право 2014(зм)</t>
  </si>
  <si>
    <t>30600263-ЮФ-мзс</t>
  </si>
  <si>
    <t>12559|3030010309-ЮФ-мрв|ПЕС(рм2 сем)</t>
  </si>
  <si>
    <t>3030010309-ЮФ-мрв</t>
  </si>
  <si>
    <t>12559|3030010309-ЮФ-мрв|ПЕСмп2сем(рм2 сем)</t>
  </si>
  <si>
    <t>12561|3030010310-ЮФ-мрв|ПЕС(рм3 сем.л)</t>
  </si>
  <si>
    <t>3030010310-ЮФ-мрв</t>
  </si>
  <si>
    <t>12561|3030010310-ЮФ-мрв|ПЕс(рм3 сем.)</t>
  </si>
  <si>
    <t>11600|2010001309-ФКНФ-мрв|Прев(рм)</t>
  </si>
  <si>
    <t>2010001309-ФКНФ-мрв</t>
  </si>
  <si>
    <t>11600|2010001309-ФКНФ-мрв|Прев-ан(рм)</t>
  </si>
  <si>
    <t>11619|2010013303-ФКНФ-мрв|П(рм)</t>
  </si>
  <si>
    <t>2010013303-ФКНФ-мрв</t>
  </si>
  <si>
    <t>11619|2010013303-ФКНФ-мрв|Прев-фр(рм)</t>
  </si>
  <si>
    <t>624557|2010018306-ФКНФ-мрв|П(рм)</t>
  </si>
  <si>
    <t>2010018306-ФКНФ-мрв</t>
  </si>
  <si>
    <t>11609|2010001315-ФКНФ-мрв|Прев-ан&amp;фр(рм)</t>
  </si>
  <si>
    <t>2010001315-ФКНФ-мрв</t>
  </si>
  <si>
    <t>11622|2010013308-ФКНФ-мрв|Прев-фр&amp;ан(рм)</t>
  </si>
  <si>
    <t>2010013308-ФКНФ-мрв</t>
  </si>
  <si>
    <t>11628|2010018308-ФКНФ-мрв|ПИЕ (ар)(рм)</t>
  </si>
  <si>
    <t>2010018308-ФКНФ-мрв</t>
  </si>
  <si>
    <t>11652|2010024302-ФКНФ-мрв|ПИЕ (кит)(рм)</t>
  </si>
  <si>
    <t>2010024302-ФКНФ-мрв</t>
  </si>
  <si>
    <t>11390|2010003308-ФСлФ-мрв|П(рм)</t>
  </si>
  <si>
    <t>2010003308-ФСлФ-мрв</t>
  </si>
  <si>
    <t>11399|2010003314-ФСлФ-мрв|ПРмп(рмнс)</t>
  </si>
  <si>
    <t>2010003314-ФСлФ-мрв</t>
  </si>
  <si>
    <t>147688|20103623-ФСлФ-мрв|Преводач-редактор-4(рмс)</t>
  </si>
  <si>
    <t>20103623-ФСлФ-мрв</t>
  </si>
  <si>
    <t>11407|2010003320-ФСлФ-мрв|прм-италиански(рмс)</t>
  </si>
  <si>
    <t>2010003320-ФСлФ-мрв</t>
  </si>
  <si>
    <t>11435|2010003333-ФСлФ-мрв|Пр.-р. в чужд. у.(а)(рмс)</t>
  </si>
  <si>
    <t>2010003333-ФСлФ-мрв</t>
  </si>
  <si>
    <t>11435|2010003333-ФСлФ-мрв|Прев-ред. в чужд. у.(рмс)</t>
  </si>
  <si>
    <t>11437|2010003334-ФСлФ-мрв|Перводач-редактор(А)(рмс)</t>
  </si>
  <si>
    <t>2010003334-ФСлФ-мрв</t>
  </si>
  <si>
    <t>11437|2010003334-ФСлФ-мрв|Перовадч-редактор(А)(рмс)</t>
  </si>
  <si>
    <t>11414|2010003324-ФСлФ-мрв|ПРИтНс(рм)</t>
  </si>
  <si>
    <t>2010003324-ФСлФ-мрв</t>
  </si>
  <si>
    <t>11414|2010003324-ФСлФ-мрв|ПРИтНс(рмнс)</t>
  </si>
  <si>
    <t>12569|10200062-ФНОИ-брс|ПНУП(рб)</t>
  </si>
  <si>
    <t>10200062-ФНОИ-брс</t>
  </si>
  <si>
    <t>12569|10200062-ФНОИ-брс|ПУНУП(рб)</t>
  </si>
  <si>
    <t>12571|10200062-ФНОИ-бзс|ПУНУП(зб)</t>
  </si>
  <si>
    <t>ПУНУП(зб)</t>
  </si>
  <si>
    <t>10200062-ФНОИ-бзс</t>
  </si>
  <si>
    <t>12674|1020006322-ФНОИ-мзв|ПНУПпрбак(зм5 сем.)</t>
  </si>
  <si>
    <t>1020006322-ФНОИ-мзв</t>
  </si>
  <si>
    <t>12608|10201642-ФНОИ-бзс|ПНУП 2014(зб)</t>
  </si>
  <si>
    <t>10201642-ФНОИ-бзс</t>
  </si>
  <si>
    <t>583176|10200222-ФНОИ-бзс|ПНУП(збсъкр.ср.-2г)</t>
  </si>
  <si>
    <t>ПНУП(збсъкр.ср.-2г)</t>
  </si>
  <si>
    <t>10200222-ФНОИ-бзс</t>
  </si>
  <si>
    <t>12681|1020006328-ФНОИ-мзв|ПП (уч.прав.)(зм2 сем)</t>
  </si>
  <si>
    <t>1020006328-ФНОИ-мзв</t>
  </si>
  <si>
    <t>12676|1020006324-ФНОИ-мзв|ПНУП(зм)</t>
  </si>
  <si>
    <t>1020006324-ФНОИ-мзв</t>
  </si>
  <si>
    <t>12676|1020006324-ФНОИ-мзв|ППдр.спец.(зм4 сем.)</t>
  </si>
  <si>
    <t>12621|10201763-ФНОИ-мзв|ППучителизо(зм2 сем)</t>
  </si>
  <si>
    <t>10201763-ФНОИ-мзв</t>
  </si>
  <si>
    <t>12572|10200072-ФНОИ-брс|ПУПЧЕ(рб)</t>
  </si>
  <si>
    <t>10200072-ФНОИ-брс</t>
  </si>
  <si>
    <t>12940|3050006312-ФЖМК-мзв|ПиМ(зм)</t>
  </si>
  <si>
    <t>3050006312-ФЖМК-мзв</t>
  </si>
  <si>
    <t>12853|3080008339-СтФ-мрв|ПИИМ англ (рм3 сем. ч.ез.)</t>
  </si>
  <si>
    <t>3080008339-СтФ-мрв</t>
  </si>
  <si>
    <t>12853|3080008339-СтФ-мрв|ПИИМ англ (рм3 сем.)</t>
  </si>
  <si>
    <t>12859|3080393302-СтФ-мрв|Приложна и</t>
  </si>
  <si>
    <t>3080393302-СтФ-мрв</t>
  </si>
  <si>
    <t>12859|3080393302-СтФ-мрв|Приложна икономика(рм2 сем)</t>
  </si>
  <si>
    <t>12846|3080008332-СтФ-мрв|Приложна икономика(рм3 сем.)</t>
  </si>
  <si>
    <t>3080008332-СтФ-мрв</t>
  </si>
  <si>
    <t>12847|3080008333-СтФ-мрв|ПИ-ПБ(рм5</t>
  </si>
  <si>
    <t>ПИ-ПБ(рм5</t>
  </si>
  <si>
    <t>3080008333-СтФ-мрв</t>
  </si>
  <si>
    <t>12847|3080008333-СтФ-мрв|ПИ-ПБ(рм5 сем.)</t>
  </si>
  <si>
    <t>12847|3080008333-СтФ-мрв|Приложна икономика(рм5 сем.)</t>
  </si>
  <si>
    <t>12876|3080393315-СтФ-мрв|ПИ-ПБ(рм4 сем.)</t>
  </si>
  <si>
    <t>3080393315-СтФ-мрв</t>
  </si>
  <si>
    <t>12876|3080393315-СтФ-мрв|ПИ-ПБ/4 сем/(рм4 сем.)</t>
  </si>
  <si>
    <t>11664|2010028302-ФКНФ-мрв|ПЛ(рм)</t>
  </si>
  <si>
    <t>2010028302-ФКНФ-мрв</t>
  </si>
  <si>
    <t>11664|2010028302-ФКНФ-мрв|ПЛ(рмс)</t>
  </si>
  <si>
    <t>11664|2010028302-ФКНФ-мрв|ПрЛинг(порт.)(рмс)</t>
  </si>
  <si>
    <t>11664|2010028302-ФКНФ-мрв|ПрЛинг(рмс)</t>
  </si>
  <si>
    <t>11639|2010022301-ФКНФ-мрв|ПЛ(рм)</t>
  </si>
  <si>
    <t>2010022301-ФКНФ-мрв</t>
  </si>
  <si>
    <t>11639|2010022301-ФКНФ-мрв|ПЛ(рмс)</t>
  </si>
  <si>
    <t>11639|2010022301-ФКНФ-мрв|ПрЛинг(исп.)(рмс)</t>
  </si>
  <si>
    <t>11639|2010022301-ФКНФ-мрв|ПрЛинг(рмс)</t>
  </si>
  <si>
    <t>187442|20103663-ФКНФ-мрв|ПрЛинг(исп.)(рмнс)</t>
  </si>
  <si>
    <t>20103663-ФКНФ-мрв</t>
  </si>
  <si>
    <t>187442|20103663-ФКНФ-мрв|ПрЛинг(рмнс)</t>
  </si>
  <si>
    <t>187442|20103663-ФКНФ-мрв|ПрЛинг(рмнсл)</t>
  </si>
  <si>
    <t>11665|2010028303-ФКНФ-мрв|ПрЛинг(порт.)(рмнсл)</t>
  </si>
  <si>
    <t>2010028303-ФКНФ-мрв</t>
  </si>
  <si>
    <t>11665|2010028303-ФКНФ-мрв|ПрЛинг(рмнсл)</t>
  </si>
  <si>
    <t>11627|2010018307-ФКНФ-мрв|ПЛИЕ(ар)(рм)</t>
  </si>
  <si>
    <t>2010018307-ФКНФ-мрв</t>
  </si>
  <si>
    <t>11627|2010018307-ФКНФ-мрв|ПЛИЕ(рм3 сем.)</t>
  </si>
  <si>
    <t>11705|40500032-ФМИ-брс|ПрМ</t>
  </si>
  <si>
    <t>40500032-ФМИ-брс</t>
  </si>
  <si>
    <t>11705|40500032-ФМИ-брс|ПрМ(рб)</t>
  </si>
  <si>
    <t>11731|40500143-ФМИ-мрс|ПрМ(рм-97)</t>
  </si>
  <si>
    <t>ПрМ(рм-97)</t>
  </si>
  <si>
    <t>40500143-ФМИ-мрс</t>
  </si>
  <si>
    <t>11731|40500143-ФМИ-мрс|ПрМ-97</t>
  </si>
  <si>
    <t>ПрМ-97</t>
  </si>
  <si>
    <t>12246|4030001309-БФ-мрв|ПХА(рм)</t>
  </si>
  <si>
    <t>4030001309-БФ-мрв</t>
  </si>
  <si>
    <t>12254|4030001314-БФ-мрв|ПХА-Нсп(рмнсл)</t>
  </si>
  <si>
    <t>4030001314-БФ-мрв</t>
  </si>
  <si>
    <t>11666|2010030303-ФКНФ-мрв|ПрЛиТур(рм)</t>
  </si>
  <si>
    <t>2010030303-ФКНФ-мрв</t>
  </si>
  <si>
    <t>11666|2010030303-ФКНФ-мрв|Т ПЛ(рм)</t>
  </si>
  <si>
    <t>Приобщаващо образование (2 сем)-Модерна</t>
  </si>
  <si>
    <t>571995|10201013-ФНОИ-мзв|ПОзо(зм2 сем)</t>
  </si>
  <si>
    <t>ПОзо(зм2 сем)</t>
  </si>
  <si>
    <t>10201013-ФНОИ-мзв</t>
  </si>
  <si>
    <t>12938|3050006310-ФЖМК-мзв|ПЕМ(зм)</t>
  </si>
  <si>
    <t>3050006310-ФЖМК-мзв</t>
  </si>
  <si>
    <t>12942|3050006314-ФЖМК-мзв|ПКИ2(зм2 сем)</t>
  </si>
  <si>
    <t>3050006314-ФЖМК-мзв</t>
  </si>
  <si>
    <t>12943|3050006315-ФЖМК-мзв|ПКИ3(зм3 сем.)</t>
  </si>
  <si>
    <t>3050006315-ФЖМК-мзв</t>
  </si>
  <si>
    <t>10791|30200012-ФФ-брс|Псих.(рб)</t>
  </si>
  <si>
    <t>30200012-ФФ-брс</t>
  </si>
  <si>
    <t>10947|3020001315-ФФ-мрв|ПЗсп(рмс)</t>
  </si>
  <si>
    <t>3020001315-ФФ-мрв</t>
  </si>
  <si>
    <t>10949|3020001316-ФФ-мрв|ПЗнесп(рмнс)</t>
  </si>
  <si>
    <t>3020001316-ФФ-мрв</t>
  </si>
  <si>
    <t>11002|3070006304-ФФ-мрв|ПМП(рм)</t>
  </si>
  <si>
    <t>3070006304-ФФ-мрв</t>
  </si>
  <si>
    <t>11003|3070006304-ФФ-мзв|ПМП(зм)</t>
  </si>
  <si>
    <t>3070006304-ФФ-мзв</t>
  </si>
  <si>
    <t>11012|3070006311-ФФ-мрв|ПМП(рм2 сем)</t>
  </si>
  <si>
    <t>3070006311-ФФ-мрв</t>
  </si>
  <si>
    <t>10869|30700062-ФФ-брс|ПА(рб)</t>
  </si>
  <si>
    <t>30700062-ФФ-брс</t>
  </si>
  <si>
    <t>10870|30700062-ФФ-бзс|ПА(зб)</t>
  </si>
  <si>
    <t>ПА(зб)</t>
  </si>
  <si>
    <t>30700062-ФФ-бзс</t>
  </si>
  <si>
    <t>10871|30700063-ФФ-мрв|ПА(рмс)</t>
  </si>
  <si>
    <t>ПА(рмс)</t>
  </si>
  <si>
    <t>30700063-ФФ-мрв</t>
  </si>
  <si>
    <t>10872|30700063-ФФ-мзв|ПА(зм)</t>
  </si>
  <si>
    <t>ПА(зм)</t>
  </si>
  <si>
    <t>30700063-ФФ-мзв</t>
  </si>
  <si>
    <t>10872|30700063-ФФ-мзв|ПА(змнс)</t>
  </si>
  <si>
    <t>ПА(змнс)</t>
  </si>
  <si>
    <t>11014|3070006312-ФФ-мрв|ПАр2(рм2 сем)</t>
  </si>
  <si>
    <t>3070006312-ФФ-мрв</t>
  </si>
  <si>
    <t>11016|3070006312-ФФ-мзв|ПАз2(зм2 сем)</t>
  </si>
  <si>
    <t>3070006312-ФФ-мзв</t>
  </si>
  <si>
    <t>11000|3070006302-ФФ-мрв|ПА(рм)</t>
  </si>
  <si>
    <t>3070006302-ФФ-мрв</t>
  </si>
  <si>
    <t>11000|3070006302-ФФ-мрв|ПА(рмнс)</t>
  </si>
  <si>
    <t>11000|3070006302-ФФ-мрв|ПАл(рмл)</t>
  </si>
  <si>
    <t>11001|3070006302-ФФ-мзв|ПА17z(зм3 сем.)</t>
  </si>
  <si>
    <t>3070006302-ФФ-мзв</t>
  </si>
  <si>
    <t>11001|3070006302-ФФ-мзв|ПАспец(змс)</t>
  </si>
  <si>
    <t>11006|3070006308-ФФ-мрв|ПАангл(рм ч.ез.)</t>
  </si>
  <si>
    <t>3070006308-ФФ-мрв</t>
  </si>
  <si>
    <t>11006|3070006308-ФФ-мрв|ПАангл(рм)</t>
  </si>
  <si>
    <t>12925|3050005302-ФЖМК-мрв|ПК(рм)</t>
  </si>
  <si>
    <t>3050005302-ФЖМК-мрв</t>
  </si>
  <si>
    <t>12926|3050005302-ФЖМК-мзв|ПК(зм)</t>
  </si>
  <si>
    <t>3050005302-ФЖМК-мзв</t>
  </si>
  <si>
    <t>12926|3050005302-ФЖМК-мзв|ПКмп(зм)</t>
  </si>
  <si>
    <t>10866|30501252-ФФ-брс|ПИС(рб)</t>
  </si>
  <si>
    <t>30501252-ФФ-брс</t>
  </si>
  <si>
    <t>585591|3070006303-ФФ-мзв|ПП(зм)</t>
  </si>
  <si>
    <t>ПП(зм)</t>
  </si>
  <si>
    <t>3070006303-ФФ-мзв</t>
  </si>
  <si>
    <t>12115|4020004317-ФХФ-мзв|рх(зм)</t>
  </si>
  <si>
    <t>рх(зм)</t>
  </si>
  <si>
    <t>4020004317-ФХФ-мзв</t>
  </si>
  <si>
    <t>12110|4020004314-ФХФ-мрв|РР(рм)</t>
  </si>
  <si>
    <t>РР(рм)</t>
  </si>
  <si>
    <t>4020004314-ФХФ-мрв</t>
  </si>
  <si>
    <t>12126|4020013301-ФХФ-мрв|РХРЕ(рм)</t>
  </si>
  <si>
    <t>4020013301-ФХФ-мрв</t>
  </si>
  <si>
    <t>12111|4020004314-ФХФ-мзв|РхРд(зм)</t>
  </si>
  <si>
    <t>РхРд(зм)</t>
  </si>
  <si>
    <t>4020004314-ФХФ-мзв</t>
  </si>
  <si>
    <t>12129|4020013301-ФХФ-мзв|РХРЕ(зм)</t>
  </si>
  <si>
    <t>4020013301-ФХФ-мзв</t>
  </si>
  <si>
    <t>12132|4020013303-ФХФ-мзв|РР (англ.)(зм ч.ез.)</t>
  </si>
  <si>
    <t>4020013303-ФХФ-мзв</t>
  </si>
  <si>
    <t>12433|4040002311-ГГФ-мрв|РУСР(рм)</t>
  </si>
  <si>
    <t>4040002311-ГГФ-мрв</t>
  </si>
  <si>
    <t>12433|4040002311-ГГФ-мрв|РУСР(рмнс)</t>
  </si>
  <si>
    <t>12433|4040002311-ГГФ-мрв|РУСР(рмнсл)</t>
  </si>
  <si>
    <t>12434|4040002311-ГГФ-мзв|РУСР(зм3 сем.)</t>
  </si>
  <si>
    <t>4040002311-ГГФ-мзв</t>
  </si>
  <si>
    <t>12437|4040002317-ГГФ-мрв|РУСР (2 сем.)(рм2 сем)</t>
  </si>
  <si>
    <t>4040002317-ГГФ-мрв</t>
  </si>
  <si>
    <t>12438|4040002317-ГГФ-мзв|РУСР(змнс)</t>
  </si>
  <si>
    <t>РУСР(змнс)</t>
  </si>
  <si>
    <t>4040002317-ГГФ-мзв</t>
  </si>
  <si>
    <t>12438|4040002317-ГГФ-мзв|РУСР(змнсл)</t>
  </si>
  <si>
    <t>РУСР(змнсл)</t>
  </si>
  <si>
    <t>12438|4040002317-ГГФ-мзс|РУСР(зм)</t>
  </si>
  <si>
    <t>РУСР(зм)</t>
  </si>
  <si>
    <t>4040002317-ГГФ-мзс</t>
  </si>
  <si>
    <t>11826|4060003311-ФМИ-мрв|РСиМТ(м)</t>
  </si>
  <si>
    <t>4060003311-ФМИ-мрв</t>
  </si>
  <si>
    <t>11826|4060003311-ФМИ-мрв|РСиМТ(рм)</t>
  </si>
  <si>
    <t>11861|4060003332-ФМИ-мрв|РСМТ-летен прием(рмл)</t>
  </si>
  <si>
    <t>4060003332-ФМИ-мрв</t>
  </si>
  <si>
    <t>12675|1020006323-ФНОИ-мзв|РЧО(зм3 сем.)</t>
  </si>
  <si>
    <t>1020006323-ФНОИ-мзв</t>
  </si>
  <si>
    <t>278412|10202173-ФНОИ-мзв|РЧО/без че/(зм3 сем.)</t>
  </si>
  <si>
    <t>10202173-ФНОИ-мзв</t>
  </si>
  <si>
    <t>278411|10202183-ФНОИ-мзв|РЧО/с че/(зм2 сем)</t>
  </si>
  <si>
    <t>10202183-ФНОИ-мзв</t>
  </si>
  <si>
    <t>12305|5110001304-БФ-мрв|РБ(рм)</t>
  </si>
  <si>
    <t>5110001304-БФ-мрв</t>
  </si>
  <si>
    <t>281062|5110001304-БФ-мзв|РБ з.о.(зм)</t>
  </si>
  <si>
    <t>5110001304-БФ-мзв</t>
  </si>
  <si>
    <t>12423|4040002305-ГГФ-мрв|РиПГ(рм)</t>
  </si>
  <si>
    <t>4040002305-ГГФ-мрв</t>
  </si>
  <si>
    <t>12424|4040002305-ГГФ-мзв|РПГ(зм)</t>
  </si>
  <si>
    <t>РПГ(зм)</t>
  </si>
  <si>
    <t>4040002305-ГГФ-мзв</t>
  </si>
  <si>
    <t>12380|3070023302-ГГФ-мрв|РС(рмнс)</t>
  </si>
  <si>
    <t>3070023302-ГГФ-мрв</t>
  </si>
  <si>
    <t>12380|3070023302-ГГФ-мрв|РС(рмс)</t>
  </si>
  <si>
    <t>12381|3070023302-ГГФ-мзв|РС(змс)</t>
  </si>
  <si>
    <t>3070023302-ГГФ-мзв</t>
  </si>
  <si>
    <t>12322|30702233-ГГФ-мрв|РС - след ОКС"ПБ"(рм4 сем.)</t>
  </si>
  <si>
    <t>30702233-ГГФ-мрв</t>
  </si>
  <si>
    <t>12383|3070023303-ГГФ-мрв|РС(рм ОКС"ПБ")(рм4 сем.)</t>
  </si>
  <si>
    <t>3070023303-ГГФ-мрв</t>
  </si>
  <si>
    <t>12383|3070023303-ГГФ-мрв|РС(рмнсл)</t>
  </si>
  <si>
    <t>12383|3070023303-ГГФ-мрв|РС(след ОКС"ПБ")(рм4 сем.)</t>
  </si>
  <si>
    <t>12384|3070023303-ГГФ-мзв|РС(змнс)</t>
  </si>
  <si>
    <t>3070023303-ГГФ-мзв</t>
  </si>
  <si>
    <t>12384|3070023303-ГГФ-мзв|РС(змнсл)</t>
  </si>
  <si>
    <t>12321|30702223-ГГФ-мзв|РС - след ОКС"ПБ"(зм5 сем.)</t>
  </si>
  <si>
    <t>30702223-ГГФ-мзв</t>
  </si>
  <si>
    <t>12396|3070023310-ГГФ-мрв|РС (за ОКС "ПБ")(рм5 сем.)</t>
  </si>
  <si>
    <t>3070023310-ГГФ-мрв</t>
  </si>
  <si>
    <t>12397|3070023310-ГГФ-мзв|РС(след ОКС"ПБ")(зм5 сем.)</t>
  </si>
  <si>
    <t>3070023310-ГГФ-мзв</t>
  </si>
  <si>
    <t>12319|30702203-ГГФ-мзв|РС(змнс)(зм3 сем.)</t>
  </si>
  <si>
    <t>30702203-ГГФ-мзв</t>
  </si>
  <si>
    <t>12317|30702183-ГГФ-мрв|РС(рмс)(рм2 сем)</t>
  </si>
  <si>
    <t>30702183-ГГФ-мрв</t>
  </si>
  <si>
    <t>12441|4040002319-ГГФ-мрв|РГРС(рм2 сем)</t>
  </si>
  <si>
    <t>4040002319-ГГФ-мрв</t>
  </si>
  <si>
    <t>284197|40400963-ГГФ-мрв|РИУР (рб)(рмс)</t>
  </si>
  <si>
    <t>40400963-ГГФ-мрв</t>
  </si>
  <si>
    <t>12313|30700232-ГГФ-брс|РРП(рб)</t>
  </si>
  <si>
    <t>30700232-ГГФ-брс</t>
  </si>
  <si>
    <t>12313|30700232-ГГФ-брс|РРиП(рб)</t>
  </si>
  <si>
    <t>12425|4040002306-ГГФ-мрв|РРиУ(рм)</t>
  </si>
  <si>
    <t>4040002306-ГГФ-мрв</t>
  </si>
  <si>
    <t>12432|4040002310-ГГФ-мрв|РРУ (спб)(рм5 сем.)</t>
  </si>
  <si>
    <t>4040002310-ГГФ-мрв</t>
  </si>
  <si>
    <t>12432|4040002310-ГГФ-мрв|РРУмп(рм5 сем.)</t>
  </si>
  <si>
    <t>12457|4040002329-ГГФ-мрв|РРУ(рмс)2сем.(рм2 сем)</t>
  </si>
  <si>
    <t>4040002329-ГГФ-мрв</t>
  </si>
  <si>
    <t>12457|4040002329-ГГФ-мрв|РРУ/специалисти(рм2 сем)</t>
  </si>
  <si>
    <t>12426|4040002306-ГГФ-мзв|РРУ(змс)3сем.(зм3 сем.)</t>
  </si>
  <si>
    <t>4040002306-ГГФ-мзв</t>
  </si>
  <si>
    <t>12426|4040002306-ГГФ-мзв|РРУ/ специалисти(зм3 сем.)</t>
  </si>
  <si>
    <t>12427|4040002306-ГГФ-мзв|РРУ(зм)</t>
  </si>
  <si>
    <t>12435|4040002315-ГГФ-мзв|РРУ(нмз)(змнс)</t>
  </si>
  <si>
    <t>4040002315-ГГФ-мзв</t>
  </si>
  <si>
    <t>66653|4040002334-ГГФ-мзв|РРУ(змнс)4сем.(зм4 сем.л)</t>
  </si>
  <si>
    <t>4040002334-ГГФ-мзв</t>
  </si>
  <si>
    <t>66653|4040002334-ГГФ-мзв|РРУ/ неспециалисти(зм4 сем.л)</t>
  </si>
  <si>
    <t>12917|30501073-ФЖМК-мзв|РПК2(зм2 сем)</t>
  </si>
  <si>
    <t>30501073-ФЖМК-мзв</t>
  </si>
  <si>
    <t>12928|3050005304-ФЖМК-мзв|РПК(зм)</t>
  </si>
  <si>
    <t>3050005304-ФЖМК-мзв</t>
  </si>
  <si>
    <t>12719|1030012304-ФНОИ-мрв|РДП(рм2 сем)</t>
  </si>
  <si>
    <t>1030012304-ФНОИ-мрв</t>
  </si>
  <si>
    <t>12718|1030012303-ФНОИ-мрв|РДП (др.проф.напр.)(рм3 сем.)</t>
  </si>
  <si>
    <t>1030012303-ФНОИ-мрв</t>
  </si>
  <si>
    <t>11475|2040001312-БсФ-мзв|Рел. и образование(зм2 сем)</t>
  </si>
  <si>
    <t>2040001312-БсФ-мзв</t>
  </si>
  <si>
    <t>11477|2040001313-БсФ-мзв|Религия и образовани(зм4 сем.)</t>
  </si>
  <si>
    <t>2040001313-БсФ-мзв</t>
  </si>
  <si>
    <t>11457|20400162-БсФ-брс|Религията в Европа(рб)</t>
  </si>
  <si>
    <t>20400162-БсФ-брс</t>
  </si>
  <si>
    <t>11459|20400162-БсФ-бзс|Религията в Европа(зб)</t>
  </si>
  <si>
    <t>20400162-БсФ-бзс</t>
  </si>
  <si>
    <t>10904|2030002305-ФФ-мрв|Рет(рмс)</t>
  </si>
  <si>
    <t>2030002305-ФФ-мрв</t>
  </si>
  <si>
    <t>10904|2030002305-ФФ-мрв|Рет(рмсл)</t>
  </si>
  <si>
    <t>10905|2030002305-ФФ-мзв|Рет з с(зм2 сем)</t>
  </si>
  <si>
    <t>2030002305-ФФ-мзв</t>
  </si>
  <si>
    <t>10905|2030002305-ФФ-мзв|рет(змсл)</t>
  </si>
  <si>
    <t>10905|2030002305-ФФ-мзв|рит(змс)</t>
  </si>
  <si>
    <t>10743|20300023-ФФ-мрв|Р(рм)</t>
  </si>
  <si>
    <t>20300023-ФФ-мрв</t>
  </si>
  <si>
    <t>10743|20300023-ФФ-мрв|Р(рмнс)</t>
  </si>
  <si>
    <t>10743|20300023-ФФ-мрв|Рет(рмнс)</t>
  </si>
  <si>
    <t>10743|20300023-ФФ-мрв|Рет(рмнсл)</t>
  </si>
  <si>
    <t>20300023-ФФ-мзв</t>
  </si>
  <si>
    <t>10746|20300023-ФФ-мзв|Рет(змнс)</t>
  </si>
  <si>
    <t>10746|20300023-ФФ-мзв|Рет(змнсл)</t>
  </si>
  <si>
    <t>10746|20300023-ФФ-мзв|рит(змнс)</t>
  </si>
  <si>
    <t>11532|20100292-ФКНФ-брс|РФ(рб)</t>
  </si>
  <si>
    <t>20100292-ФКНФ-брс</t>
  </si>
  <si>
    <t>11532|20100292-ФКНФ-брс|РумФ(рб)</t>
  </si>
  <si>
    <t>11444|2010009308-ФСлФ-мрв|Руска литература, ку(рм)</t>
  </si>
  <si>
    <t>2010009308-ФСлФ-мрв</t>
  </si>
  <si>
    <t>11446|2010009309-ФСлФ-мрв|Руска литература(рмнс)</t>
  </si>
  <si>
    <t>2010009309-ФСлФ-мрв</t>
  </si>
  <si>
    <t>11330|20100092-ФСлФ-брс|РФ(рб)</t>
  </si>
  <si>
    <t>20100092-ФСлФ-брс</t>
  </si>
  <si>
    <t>11331|20100092-ФСлФ-бзс|РФ(зб)</t>
  </si>
  <si>
    <t>РФ(зб)</t>
  </si>
  <si>
    <t>20100092-ФСлФ-бзс</t>
  </si>
  <si>
    <t>584932|20100403-ФСлФ-мрс|РФ(рм)</t>
  </si>
  <si>
    <t>РФ(рм)</t>
  </si>
  <si>
    <t>20100403-ФСлФ-мрс</t>
  </si>
  <si>
    <t>583179|1020006317-ФНОИ-мзв|СИИИД(зм)</t>
  </si>
  <si>
    <t>СИИИД(зм)</t>
  </si>
  <si>
    <t>1020006317-ФНОИ-мзв</t>
  </si>
  <si>
    <t>12696|1020012314-ФНОИ-мрв|Стклу(рм)</t>
  </si>
  <si>
    <t>Стклу(рм)</t>
  </si>
  <si>
    <t>1020012314-ФНОИ-мрв</t>
  </si>
  <si>
    <t>12696|1020012314-ФНОИ-мрв|Стклу(рм2 сем)</t>
  </si>
  <si>
    <t>Стклу(рм2 сем)</t>
  </si>
  <si>
    <t>12697|1020012314-ФНОИ-мзв|Стклу(зм)</t>
  </si>
  <si>
    <t>Стклу(зм)</t>
  </si>
  <si>
    <t>1020012314-ФНОИ-мзв</t>
  </si>
  <si>
    <t>12698|1020012321-ФНОИ-мрв|Стклу(рмнс)</t>
  </si>
  <si>
    <t>1020012321-ФНОИ-мрв</t>
  </si>
  <si>
    <t>12698|1020012321-ФНОИ-мрв|Стлу(рмчс)(рм3 сем.)</t>
  </si>
  <si>
    <t>276191|1020012321-ФНОИ-мзв|СТКЛУ(зм3 сем.)</t>
  </si>
  <si>
    <t>1020012321-ФНОИ-мзв</t>
  </si>
  <si>
    <t>11645|2010022306-ФКНФ-мрв|СЕиР(рм ч.ез.)</t>
  </si>
  <si>
    <t>2010022306-ФКНФ-мрв</t>
  </si>
  <si>
    <t>11645|2010022306-ФКНФ-мрв|СЕиР(рм)</t>
  </si>
  <si>
    <t>11649|2010022309-ФКНФ-мрв|СЕиР(рмнс ч.ез.)</t>
  </si>
  <si>
    <t>2010022309-ФКНФ-мрв</t>
  </si>
  <si>
    <t>11649|2010022309-ФКНФ-мрв|СЕиР(рмнс)</t>
  </si>
  <si>
    <t>Семиотика, език и реклама (на английски език) - междуфакултетна</t>
  </si>
  <si>
    <t>628587|20103943-ФКНФ-мрв|СЕиР(рм2 сем ч.ез.)</t>
  </si>
  <si>
    <t>СЕиР(рм2 сем ч.ез.)</t>
  </si>
  <si>
    <t>20103943-ФКНФ-мрв</t>
  </si>
  <si>
    <t>11647|2010022308-ФКНФ-мрв|СЕиР(рмнсл ч.ез.)</t>
  </si>
  <si>
    <t>2010022308-ФКНФ-мрв</t>
  </si>
  <si>
    <t>11647|2010022308-ФКНФ-мрв|СЕиР(рмнсл)</t>
  </si>
  <si>
    <t>11541|20100882-ФКНФ-брс|Ск(рб)</t>
  </si>
  <si>
    <t>20100882-ФКНФ-брс</t>
  </si>
  <si>
    <t>11539|20100363-ФКНФ-мрс|Ск(рм)</t>
  </si>
  <si>
    <t>Ск(рм)</t>
  </si>
  <si>
    <t>20100363-ФКНФ-мрс</t>
  </si>
  <si>
    <t>11333|20100103-ФСлФ-мрс|СлФ(рм)</t>
  </si>
  <si>
    <t>20100103-ФСлФ-мрс</t>
  </si>
  <si>
    <t>12614|10201723-ФНОИ-мрв|СРР(неспец.)(рм4 сем.)</t>
  </si>
  <si>
    <t>10201723-ФНОИ-мрв</t>
  </si>
  <si>
    <t>12615|10201723-ФНОИ-мзв|СРРнеспец.(зм4 сем.)</t>
  </si>
  <si>
    <t>10201723-ФНОИ-мзв</t>
  </si>
  <si>
    <t>278416|10202153-ФНОИ-мзв|СРР(специалисти)(зм2 сем)</t>
  </si>
  <si>
    <t>10202153-ФНОИ-мзв</t>
  </si>
  <si>
    <t>278416|10202153-ФНОИ-мзв|СРРзо(зм2 сем)</t>
  </si>
  <si>
    <t>11828|4060003312-ФМИ-мрв|СТ(рм)</t>
  </si>
  <si>
    <t>4060003312-ФМИ-мрв</t>
  </si>
  <si>
    <t>11828|4060003312-ФМИ-мрв|СофТех</t>
  </si>
  <si>
    <t>11828|4060003312-ФМИ-мрв|СофТех(рм)</t>
  </si>
  <si>
    <t>11760|40600272-ФМИ-брс|СИ(рб)</t>
  </si>
  <si>
    <t>40600272-ФМИ-брс</t>
  </si>
  <si>
    <t>141646|30200583-ФФ-мрв|СКрПсих(рм3 сем.)</t>
  </si>
  <si>
    <t>30200583-ФФ-мрв</t>
  </si>
  <si>
    <t>Социална и криминална психология (за бакалаври по Психология)-3 сем.</t>
  </si>
  <si>
    <t>557880|30200653-ФФ-мрв|СКПсп(рм3 сем.)</t>
  </si>
  <si>
    <t>СКПсп(рм3 сем.)</t>
  </si>
  <si>
    <t>30200653-ФФ-мрв</t>
  </si>
  <si>
    <t>Социална и криминална психология (за бакалаври хуманитарни и други специалности)-5 сем.</t>
  </si>
  <si>
    <t>557881|30200663-ФФ-мрв|СКПнесп(рм5 сем.)</t>
  </si>
  <si>
    <t>СКПнесп(рм5 сем.)</t>
  </si>
  <si>
    <t>30200663-ФФ-мрв</t>
  </si>
  <si>
    <t>10940|3020001309-ФФ-мрв|СЮП(рм3 сем.)</t>
  </si>
  <si>
    <t>3020001309-ФФ-мрв</t>
  </si>
  <si>
    <t>10940|3020001309-ФФ-мрв|СЮП~(рм3 сем.)</t>
  </si>
  <si>
    <t>12574|10200102-ФНОИ-брс|Соц.П (рб)</t>
  </si>
  <si>
    <t>10200102-ФНОИ-брс</t>
  </si>
  <si>
    <t>12576|10200102-ФНОИ-бзс|Соц.П(зб)</t>
  </si>
  <si>
    <t>Соц.П(зб)</t>
  </si>
  <si>
    <t>10200102-ФНОИ-бзс</t>
  </si>
  <si>
    <t>12610|10201652-ФНОИ-бзс|СП 2014(зб)</t>
  </si>
  <si>
    <t>10201652-ФНОИ-бзс</t>
  </si>
  <si>
    <t>11289|3040002305-ФП-мзв|СРОС(зм3 сем.)</t>
  </si>
  <si>
    <t>СРОС(зм3 сем.)</t>
  </si>
  <si>
    <t>3040002305-ФП-мзв</t>
  </si>
  <si>
    <t>11309|3040002314-ФП-мзв|СРБМ(зм2 сем)</t>
  </si>
  <si>
    <t>3040002314-ФП-мзв</t>
  </si>
  <si>
    <t>11307|3040002313-ФП-мзв|СРБМ(зм3 сем.)</t>
  </si>
  <si>
    <t>3040002313-ФП-мзв</t>
  </si>
  <si>
    <t>11290|3040002306-ФП-мзв|СРсД(зм2 сем)</t>
  </si>
  <si>
    <t>СРсД(зм2 сем)</t>
  </si>
  <si>
    <t>3040002306-ФП-мзв</t>
  </si>
  <si>
    <t>11291|3040002307-ФП-мзв|СРсД(зм3 сем.)</t>
  </si>
  <si>
    <t>СРсД(зм3 сем.)</t>
  </si>
  <si>
    <t>3040002307-ФП-мзв</t>
  </si>
  <si>
    <t>11299|3040002311-ФП-мрв|СРДС(рм2 сем)</t>
  </si>
  <si>
    <t>3040002311-ФП-мрв</t>
  </si>
  <si>
    <t>11302|3040002312-ФП-мрв|СРДС(рм3 сем.)</t>
  </si>
  <si>
    <t>3040002312-ФП-мрв</t>
  </si>
  <si>
    <t>11300|3040002311-ФП-мзв|СРДС(зм2 сем)</t>
  </si>
  <si>
    <t>3040002311-ФП-мзв</t>
  </si>
  <si>
    <t>11305|3040002312-ФП-мзв|СРДС(зм3 сем.)</t>
  </si>
  <si>
    <t>3040002312-ФП-мзв</t>
  </si>
  <si>
    <t>11230|30400022-ФП-брс|СД(рб)</t>
  </si>
  <si>
    <t>30400022-ФП-брс</t>
  </si>
  <si>
    <t>11232|30400022-ФП-бзс|СД(зб)</t>
  </si>
  <si>
    <t>30400022-ФП-бзс</t>
  </si>
  <si>
    <t>10878|2030001305-ФФ-мрв|СИП(рм)</t>
  </si>
  <si>
    <t>2030001305-ФФ-мрв</t>
  </si>
  <si>
    <t>10878|2030001305-ФФ-мрв|СИП(рмл)</t>
  </si>
  <si>
    <t>10878|2030001305-ФФ-мрв|Социални изследвания(рмл)</t>
  </si>
  <si>
    <t>10879|2030001305-ФФ-мзв|СИП (л)(змл)</t>
  </si>
  <si>
    <t>2030001305-ФФ-мзв</t>
  </si>
  <si>
    <t>10879|2030001305-ФФ-мзв|СИП(зм)</t>
  </si>
  <si>
    <t>12687|1020010305-ФНОИ-мзв|Спдп(зм)</t>
  </si>
  <si>
    <t>1020010305-ФНОИ-мзв</t>
  </si>
  <si>
    <t>583173|1020010306-ФНОИ-мрв|Спс(рм)</t>
  </si>
  <si>
    <t>Спс(рм)</t>
  </si>
  <si>
    <t>1020010306-ФНОИ-мрв</t>
  </si>
  <si>
    <t>10908|3010003303-ФФ-мрв|СДСмп(рм)</t>
  </si>
  <si>
    <t>СДСмп(рм)</t>
  </si>
  <si>
    <t>3010003303-ФФ-мрв</t>
  </si>
  <si>
    <t>10775|30100032-ФФ-брс|Соц.(рб)</t>
  </si>
  <si>
    <t>30100032-ФФ-брс</t>
  </si>
  <si>
    <t>12580|10200122-ФНОИ-брс|Спец.П(рб)</t>
  </si>
  <si>
    <t>10200122-ФНОИ-брс</t>
  </si>
  <si>
    <t>12582|10200122-ФНОИ-бзс|Спец.П(зб)</t>
  </si>
  <si>
    <t>Спец.П(зб)</t>
  </si>
  <si>
    <t>10200122-ФНОИ-бзс</t>
  </si>
  <si>
    <t>12583|10200123-ФНОИ-мрв|СП(несп)(рмнс)</t>
  </si>
  <si>
    <t>10200123-ФНОИ-мрв</t>
  </si>
  <si>
    <t>12583|10200123-ФНОИ-мрв|Сп(рм)</t>
  </si>
  <si>
    <t>12709|1020012330-ФНОИ-мрв|СПдр.пед.спец.(рм3 сем.)</t>
  </si>
  <si>
    <t>1020012330-ФНОИ-мрв</t>
  </si>
  <si>
    <t>12584|10200123-ФНОИ-мзв|СП(несп)(зм)</t>
  </si>
  <si>
    <t>10200123-ФНОИ-мзв</t>
  </si>
  <si>
    <t>12584|10200123-ФНОИ-мзв|СП(несп)(змнс)</t>
  </si>
  <si>
    <t>12706|1020012328-ФНОИ-мрв|СП(сп2)(рм2 сем)</t>
  </si>
  <si>
    <t>1020012328-ФНОИ-мрв</t>
  </si>
  <si>
    <t>12612|10201662-ФНОИ-бзс|Спец. п-ка 2014(зб)</t>
  </si>
  <si>
    <t>10201662-ФНОИ-бзс</t>
  </si>
  <si>
    <t>12616|10201733-ФНОИ-мрв|СПзав.др.спец.ро(рм2 сем)</t>
  </si>
  <si>
    <t>10201733-ФНОИ-мрв</t>
  </si>
  <si>
    <t>12617|10201743-ФНОИ-мзв|СПзав.др.спец.(зм4 сем.)</t>
  </si>
  <si>
    <t>10201743-ФНОИ-мзв</t>
  </si>
  <si>
    <t>12617|10201743-ФНОИ-мзв|СПзо(зм4 сем.)</t>
  </si>
  <si>
    <t>12711|1020012331-ФНОИ-мрв|СП(пед.спец. ае рм)(рм3 сем. ч.ез.)</t>
  </si>
  <si>
    <t>1020012331-ФНОИ-мрв</t>
  </si>
  <si>
    <t>12711|1020012331-ФНОИ-мрв|СПобае(рм3 сем. ч.ез.)</t>
  </si>
  <si>
    <t>12713|1020012332-ФНОИ-мрв|СП(пс ае рм лп)(рм3 сем.л ч.ез.)</t>
  </si>
  <si>
    <t>1020012332-ФНОИ-мрв</t>
  </si>
  <si>
    <t>12714|1020012333-ФНОИ-мрв|СП(пс ае рм лп)(рмл ч.ез.)</t>
  </si>
  <si>
    <t>1020012333-ФНОИ-мрв</t>
  </si>
  <si>
    <t>12944|3050006316-ФЖМК-мзв|СЖ(зм3 сем.)</t>
  </si>
  <si>
    <t>3050006316-ФЖМК-мзв</t>
  </si>
  <si>
    <t>12732|1030055301-ФНОИ-мрв|СДТзав.пед.спец.(рм2 сем)</t>
  </si>
  <si>
    <t>1030055301-ФНОИ-мрв</t>
  </si>
  <si>
    <t>11159|2020002350-ИФ-мрв|Средиземном. КЦАС(рмнс)</t>
  </si>
  <si>
    <t>2020002350-ИФ-мрв</t>
  </si>
  <si>
    <t>11159|2020002350-ИФ-мрв|Средиземноморски КЦА(рм)</t>
  </si>
  <si>
    <t>11106|2020002319-ИФ-мрв|СОИК(рм)</t>
  </si>
  <si>
    <t>2020002319-ИФ-мрв</t>
  </si>
  <si>
    <t>11106|2020002319-ИФ-мрв|СОИПК(рмс)</t>
  </si>
  <si>
    <t>11118|2020002327-ИФ-мрв|СОИК(рмнс)</t>
  </si>
  <si>
    <t>СОИК(рмнс)</t>
  </si>
  <si>
    <t>2020002327-ИФ-мрв</t>
  </si>
  <si>
    <t>11118|2020002327-ИФ-мрв|СОИПК(рмнс)</t>
  </si>
  <si>
    <t>СОИПК(рмнс)</t>
  </si>
  <si>
    <t>11107|2020002319-ИФ-мзв|СОИК(зм)</t>
  </si>
  <si>
    <t>2020002319-ИФ-мзв</t>
  </si>
  <si>
    <t>11107|2020002319-ИФ-мзв|СОИПК(зм)</t>
  </si>
  <si>
    <t>11107|2020002319-ИФ-мзв|СОИПК(змс)</t>
  </si>
  <si>
    <t>11119|2020002327-ИФ-мзв|СОИК(змнс)</t>
  </si>
  <si>
    <t>СОИК(змнс)</t>
  </si>
  <si>
    <t>2020002327-ИФ-мзв</t>
  </si>
  <si>
    <t>11168|2020002354-ИФ-мзв|Средн. общество(змнс)</t>
  </si>
  <si>
    <t>Средн. общество(змнс)</t>
  </si>
  <si>
    <t>2020002354-ИФ-мзв</t>
  </si>
  <si>
    <t>11392|2010003309-ФСлФ-мрв|СтБ(рм)</t>
  </si>
  <si>
    <t>2010003309-ФСлФ-мрв</t>
  </si>
  <si>
    <t>11392|2010003309-ФСлФ-мрв|Старобългаристика(рмнс)</t>
  </si>
  <si>
    <t>11393|2010003309-ФСлФ-мзв|Старобългаристика(змнс)</t>
  </si>
  <si>
    <t>2010003309-ФСлФ-мзв</t>
  </si>
  <si>
    <t>11393|2010003309-ФСлФ-мзв|Старобългаристика(змс)</t>
  </si>
  <si>
    <t>11419|2010003327-ФСлФ-мрв|Старобългаристика(рмнс)</t>
  </si>
  <si>
    <t>2010003327-ФСлФ-мрв</t>
  </si>
  <si>
    <t>11419|2010003327-ФСлФ-мрв|Старобългаристика~(рмнс)</t>
  </si>
  <si>
    <t>11397|2010003312-ФСлФ-мрв|СКВКмп(рмс)</t>
  </si>
  <si>
    <t>2010003312-ФСлФ-мрв</t>
  </si>
  <si>
    <t>11707|40500042-ФМИ-брс|Стат(рб)</t>
  </si>
  <si>
    <t>40500042-ФМИ-брс</t>
  </si>
  <si>
    <t>12835|3080008318-СтФ-мрв|СФИ(рм3 сем.)</t>
  </si>
  <si>
    <t>3080008318-СтФ-мрв</t>
  </si>
  <si>
    <t>12836|3080008319-СтФ-мрв|СФИ(рм5 сем.)</t>
  </si>
  <si>
    <t>3080008319-СтФ-мрв</t>
  </si>
  <si>
    <t>12878|3080393316-СтФ-мрв|СИА(рм2 се</t>
  </si>
  <si>
    <t>3080393316-СтФ-мрв</t>
  </si>
  <si>
    <t>12878|3080393316-СтФ-мрв|СИА(рм2 сем)</t>
  </si>
  <si>
    <t>12848|3080008334-СтФ-мрв|СИА(рм3 сем.)</t>
  </si>
  <si>
    <t>3080008334-СтФ-мрв</t>
  </si>
  <si>
    <t>12879|3080393317-СтФ-мрв|СИА(4сем.)</t>
  </si>
  <si>
    <t>3080393317-СтФ-мрв</t>
  </si>
  <si>
    <t>12879|3080393317-СтФ-мрв|СИА(4сем.)(рм4 сем.)</t>
  </si>
  <si>
    <t>12849|3080008335-СтФ-мрв|СИА(рм5 сем.)</t>
  </si>
  <si>
    <t>3080008335-СтФ-мрв</t>
  </si>
  <si>
    <t>12849|3080008335-СтФ-мрв|СИА-ПБ(рм5 сем.)</t>
  </si>
  <si>
    <t>12880|3080393318-СтФ-мрв|СИА-ПБ(рм4</t>
  </si>
  <si>
    <t>3080393318-СтФ-мрв</t>
  </si>
  <si>
    <t>12880|3080393318-СтФ-мрв|СИА-ПБ(рм4 сем.)</t>
  </si>
  <si>
    <t>12738|30700072-СтФ-брс|СУ (немска програма)(рб)</t>
  </si>
  <si>
    <t>30700072-СтФ-брс</t>
  </si>
  <si>
    <t>12738|30700072-СтФ-брс|СУ (рб)</t>
  </si>
  <si>
    <t>12738|30700072-СтФ-брс|СУ англ.език(рб)</t>
  </si>
  <si>
    <t>12738|30700072-СтФ-брс|СУ фр(рб)</t>
  </si>
  <si>
    <t>12738|30700072-СтФ-брс|СУ френска програма(рб)</t>
  </si>
  <si>
    <t>12738|30700072-СтФ-брс|СУ(рб)</t>
  </si>
  <si>
    <t>12789|3070007306-СтФ-мрв|СтрУ(рм)</t>
  </si>
  <si>
    <t>СтрУ(рм)</t>
  </si>
  <si>
    <t>3070007306-СтФ-мрв</t>
  </si>
  <si>
    <t>12247|4030001310-БФ-мрв|СБот(рм)</t>
  </si>
  <si>
    <t>4030001310-БФ-мрв</t>
  </si>
  <si>
    <t>12843|3080008329-СтФ-мрв|СиК(рм3 сем.)</t>
  </si>
  <si>
    <t>3080008329-СтФ-мрв</t>
  </si>
  <si>
    <t>12777|30805223-СтФ-мрв|Счетоводство и одит(рм3 сем.)</t>
  </si>
  <si>
    <t>30805223-СтФ-мрв</t>
  </si>
  <si>
    <t>12866|3080393306-СтФ-мрв|Счетоводство и одит(рм5 сем.)</t>
  </si>
  <si>
    <t>3080393306-СтФ-мрв</t>
  </si>
  <si>
    <t>12778|30805233-СтФ-мрв|Счетоводство и одит(рм5 сем.)</t>
  </si>
  <si>
    <t>30805233-СтФ-мрв</t>
  </si>
  <si>
    <t>12783|30806512-СтФ-брс|СФДП АЕ(рб ч.ез.)</t>
  </si>
  <si>
    <t>30806512-СтФ-брс</t>
  </si>
  <si>
    <t>11662|2010027303-ФКНФ-мрв|СГЕК(рм2 сем)</t>
  </si>
  <si>
    <t>2010027303-ФКНФ-мрв</t>
  </si>
  <si>
    <t>11468|2040001310-БсФ-мрв|САБ(рм2 сем)</t>
  </si>
  <si>
    <t>2040001310-БсФ-мрв</t>
  </si>
  <si>
    <t>11471|2040001311-БсФ-мрв|САБ(рм4 сем.)</t>
  </si>
  <si>
    <t>2040001311-БсФ-мрв</t>
  </si>
  <si>
    <t>11470|2040001310-БсФ-мзв|САБМПзо2(зм2 сем)</t>
  </si>
  <si>
    <t>2040001310-БсФ-мзв</t>
  </si>
  <si>
    <t>11473|2040001311-БсФ-мзв|САБ(зм4 сем.)</t>
  </si>
  <si>
    <t>2040001311-БсФ-мзв</t>
  </si>
  <si>
    <t>12117|4020004318-ФХФ-мрв|СМСАОС(рм)</t>
  </si>
  <si>
    <t>4020004318-ФХФ-мрв</t>
  </si>
  <si>
    <t>11260|1020005314-ФП-мрв|Съвр.образ.техн.(рм2 сем)</t>
  </si>
  <si>
    <t>1020005314-ФП-мрв</t>
  </si>
  <si>
    <t>11262|1020005314-ФП-мзв|Съв.образ.техн.(зм2 сем)</t>
  </si>
  <si>
    <t>1020005314-ФП-мзв</t>
  </si>
  <si>
    <t>11275|1020005320-ФП-мрв|Съвр.образ.техн.(рм3 сем.)</t>
  </si>
  <si>
    <t>1020005320-ФП-мрв</t>
  </si>
  <si>
    <t>11278|1020005320-ФП-мзв|Съвр.образ.техн.(зм3 сем.)</t>
  </si>
  <si>
    <t>1020005320-ФП-мзв</t>
  </si>
  <si>
    <t>12112|4020004315-ФХФ-мрв|ССХМ(рм)</t>
  </si>
  <si>
    <t>ССХМ(рм)</t>
  </si>
  <si>
    <t>4020004315-ФХФ-мрв</t>
  </si>
  <si>
    <t>12136|4020015304-ФХФ-мрв|ССХМА(рм)</t>
  </si>
  <si>
    <t>4020015304-ФХФ-мрв</t>
  </si>
  <si>
    <t>11938|40100673-ФзФ-мрв|ТНТ(рм3 сем.)</t>
  </si>
  <si>
    <t>ТНТ(рм3 сем.)</t>
  </si>
  <si>
    <t>40100673-ФзФ-мрв</t>
  </si>
  <si>
    <t>11940|40100673-ФзФ-мзв|ТНН(зм3 сем.)</t>
  </si>
  <si>
    <t>ТНН(зм3 сем.)</t>
  </si>
  <si>
    <t>40100673-ФзФ-мзв</t>
  </si>
  <si>
    <t>11940|40100673-ФзФ-мзв|ТНТ(зм3 сем.)</t>
  </si>
  <si>
    <t>ТНТ(зм3 сем.)</t>
  </si>
  <si>
    <t>11448|20400012-БсФ-брс|Бс(рб)</t>
  </si>
  <si>
    <t>20400012-БсФ-брс</t>
  </si>
  <si>
    <t>11448|20400012-БсФ-брс|Теология(рб)</t>
  </si>
  <si>
    <t>11449|20400012-БсФ-бзс|Теология 2013(зб)</t>
  </si>
  <si>
    <t>20400012-БсФ-бзс</t>
  </si>
  <si>
    <t>11450|20400012-БсФ-бзс|Бс(зб)</t>
  </si>
  <si>
    <t>11450|20400012-БсФ-бзс|Теология(зб)</t>
  </si>
  <si>
    <t>11989|4010003320-ФзФ-мрв|ТИФ(рм3 сем.)</t>
  </si>
  <si>
    <t>4010003320-ФзФ-мрв</t>
  </si>
  <si>
    <t>11978|4010003310-ФзФ-мрв|ТМФ(рм2 сем)</t>
  </si>
  <si>
    <t>4010003310-ФзФ-мрв</t>
  </si>
  <si>
    <t>11978|4010003310-ФзФ-мрв|ТМФмп(рм)</t>
  </si>
  <si>
    <t>11987|4010003318-ФзФ-мрв|ТМФ(рм3 сем.)</t>
  </si>
  <si>
    <t>4010003318-ФзФ-мрв</t>
  </si>
  <si>
    <t>11991|4010003321-ФзФ-мрв|ТСПТ(рм4 сем. ч.ез.)</t>
  </si>
  <si>
    <t>4010003321-ФзФ-мрв</t>
  </si>
  <si>
    <t>11991|4010003321-ФзФ-мрв|ТСПТ(рм4 сем.)</t>
  </si>
  <si>
    <t>11994|4010003325-ФзФ-мрв|ТСПТ(англ.ез.)(рм4 сем. ч.ез.)</t>
  </si>
  <si>
    <t>4010003325-ФзФ-мрв</t>
  </si>
  <si>
    <t>11994|4010003325-ФзФ-мрв|ТСПТ(англ.ез.)(рм4 сем.)</t>
  </si>
  <si>
    <t>11783|4050001304-ФМИ-мрв|ТОМИ(м)</t>
  </si>
  <si>
    <t>ТОМИ(м)</t>
  </si>
  <si>
    <t>4050001304-ФМИ-мрв</t>
  </si>
  <si>
    <t>11783|4050001304-ФМИ-мрв|ТОМИ(рм)</t>
  </si>
  <si>
    <t>11784|4050001304-ФМИ-мзв|ТОМИ(зм)</t>
  </si>
  <si>
    <t>4050001304-ФМИ-мзв</t>
  </si>
  <si>
    <t>11855|4060003329-ФМИ-мрв|ТЗИ(рм)</t>
  </si>
  <si>
    <t>4060003329-ФМИ-мрв</t>
  </si>
  <si>
    <t>Технологии за обучение в профилирана подготовка по информационни технологии (2 сем.)</t>
  </si>
  <si>
    <t>458208|10302913-ФМИ-мрв|ТОППИТ(рм)</t>
  </si>
  <si>
    <t>ТОППИТ(рм)</t>
  </si>
  <si>
    <t>10302913-ФМИ-мрв</t>
  </si>
  <si>
    <t>11768|1030014301-ФМИ-мрв|ТОМИ(рм)</t>
  </si>
  <si>
    <t>1030014301-ФМИ-мрв</t>
  </si>
  <si>
    <t>11770|1030014301-ФМИ-мзв|ТОМИ(зм)</t>
  </si>
  <si>
    <t>1030014301-ФМИ-мзв</t>
  </si>
  <si>
    <t>11776|1030014305-ФМИ-мзв|ТОМИ(зм)</t>
  </si>
  <si>
    <t>1030014305-ФМИ-мзв</t>
  </si>
  <si>
    <t>11776|1030014305-ФМИ-мзв|ТОМИ(змл)</t>
  </si>
  <si>
    <t>11778|1030014306-ФМИ-мрв|ТОМИ(рм)</t>
  </si>
  <si>
    <t>1030014306-ФМИ-мрв</t>
  </si>
  <si>
    <t>11778|1030014306-ФМИ-мрв|ТОМИ(рмл)</t>
  </si>
  <si>
    <t>11838|4060003317-ФМИ-мрв|ТПИ в ИТ(рм)</t>
  </si>
  <si>
    <t>4060003317-ФМИ-мрв</t>
  </si>
  <si>
    <t>12950|3050016303-ФЖМК-мзв|ТДП(зм)</t>
  </si>
  <si>
    <t>3050016303-ФЖМК-мзв</t>
  </si>
  <si>
    <t>11423|2010003329-ФСлФ-мрв|Трансгранична българ(рм)</t>
  </si>
  <si>
    <t>2010003329-ФСлФ-мрв</t>
  </si>
  <si>
    <t>11429|2010003331-ФСлФ-мрв|Тргран/ред/несп(рмнс)</t>
  </si>
  <si>
    <t>2010003331-ФСлФ-мрв</t>
  </si>
  <si>
    <t>11425|2010003329-ФСлФ-мзв|Трангранс/задочно/(змс)</t>
  </si>
  <si>
    <t>2010003329-ФСлФ-мзв</t>
  </si>
  <si>
    <t>11431|2010003331-ФСлФ-мзв|Тргран/зад/несп(змнс)</t>
  </si>
  <si>
    <t>2010003331-ФСлФ-мзв</t>
  </si>
  <si>
    <t>10932|3020001306-ФФ-мрв|ТОП(рм)</t>
  </si>
  <si>
    <t>3020001306-ФФ-мрв</t>
  </si>
  <si>
    <t>10934|3020001306-ФФ-мзв|ТОП (зм)</t>
  </si>
  <si>
    <t>3020001306-ФФ-мзв</t>
  </si>
  <si>
    <t>Трудова и организационна психология (за бакалаври от други специалности)-4 сем.</t>
  </si>
  <si>
    <t>557879|30200643-ФФ-мрв|ТОПрнесп(рм4 сем.)</t>
  </si>
  <si>
    <t>ТОПрнесп(рм4 сем.)</t>
  </si>
  <si>
    <t>30200643-ФФ-мрв</t>
  </si>
  <si>
    <t>569738|30200643-ФФ-мзв|ТОПзнесп(зм4 сем.)</t>
  </si>
  <si>
    <t>ТОПзнесп(зм4 сем.)</t>
  </si>
  <si>
    <t>30200643-ФФ-мзв</t>
  </si>
  <si>
    <t>Трудова и организационна психология (за бакалаври по психология)-2 сем.</t>
  </si>
  <si>
    <t>557878|30200633-ФФ-мрв|ТОПрсп(рм2 сем)</t>
  </si>
  <si>
    <t>ТОПрсп(рм2 сем)</t>
  </si>
  <si>
    <t>30200633-ФФ-мрв</t>
  </si>
  <si>
    <t>10910|3010003304-ФФ-мрв|ТПРЧР(рм)</t>
  </si>
  <si>
    <t>3010003304-ФФ-мрв</t>
  </si>
  <si>
    <t>12327|30900012-ГГФ-брс|Т(рб)</t>
  </si>
  <si>
    <t>30900012-ГГФ-брс</t>
  </si>
  <si>
    <t>588206|3090001302-ГГФ-мрв|Т(рм)</t>
  </si>
  <si>
    <t>Т(рм)</t>
  </si>
  <si>
    <t>3090001302-ГГФ-мрв</t>
  </si>
  <si>
    <t>12328|30900013-ГГФ-мзв|Т(зм)</t>
  </si>
  <si>
    <t>Т(зм)</t>
  </si>
  <si>
    <t>30900013-ГГФ-мзв</t>
  </si>
  <si>
    <t>12329|30900013-ГГФ-мзв|Туризъм/5 сем.(зм5 сем.)</t>
  </si>
  <si>
    <t>Туризъм/5 сем.(зм5 сем.)</t>
  </si>
  <si>
    <t>12412|3090001307-ГГФ-мзв|Т/4 сем.(змнс)</t>
  </si>
  <si>
    <t>3090001307-ГГФ-мзв</t>
  </si>
  <si>
    <t>12408|3090001305-ГГФ-мзв|Т- след ПБ(зм5 сем.)</t>
  </si>
  <si>
    <t>3090001305-ГГФ-мзв</t>
  </si>
  <si>
    <t>12408|3090001305-ГГФ-мзв|Т-ПБ(зм5 сем.)</t>
  </si>
  <si>
    <t>11534|20100302-ФКНФ-брс|Тю(рб)</t>
  </si>
  <si>
    <t>20100302-ФКНФ-брс</t>
  </si>
  <si>
    <t>11534|20100302-ФКНФ-брс|Тюр(рб)</t>
  </si>
  <si>
    <t>11536|20100312-ФКНФ-брс|УФ(рб)</t>
  </si>
  <si>
    <t>20100312-ФКНФ-брс</t>
  </si>
  <si>
    <t>11536|20100312-ФКНФ-брс|УнгФ(рб)</t>
  </si>
  <si>
    <t>10995|3050015308-ФФ-мзв|УЕС(зм)</t>
  </si>
  <si>
    <t>3050015308-ФФ-мзв</t>
  </si>
  <si>
    <t>10995|3050015308-ФФ-мзв|УЕС(змл)</t>
  </si>
  <si>
    <t>11293|3040002309-ФП-мрв|УИСР(рм2 сем)</t>
  </si>
  <si>
    <t>3040002309-ФП-мрв</t>
  </si>
  <si>
    <t>11296|3040002310-ФП-мрв|УИСР(рм3 сем.)</t>
  </si>
  <si>
    <t>3040002310-ФП-мрв</t>
  </si>
  <si>
    <t>11295|3040002309-ФП-мзв|УИСР(зм2 сем)</t>
  </si>
  <si>
    <t>3040002309-ФП-мзв</t>
  </si>
  <si>
    <t>11297|3040002310-ФП-мзв|УИСР(зм3 сем.)</t>
  </si>
  <si>
    <t>3040002310-ФП-мзв</t>
  </si>
  <si>
    <t>10990|3050015303-ФФ-мрв|УИН(рм)</t>
  </si>
  <si>
    <t>УИН(рм)</t>
  </si>
  <si>
    <t>3050015303-ФФ-мрв</t>
  </si>
  <si>
    <t>10991|3050015303-ФФ-мзв|УИР(зм)</t>
  </si>
  <si>
    <t>УИР(зм)</t>
  </si>
  <si>
    <t>3050015303-ФФ-мзв</t>
  </si>
  <si>
    <t>284196|40400953-ГГФ-мзв|УПСРП(змс)</t>
  </si>
  <si>
    <t>40400953-ГГФ-мзв</t>
  </si>
  <si>
    <t>12414|3090001308-ГГФ-мзв|УТД/2 сем.(змс)</t>
  </si>
  <si>
    <t>3090001308-ГГФ-мзв</t>
  </si>
  <si>
    <t>12410|3090001306-ГГФ-мзв|УТД/4 сем.(зм4 сем.)</t>
  </si>
  <si>
    <t>3090001306-ГГФ-мзв</t>
  </si>
  <si>
    <t>12428|4040002307-ГГФ-мрв|УХКР(рм)</t>
  </si>
  <si>
    <t>УХКР(рм)</t>
  </si>
  <si>
    <t>4040002307-ГГФ-мрв</t>
  </si>
  <si>
    <t>12429|4040002307-ГГФ-мзв|УХКР(зм)</t>
  </si>
  <si>
    <t>УХКР(зм)</t>
  </si>
  <si>
    <t>4040002307-ГГФ-мзв</t>
  </si>
  <si>
    <t>12429|4040002307-ГГФ-мзв|УХР(зм)</t>
  </si>
  <si>
    <t>УХР(зм)</t>
  </si>
  <si>
    <t>12387|3070023305-ГГФ-мрв|УЧР(рм)</t>
  </si>
  <si>
    <t>3070023305-ГГФ-мрв</t>
  </si>
  <si>
    <t>12387|3070023305-ГГФ-мрв|УЧР(рмс)</t>
  </si>
  <si>
    <t>12387|3070023305-ГГФ-мрв|УЧР~(рмс)</t>
  </si>
  <si>
    <t>12389|3070023305-ГГФ-мрв|УЧР(рмнс)4сем.(рм4 сем.)</t>
  </si>
  <si>
    <t>12398|3070023311-ГГФ-мрв|УЧР(рмс)2сем.(рм2 сем)</t>
  </si>
  <si>
    <t>3070023311-ГГФ-мрв</t>
  </si>
  <si>
    <t>12390|3070023305-ГГФ-мзв|УЧР(зм)</t>
  </si>
  <si>
    <t>УЧР(зм)</t>
  </si>
  <si>
    <t>3070023305-ГГФ-мзв</t>
  </si>
  <si>
    <t>12390|3070023305-ГГФ-мзв|УЧР(змс)</t>
  </si>
  <si>
    <t>УЧР(змс)</t>
  </si>
  <si>
    <t>12400|3070023312-ГГФ-мзв|УЧР(змс)3сем.(зм3 сем.)</t>
  </si>
  <si>
    <t>3070023312-ГГФ-мзв</t>
  </si>
  <si>
    <t>12392|3070023306-ГГФ-мрв|УЧР (за ОКС "ПБ")(рм5 сем.)</t>
  </si>
  <si>
    <t>УЧР (за ОКС "ПБ")(рм5 сем.)</t>
  </si>
  <si>
    <t>3070023306-ГГФ-мрв</t>
  </si>
  <si>
    <t>12392|3070023306-ГГФ-мрв|УЧР (след ОКС "ПБ")(рм5 сем.)</t>
  </si>
  <si>
    <t>УЧР (след ОКС "ПБ")(рм5 сем.)</t>
  </si>
  <si>
    <t>12392|3070023306-ГГФ-мрв|УЧР(рмнс)</t>
  </si>
  <si>
    <t>УЧР(рмнс)</t>
  </si>
  <si>
    <t>12393|3070023306-ГГФ-мзв|УЧР(след ОКС "ПБ")(зм5 сем.)</t>
  </si>
  <si>
    <t>УЧР(след ОКС "ПБ")(зм5 сем.)</t>
  </si>
  <si>
    <t>3070023306-ГГФ-мзв</t>
  </si>
  <si>
    <t>12402|3070023313-ГГФ-мрв|УЧР - след ОКС"ПБ"(рм4 сем.)</t>
  </si>
  <si>
    <t>3070023313-ГГФ-мрв</t>
  </si>
  <si>
    <t>12791|3070007308-СтФ-мрв|УИС(рм5 сем.)</t>
  </si>
  <si>
    <t>3070007308-СтФ-мрв</t>
  </si>
  <si>
    <t>12791|3070007308-СтФ-мрв|УИС-ПБ(рм5 сем.)</t>
  </si>
  <si>
    <t>12819|3070007333-СтФ-мрв|УИС(рм2 сем)</t>
  </si>
  <si>
    <t>3070007333-СтФ-мрв</t>
  </si>
  <si>
    <t>12790|3070007307-СтФ-мрв|УИС АЕ летен (3 сем)(рм3 сем.л ч.ез.)</t>
  </si>
  <si>
    <t>3070007307-СтФ-мрв</t>
  </si>
  <si>
    <t>12790|3070007307-СтФ-мрв|УИС на АЕ (3 сем)(рм3 сем. ч.ез.)</t>
  </si>
  <si>
    <t>12790|3070007307-СтФ-мрв|УИС чужд ез. (3 сем)(рм3 сем. ч.ез.)</t>
  </si>
  <si>
    <t>12790|3070007307-СтФ-мрв|УИС(рм3 сем.)</t>
  </si>
  <si>
    <t>12820|3070007334-СтФ-мрв|УИС на АЕ (4 сем)(рм4 сем. ч.ез.)</t>
  </si>
  <si>
    <t>3070007334-СтФ-мрв</t>
  </si>
  <si>
    <t>12820|3070007334-СтФ-мрв|УИС чужд ез. (4 сем)(рм4 сем. ч.ез.)</t>
  </si>
  <si>
    <t>12820|3070007334-СтФ-мрв|УИС/4 сем/(рм4 сем.)</t>
  </si>
  <si>
    <t>11786|4050001305-ФМИ-мрв|УМФ(м)</t>
  </si>
  <si>
    <t>4050001305-ФМИ-мрв</t>
  </si>
  <si>
    <t>11786|4050001305-ФМИ-мрв|УМФ(рм)</t>
  </si>
  <si>
    <t>11801|4050003305-ФМИ-мрв|УМФ&amp;пр.(рм)</t>
  </si>
  <si>
    <t>4050003305-ФМИ-мрв</t>
  </si>
  <si>
    <t>11641|2010022302-ФКНФ-мрв|УП(рм)</t>
  </si>
  <si>
    <t>2010022302-ФКНФ-мрв</t>
  </si>
  <si>
    <t>12226|1030074302-БФ-мрв|УБАЕ(рм)</t>
  </si>
  <si>
    <t>1030074302-БФ-мрв</t>
  </si>
  <si>
    <t>12248|4030001311-БФ-мрв|УБАЕ(рм)</t>
  </si>
  <si>
    <t>4030001311-БФ-мрв</t>
  </si>
  <si>
    <t>12227|1030074302-БФ-мзв|УБАЕзад(зм)</t>
  </si>
  <si>
    <t>1030074302-БФ-мзв</t>
  </si>
  <si>
    <t>12249|4030001311-БФ-мзв|УБАЕ(зм)</t>
  </si>
  <si>
    <t>УБАЕ(зм)</t>
  </si>
  <si>
    <t>4030001311-БФ-мзв</t>
  </si>
  <si>
    <t>143690|10302693-ГГФ-мрв|УГСУ-60 кредита(рмс)</t>
  </si>
  <si>
    <t>10302693-ГГФ-мрв</t>
  </si>
  <si>
    <t>143690|10302693-ГГФ-мрв|УГСУ-90 кредита(рмнс)</t>
  </si>
  <si>
    <t xml:space="preserve">Учител по география в средното училище (3 сем.) </t>
  </si>
  <si>
    <t>651065|10303093-ГГФ-мрв|УГСУ (90 кредита)(рмнс)</t>
  </si>
  <si>
    <t>УГСУ (90 кредита)(рмнс)</t>
  </si>
  <si>
    <t>10303093-ГГФ-мрв</t>
  </si>
  <si>
    <t>11876|10302482-ФзФ-брс|УПНОСО(рб)</t>
  </si>
  <si>
    <t>10302482-ФзФ-брс</t>
  </si>
  <si>
    <t>12094|1030025302-ФХФ-мрв|УХ(р)(рм)</t>
  </si>
  <si>
    <t>1030025302-ФХФ-мрв</t>
  </si>
  <si>
    <t>12113|4020004316-ФХФ-мрв|УХ(рм)</t>
  </si>
  <si>
    <t>УХ(рм)</t>
  </si>
  <si>
    <t>4020004316-ФХФ-мрв</t>
  </si>
  <si>
    <t>12095|1030025302-ФХФ-мзв|УХ(з)(зм)</t>
  </si>
  <si>
    <t>1030025302-ФХФ-мзв</t>
  </si>
  <si>
    <t>12114|4020004316-ФХФ-мзв|УХмп(зм)</t>
  </si>
  <si>
    <t>УХмп(зм)</t>
  </si>
  <si>
    <t>4020004316-ФХФ-мзв</t>
  </si>
  <si>
    <t>12090|70300023-ФХФ-мрс|Фармация(рм)</t>
  </si>
  <si>
    <t>70300023-ФХФ-мрс</t>
  </si>
  <si>
    <t>12092|70300143-ФХФ-мрс|ФАЕ(рм ч.ез.)</t>
  </si>
  <si>
    <t>70300143-ФХФ-мрс</t>
  </si>
  <si>
    <t>142245|30807033-СтФ-мзв|Фасилити менидж неик(змнс)</t>
  </si>
  <si>
    <t>30807033-СтФ-мзв</t>
  </si>
  <si>
    <t>142245|30807033-СтФ-мзв|Фасилити менидж-ЗО(зм2 сем)</t>
  </si>
  <si>
    <t>11883|40100032-ФзФ-брс|Ф(рб)</t>
  </si>
  <si>
    <t>40100032-ФзФ-брс</t>
  </si>
  <si>
    <t>11885|40100032-ФзФ-бзс|Ф(зб)</t>
  </si>
  <si>
    <t>40100032-ФзФ-бзс</t>
  </si>
  <si>
    <t>11885|40100032-ФзФ-бзс|ф(зб)</t>
  </si>
  <si>
    <t>11973|4010003301-ФзФ-мрв|Ф(рм)</t>
  </si>
  <si>
    <t>Ф(рм)</t>
  </si>
  <si>
    <t>4010003301-ФзФ-мрв</t>
  </si>
  <si>
    <t>11973|4010003301-ФзФ-мрв|Ф(рм3 сем.)</t>
  </si>
  <si>
    <t>Ф(рм3 сем.)</t>
  </si>
  <si>
    <t>11886|40100033-ФзФ-мзв|Ф(зм)</t>
  </si>
  <si>
    <t>Ф(зм)</t>
  </si>
  <si>
    <t>40100033-ФзФ-мзв</t>
  </si>
  <si>
    <t>11871|10300452-ФзФ-брс|ФИ(рб)</t>
  </si>
  <si>
    <t>10300452-ФзФ-брс</t>
  </si>
  <si>
    <t>11867|10300192-ФзФ-брс|ФМ(рб)</t>
  </si>
  <si>
    <t>10300192-ФзФ-брс</t>
  </si>
  <si>
    <t>11867|10300192-ФзФ-брс|ФиМ(рб)</t>
  </si>
  <si>
    <t>11869|10300192-ФзФ-бзс|ФМ(зб)</t>
  </si>
  <si>
    <t>10300192-ФзФ-бзс</t>
  </si>
  <si>
    <t>11869|10300192-ФзФ-бзс|ФиМ(зб)</t>
  </si>
  <si>
    <t>12020|4010011311-ФзФ-мзв|ФЗАО(зм4 сем.)</t>
  </si>
  <si>
    <t>4010011311-ФзФ-мзв</t>
  </si>
  <si>
    <t>11979|4010003312-ФзФ-мрв|ФПрм(рм2 сем)</t>
  </si>
  <si>
    <t>ФПрм(рм2 сем)</t>
  </si>
  <si>
    <t>4010003312-ФзФ-мрв</t>
  </si>
  <si>
    <t>11980|4010003312-ФзФ-мзв|ФПзм(зм3 сем.)</t>
  </si>
  <si>
    <t>ФПзм(зм3 сем.)</t>
  </si>
  <si>
    <t>4010003312-ФзФ-мзв</t>
  </si>
  <si>
    <t>11992|4010003322-ФзФ-мрв|ФПНСП(рм4 сем.)</t>
  </si>
  <si>
    <t>ФПНСП(рм4 сем.)</t>
  </si>
  <si>
    <t>4010003322-ФзФ-мрв</t>
  </si>
  <si>
    <t>584275|4010003317-ФзФ-мрс|ФПТЯС(рм2 сем)</t>
  </si>
  <si>
    <t>ФПТЯС(рм2 сем)</t>
  </si>
  <si>
    <t>4010003317-ФзФ-мрс</t>
  </si>
  <si>
    <t>11981|4010003313-ФзФ-мрв|ФТТроМП(рм)</t>
  </si>
  <si>
    <t>ФТТроМП(рм)</t>
  </si>
  <si>
    <t>4010003313-ФзФ-мрв</t>
  </si>
  <si>
    <t>11981|4010003313-ФзФ-мрв|ФТТроМП(рм3 сем.)</t>
  </si>
  <si>
    <t>ФТТроМП(рм3 сем.)</t>
  </si>
  <si>
    <t>11937|40100632-ФзФ-брс|ФЯЕЧ(рб ч.ез.)</t>
  </si>
  <si>
    <t>40100632-ФзФ-брс</t>
  </si>
  <si>
    <t>11983|4010003314-ФзФ-мрв|ФЯЕЧ(рм3 сем.)</t>
  </si>
  <si>
    <t>4010003314-ФзФ-мрв</t>
  </si>
  <si>
    <t>11985|4010003315-ФзФ-мрв|ФЯЕЧ(рм5 сем.)</t>
  </si>
  <si>
    <t>4010003315-ФзФ-мрв</t>
  </si>
  <si>
    <t>11985|4010003315-ФзФ-мрв|ФЯТЧ(рм5 сем.)</t>
  </si>
  <si>
    <t>12278|4030003307-БФ-мрв|ФЖЧ(рм)</t>
  </si>
  <si>
    <t>4030003307-БФ-мрв</t>
  </si>
  <si>
    <t>12280|4030003307-БФ-мзв|ФЖЧ зо(зм)</t>
  </si>
  <si>
    <t>4030003307-БФ-мзв</t>
  </si>
  <si>
    <t>12290|4030003312-БФ-мрв|ФЖЧнсп(рмнсл)</t>
  </si>
  <si>
    <t>4030003312-БФ-мрв</t>
  </si>
  <si>
    <t>12282|4030003308-БФ-мрв|ФР(рм)</t>
  </si>
  <si>
    <t>4030003308-БФ-мрв</t>
  </si>
  <si>
    <t>12430|4040002309-ГГФ-мрв|ФГЛЕ(рм)</t>
  </si>
  <si>
    <t>ФГЛЕ(рм)</t>
  </si>
  <si>
    <t>4040002309-ГГФ-мрв</t>
  </si>
  <si>
    <t>12431|4040002309-ГГФ-мзв|ФГЛЕ(зм)</t>
  </si>
  <si>
    <t>ФГЛЕ(зм)</t>
  </si>
  <si>
    <t>4040002309-ГГФ-мзв</t>
  </si>
  <si>
    <t>12431|4040002309-ГГФ-мзв|ФГЛЕ~(зм)</t>
  </si>
  <si>
    <t>ФГЛЕ~(зм)</t>
  </si>
  <si>
    <t>12633|10300552-ФНОИ-брс|ФВС(рб)</t>
  </si>
  <si>
    <t>10300552-ФНОИ-брс</t>
  </si>
  <si>
    <t>10738|20300012-ФФ-брс|Фил.(рб)</t>
  </si>
  <si>
    <t>20300012-ФФ-брс</t>
  </si>
  <si>
    <t>10740|20300012-ФФ-бзс|Фил.(зб)</t>
  </si>
  <si>
    <t>20300012-ФФ-бзс</t>
  </si>
  <si>
    <t>10893|2030001317-ФФ-мрв|Ф(рмс)</t>
  </si>
  <si>
    <t>2030001317-ФФ-мрв</t>
  </si>
  <si>
    <t>10893|2030001317-ФФ-мрв|Ф(рмсл)</t>
  </si>
  <si>
    <t>10893|2030001317-ФФ-мрв|Филм2(рм2 сем)</t>
  </si>
  <si>
    <t>10893|2030001317-ФФ-мрв|Философия(рмс)</t>
  </si>
  <si>
    <t>10893|2030001317-ФФ-мрв|Философия(рмсл)</t>
  </si>
  <si>
    <t>10880|2030001308-ФФ-мрв|Ф(рмнсл)</t>
  </si>
  <si>
    <t>2030001308-ФФ-мрв</t>
  </si>
  <si>
    <t>10880|2030001308-ФФ-мрв|Философия(рмнсл)</t>
  </si>
  <si>
    <t>10880|2030001308-ФФ-мрв|ф(рм)</t>
  </si>
  <si>
    <t>10880|2030001308-ФФ-мрв|ф(рмнс)</t>
  </si>
  <si>
    <t>10882|2030001308-ФФ-мзв|ФНсп(змнс)</t>
  </si>
  <si>
    <t>2030001308-ФФ-мзв</t>
  </si>
  <si>
    <t>10772|20300302-ФФ-брс|ФИЛen(рб ч.ез.)</t>
  </si>
  <si>
    <t>20300302-ФФ-брс</t>
  </si>
  <si>
    <t>10883|2030001309-ФФ-мрв|ФКИ(рм)</t>
  </si>
  <si>
    <t>ФКИ(рм)</t>
  </si>
  <si>
    <t>2030001309-ФФ-мрв</t>
  </si>
  <si>
    <t>10884|2030001310-ФФ-мрв|ФКИ(рмнс)</t>
  </si>
  <si>
    <t>ФКИ(рмнс)</t>
  </si>
  <si>
    <t>2030001310-ФФ-мрв</t>
  </si>
  <si>
    <t>10884|2030001310-ФФ-мрв|Философия и култура (рмл)</t>
  </si>
  <si>
    <t>Философия и култура (рмл)</t>
  </si>
  <si>
    <t>10902|2030001322-ФФ-мзв|ФСУ(зм)</t>
  </si>
  <si>
    <t>2030001322-ФФ-мзв</t>
  </si>
  <si>
    <t>10902|2030001322-ФФ-мзв|ФСУл(зм2 семл)</t>
  </si>
  <si>
    <t>10885|2030001311-ФФ-мзв|ФСЕ(зм)</t>
  </si>
  <si>
    <t>2030001311-ФФ-мзв</t>
  </si>
  <si>
    <t>10885|2030001311-ФФ-мзв|ФСЕ(змл)</t>
  </si>
  <si>
    <t>10887|2030001312-ФФ-мрв|ФПА(рм ч.ез.)</t>
  </si>
  <si>
    <t>2030001312-ФФ-мрв</t>
  </si>
  <si>
    <t>10887|2030001312-ФФ-мрв|ФПА(рм)</t>
  </si>
  <si>
    <t>10887|2030001312-ФФ-мрв|ФПА(рмл ч.ез.)</t>
  </si>
  <si>
    <t>10887|2030001312-ФФ-мрв|ФПА(рмл)</t>
  </si>
  <si>
    <t>10887|2030001312-ФФ-мрв|ФПАл(рмл)</t>
  </si>
  <si>
    <t>10889|2030001312-ФФ-мзв|ФПА(зм ч.ез.)</t>
  </si>
  <si>
    <t>2030001312-ФФ-мзв</t>
  </si>
  <si>
    <t>10889|2030001312-ФФ-мзв|ФПА(зм)</t>
  </si>
  <si>
    <t>10889|2030001312-ФФ-мзв|ФПА(змл ч.ез.)</t>
  </si>
  <si>
    <t>10889|2030001312-ФФ-мзв|ФПА(змл)</t>
  </si>
  <si>
    <t>283995|20300323-ФФ-мрв|ФПАбак3 л.(рм4 сем.л ч.ез.)</t>
  </si>
  <si>
    <t>20300323-ФФ-мрв</t>
  </si>
  <si>
    <t>283995|20300323-ФФ-мрв|ФПАбак3(рм4 сем. ч.ез.)</t>
  </si>
  <si>
    <t>289866|20300323-ФФ-мзв|ФПАЕ 4с летен(зм4 сем.л ч.ез.)</t>
  </si>
  <si>
    <t>20300323-ФФ-мзв</t>
  </si>
  <si>
    <t>289866|20300323-ФФ-мзв|ФПАбак3 л.(зм4 сем.л ч.ез.)</t>
  </si>
  <si>
    <t>289866|20300323-ФФ-мзв|ФПАбак3(зм4 сем. ч.ез.)</t>
  </si>
  <si>
    <t>10896|2030001319-ФФ-мрв|ФАНТР(рмл)</t>
  </si>
  <si>
    <t>2030001319-ФФ-мрв</t>
  </si>
  <si>
    <t>10896|2030001319-ФФ-мрв|ФАнтр(рм)</t>
  </si>
  <si>
    <t>12824|3080008306-СтФ-мрв|ФБД(рм)</t>
  </si>
  <si>
    <t>3080008306-СтФ-мрв</t>
  </si>
  <si>
    <t>12824|3080008306-СтФ-мрв|ФБД(рм3 сем.)</t>
  </si>
  <si>
    <t>12884|3080393320-СтФ-мрв|ФБД(рм5 сем.)</t>
  </si>
  <si>
    <t>3080393320-СтФ-мрв</t>
  </si>
  <si>
    <t>12779|30805243-СтФ-мрв|ФБД (рм5 сем.)</t>
  </si>
  <si>
    <t>30805243-СтФ-мрв</t>
  </si>
  <si>
    <t>142244|30807023-СтФ-мрв|Финанси и инвест Н(рмнс)</t>
  </si>
  <si>
    <t>30807023-СтФ-мрв</t>
  </si>
  <si>
    <t>142244|30807023-СтФ-мрв|Финанси и инвестиции(рм2 сем)</t>
  </si>
  <si>
    <t>286741|30807543-СтФ-мрв|ФИФ иконом. 3 сем.(рм3 сем.)</t>
  </si>
  <si>
    <t>30807543-СтФ-мрв</t>
  </si>
  <si>
    <t>286741|30807543-СтФ-мрв|ФИФ неиконом. 3 сем.(рмнс)</t>
  </si>
  <si>
    <t>287084|30807563-СтФ-мрв|ФСч. и АГД (3 сем.)(рм3 сем.)</t>
  </si>
  <si>
    <t>30807563-СтФ-мрв</t>
  </si>
  <si>
    <t>287084|30807563-СтФ-мрв|ФСч. и АГД неик. 3(рмнс)</t>
  </si>
  <si>
    <t>12872|3080393311-СтФ-мрв|ФМ - англ(рм3 сем. ч.ез.)</t>
  </si>
  <si>
    <t>3080393311-СтФ-мрв</t>
  </si>
  <si>
    <t>12871|3080393310-СтФ-мрв|ФМ-англ-неик(рм3 сем. ч.ез.)</t>
  </si>
  <si>
    <t>3080393310-СтФ-мрв</t>
  </si>
  <si>
    <t>12850|3080008336-СтФ-мрв|ФМ-англ-неик(рм3 сем. ч.ез.)</t>
  </si>
  <si>
    <t>3080008336-СтФ-мрв</t>
  </si>
  <si>
    <t>12850|3080008336-СтФ-мрв|ФМ-англ-неик(рм3 сем.)</t>
  </si>
  <si>
    <t>12840|3080008325-СтФ-мрв|ФМ - англ(рм3 сем. ч.ез.)</t>
  </si>
  <si>
    <t>3080008325-СтФ-мрв</t>
  </si>
  <si>
    <t>12840|3080008325-СтФ-мрв|ФМ - англ(рм3 сем.)</t>
  </si>
  <si>
    <t>12840|3080008325-СтФ-мрв|ФМ - фр /англ(рм3 сем.)</t>
  </si>
  <si>
    <t>11925|40100372-ФзФ-брс|ФЛФ(рб)</t>
  </si>
  <si>
    <t>40100372-ФзФ-брс</t>
  </si>
  <si>
    <t>11624|2010013309-ФКНФ-мрв|ФМиММ(рм ч.ез.)</t>
  </si>
  <si>
    <t>2010013309-ФКНФ-мрв</t>
  </si>
  <si>
    <t>11624|2010013309-ФКНФ-мрв|ФМиММ(рм)</t>
  </si>
  <si>
    <t>11620|2010013305-ФКНФ-мрв|ФИ(рм)</t>
  </si>
  <si>
    <t>ФИ(рм)</t>
  </si>
  <si>
    <t>2010013305-ФКНФ-мрв</t>
  </si>
  <si>
    <t>11620|2010013305-ФКНФ-мрв|ФрИзсл(рм)</t>
  </si>
  <si>
    <t>ФрИзсл(рм)</t>
  </si>
  <si>
    <t>11510|20100132-ФКНФ-брс|ФФ(рб)</t>
  </si>
  <si>
    <t>20100132-ФКНФ-брс</t>
  </si>
  <si>
    <t>11510|20100132-ФКНФ-брс|ФрФ(рб)</t>
  </si>
  <si>
    <t>12120|4020004322-ФХФ-мрв|ФМ(рм)</t>
  </si>
  <si>
    <t>4020004322-ФХФ-мрв</t>
  </si>
  <si>
    <t>12138|4020015305-ФХФ-мрв|ФМ(рм)</t>
  </si>
  <si>
    <t>4020015305-ФХФ-мрв</t>
  </si>
  <si>
    <t>11077|30100682-ИФ-брс|Хебра(рб)</t>
  </si>
  <si>
    <t>30100682-ИФ-брс</t>
  </si>
  <si>
    <t>12060|40200042-ФХФ-брс|Х(рб)</t>
  </si>
  <si>
    <t>40200042-ФХФ-брс</t>
  </si>
  <si>
    <t>12062|40200042-ФХФ-бзс|Х(зб)</t>
  </si>
  <si>
    <t>40200042-ФХФ-бзс</t>
  </si>
  <si>
    <t>Химия за  бъдещето - на английски език (2 сем)-Модерна</t>
  </si>
  <si>
    <t>40200663-ФХФ-мрв</t>
  </si>
  <si>
    <t>Химия за бъдещето (2 сем.)</t>
  </si>
  <si>
    <t>457732|40200683-ФХФ-мрв|Химия за бъдещето(рмс)</t>
  </si>
  <si>
    <t>Химия за бъдещето(рмс)</t>
  </si>
  <si>
    <t>40200683-ФХФ-мрв</t>
  </si>
  <si>
    <t>12055|10301682-ФХФ-брс|Х-я и англ. език(рб)</t>
  </si>
  <si>
    <t>10301682-ФХФ-брс</t>
  </si>
  <si>
    <t>12050|10300252-ФХФ-брс|ХИ(рб)</t>
  </si>
  <si>
    <t>10300252-ФХФ-брс</t>
  </si>
  <si>
    <t>11479|2040001314-БсФ-мзв|Християнско покл-во(зм4 сем.)</t>
  </si>
  <si>
    <t>2040001314-БсФ-мзв</t>
  </si>
  <si>
    <t>11491|2040001320-БсФ-мзв|Християнско поклонни(зм2 сем)</t>
  </si>
  <si>
    <t>2040001320-БсФ-мзв</t>
  </si>
  <si>
    <t>11182|2020002363-ИФ-мрв|ХИБ(рм2 сем)</t>
  </si>
  <si>
    <t>2020002363-ИФ-мрв</t>
  </si>
  <si>
    <t>11456|20400153-БсФ-мзв|Църква и медии(зм2 сем)</t>
  </si>
  <si>
    <t>20400153-БсФ-мзв</t>
  </si>
  <si>
    <t>11497|2040001324-БсФ-мзв|Църква и медии(зм4 сем.)</t>
  </si>
  <si>
    <t>2040001324-БсФ-мзв</t>
  </si>
  <si>
    <t>11493|2040001321-БсФ-мзв|Църковен мениджмънт(зм2 сем)</t>
  </si>
  <si>
    <t>2040001321-БсФ-мзв</t>
  </si>
  <si>
    <t>11495|2040001322-БсФ-мзв|Църковен мениджмънт(зм4 сем.)</t>
  </si>
  <si>
    <t>2040001322-БсФ-мзв</t>
  </si>
  <si>
    <t>11498|2040001325-БсФ-мзв|Църковно изкуство (змс)</t>
  </si>
  <si>
    <t>2040001325-БсФ-мзв</t>
  </si>
  <si>
    <t>11499|2040001326-БсФ-мзв|Църковно изкуство (змнс)</t>
  </si>
  <si>
    <t>2040001326-БсФ-мзв</t>
  </si>
  <si>
    <t>11496|2040001323-БсФ-мзв|ЦСДсп(змс)</t>
  </si>
  <si>
    <t>2040001323-БсФ-мзв</t>
  </si>
  <si>
    <t>11496|2040001323-БсФ-мзв|Църковно социално де(змс)</t>
  </si>
  <si>
    <t>11489|2040001319-БсФ-мзв|Църковно социално де(зм4 сем.)</t>
  </si>
  <si>
    <t>2040001319-БсФ-мзв</t>
  </si>
  <si>
    <t>11489|2040001319-БсФ-мзв|Църковно социално де(змнс)</t>
  </si>
  <si>
    <t>11460|2040001306-БсФ-мрв|ЦССмп(рмс)</t>
  </si>
  <si>
    <t>ЦССмп(рмс)</t>
  </si>
  <si>
    <t>2040001306-БсФ-мрв</t>
  </si>
  <si>
    <t>12562|3030010311-ЮФ-мрв|ЧОППЕС(рмл)</t>
  </si>
  <si>
    <t>3030010311-ЮФ-мрв</t>
  </si>
  <si>
    <t>12562|3030010311-ЮФ-мрв|ЧОППЕСромп(рм)</t>
  </si>
  <si>
    <t>188475|20103673-ФКНФ-мрв|ЧЕЛитМед(рм3 сем.л ч.ез.)</t>
  </si>
  <si>
    <t>20103673-ФКНФ-мрв</t>
  </si>
  <si>
    <t>11584|30100392-ФКНФ-брс|ЮИиЮИ(рб)</t>
  </si>
  <si>
    <t>30100392-ФКНФ-брс</t>
  </si>
  <si>
    <t>11680|3010039301-ФКНФ-мрв|ЮИЮА(рм ч.ез.)</t>
  </si>
  <si>
    <t>3010039301-ФКНФ-мрв</t>
  </si>
  <si>
    <t>12001|4010004304-ФзФ-мрв|ЯЕТ(рм4 сем.)</t>
  </si>
  <si>
    <t>4010004304-ФзФ-мрв</t>
  </si>
  <si>
    <t>12001|4010004304-ФзФ-мрв|ЯЕТ(рм4 сем.л)</t>
  </si>
  <si>
    <t>11999|4010004303-ФзФ-мзв|ЯЕТ(зм5 сем.)</t>
  </si>
  <si>
    <t>4010004303-ФзФ-мзв</t>
  </si>
  <si>
    <t>11999|4010004303-ФзФ-мзв|ЯЕТНС(зм5 сем.л)</t>
  </si>
  <si>
    <t>11997|4010004302-ФзФ-мзв|ЯЕТ(змс)</t>
  </si>
  <si>
    <t>4010004302-ФзФ-мзв</t>
  </si>
  <si>
    <t>11997|4010004302-ФзФ-мзв|ЯЕТПБ(зм6 сем.л)</t>
  </si>
  <si>
    <t>11997|4010004302-ФзФ-мзв|ЯЕТПБ(змл)</t>
  </si>
  <si>
    <t>11890|40100043-ФзФ-мрв|ЯЕТ(рм3 сем.)</t>
  </si>
  <si>
    <t>40100043-ФзФ-мрв</t>
  </si>
  <si>
    <t>11890|40100043-ФзФ-мрв|ЯЕТ(рм3 сем.л)</t>
  </si>
  <si>
    <t>11890|40100043-ФзФ-мрв|ЯТЯЕ(рм)</t>
  </si>
  <si>
    <t>11890|40100043-ФзФ-мрв|ЯТЯТ(рм3 сем.л)</t>
  </si>
  <si>
    <t>11888|40100042-ФзФ-брс|ЯТЯЕ(рб)</t>
  </si>
  <si>
    <t>40100042-ФзФ-брс</t>
  </si>
  <si>
    <t>11888|40100042-ФзФ-брс|ЯТиЕ(рб)</t>
  </si>
  <si>
    <t>12069|40200132-ФХФ-брс|ЯХ(рб)</t>
  </si>
  <si>
    <t>40200132-ФХФ-брс</t>
  </si>
  <si>
    <t>12118|4020004319-ФХФ-мрв|Ядрена химия(рм)</t>
  </si>
  <si>
    <t>Ядрена химия(рм)</t>
  </si>
  <si>
    <t>4020004319-ФХФ-мрв</t>
  </si>
  <si>
    <t>12130|4020013302-ФХФ-мрв|ЯХ(рм)</t>
  </si>
  <si>
    <t>4020013302-ФХФ-мрв</t>
  </si>
  <si>
    <t>11538|20100322-ФКНФ-брс|Я(рб)</t>
  </si>
  <si>
    <t>20100322-ФКНФ-брс</t>
  </si>
  <si>
    <t>11538|20100322-ФКНФ-брс|Япо(рб)</t>
  </si>
  <si>
    <t>284318|20103743-ФКНФ-мрв|Я:ОиК(рмнс)</t>
  </si>
  <si>
    <t>20103743-ФКНФ-мрв</t>
  </si>
  <si>
    <t>11671|2010032303-ФКНФ-мрв|ЯЕК(рм)</t>
  </si>
  <si>
    <t>2010032303-ФКНФ-мрв</t>
  </si>
  <si>
    <t>11671|2010032303-ФКНФ-мрв|ЯЕК(рмл)</t>
  </si>
  <si>
    <t>284319|20103753-ФКНФ-мрв|Буд.:ЕЛиК с кор.ез.(рм3 сем.)</t>
  </si>
  <si>
    <t>20103753-ФКНФ-мрв</t>
  </si>
  <si>
    <t>670005|20103753-ФКНФ-мрв|Буд.:ЕЛиК с яп. ез.(рм3 сем.)</t>
  </si>
  <si>
    <t>670006|20103753-ФКНФ-мрв|Буд.:ЕЛиК с инд.ез.(рм3 сем.)</t>
  </si>
  <si>
    <t>670007|20103753-ФКНФ-мрв|Буд.:ЕЛиК с кит. ез.(рм3 сем.)</t>
  </si>
  <si>
    <t>нацид|монСпециалностМП</t>
  </si>
  <si>
    <t>о.нацид|монСпециалностМП</t>
  </si>
  <si>
    <t>Бизнес администрация (английска програма)</t>
  </si>
  <si>
    <t>679403|30711362-СтФ-брс|БА (англ програма)(рб)</t>
  </si>
  <si>
    <t>БА (англ програма)(рб)</t>
  </si>
  <si>
    <t>30711362-СтФ-брс</t>
  </si>
  <si>
    <t>Бизнес администрация (немска програма)</t>
  </si>
  <si>
    <t>679404|30711372-СтФ-брс|БА немска програма(рб)</t>
  </si>
  <si>
    <t>БА немска програма(рб)</t>
  </si>
  <si>
    <t>30711372-СтФ-брс</t>
  </si>
  <si>
    <t>Бизнес администрация (френска програма)</t>
  </si>
  <si>
    <t>679405|30711382-СтФ-брс|БА френска програма(рб)</t>
  </si>
  <si>
    <t>БА френска програма(рб)</t>
  </si>
  <si>
    <t>30711382-СтФ-брс</t>
  </si>
  <si>
    <t>Високопроизводителни изчисления (на английски език)-4 сем.</t>
  </si>
  <si>
    <t>704952|40601363-ФМИ-мрв|ВПИ(рм4 сем. ч.ез.)</t>
  </si>
  <si>
    <t>ВПИ(рм4 сем. ч.ез.)</t>
  </si>
  <si>
    <t>40601363-ФМИ-мрв</t>
  </si>
  <si>
    <t>Математическо моделиране в икономиката (4 сем.)</t>
  </si>
  <si>
    <t>704950|40500523-ФМИ-мрв|ММИ(рм4 сем.)</t>
  </si>
  <si>
    <t>ММИ(рм4 сем.)</t>
  </si>
  <si>
    <t>40500523-ФМИ-мрв</t>
  </si>
  <si>
    <t>10303113-ФМИ-мрв</t>
  </si>
  <si>
    <t>er.Факултет</t>
  </si>
  <si>
    <t>12336|40400183-ГГФ-мр</t>
  </si>
  <si>
    <t>12336</t>
  </si>
  <si>
    <t>40400183-ГГФ-мр</t>
  </si>
  <si>
    <t>РС - след ОКСПБ(рм4 сем.)</t>
  </si>
  <si>
    <t>РС - след ОКСПБ(зм5 сем.)</t>
  </si>
  <si>
    <t>УЧР - след ОКСПБ(рм4 сем.)</t>
  </si>
  <si>
    <t>ИС на Р-я. ИА и Евр.(рмнс)</t>
  </si>
  <si>
    <t>ИС на Р-я. ИА и Евр.(рмс)</t>
  </si>
  <si>
    <t>606666|30800913-СтФ-мр</t>
  </si>
  <si>
    <t>606666</t>
  </si>
  <si>
    <t>30800913-СтФ-мр</t>
  </si>
  <si>
    <t>628358|30808063-СтФ-мр</t>
  </si>
  <si>
    <t>628358</t>
  </si>
  <si>
    <t>30808063-СтФ-мр</t>
  </si>
  <si>
    <t>558082|30711283-СтФ-мз</t>
  </si>
  <si>
    <t>558082</t>
  </si>
  <si>
    <t>30711283-СтФ-мз</t>
  </si>
  <si>
    <t>602108|30711283-СтФ-мр</t>
  </si>
  <si>
    <t>602108</t>
  </si>
  <si>
    <t>30711283-СтФ-мр</t>
  </si>
  <si>
    <t>456845|30806143-СтФ-мр</t>
  </si>
  <si>
    <t>456845</t>
  </si>
  <si>
    <t>30806143-СтФ-мр</t>
  </si>
  <si>
    <t>624812|20100223-ФКНФ-мр</t>
  </si>
  <si>
    <t>624812</t>
  </si>
  <si>
    <t>20100223-ФКНФ-мр</t>
  </si>
  <si>
    <t>11642|2010022304-ФКНФ-мр</t>
  </si>
  <si>
    <t>11642</t>
  </si>
  <si>
    <t>2010022304-ФКНФ-мр</t>
  </si>
  <si>
    <t>11819|4060003307-ФМИ-мр</t>
  </si>
  <si>
    <t>11819</t>
  </si>
  <si>
    <t>4060003307-ФМИ-мр</t>
  </si>
  <si>
    <t>11764|40600333-ФМИ-мр</t>
  </si>
  <si>
    <t>11764</t>
  </si>
  <si>
    <t>40600333-ФМИ-мр</t>
  </si>
  <si>
    <t>11820|4060003308-ФМИ-мр</t>
  </si>
  <si>
    <t>11820</t>
  </si>
  <si>
    <t>4060003308-ФМИ-мр</t>
  </si>
  <si>
    <t>11731|40500143-ФМИ-мр</t>
  </si>
  <si>
    <t>11731</t>
  </si>
  <si>
    <t>40500143-ФМИ-мр</t>
  </si>
  <si>
    <t>549417|10302963-ФНОИ-мр</t>
  </si>
  <si>
    <t>549417</t>
  </si>
  <si>
    <t>10302963-ФНОИ-мр</t>
  </si>
  <si>
    <t>583176|10200222-ФНОИ-бз</t>
  </si>
  <si>
    <t>583176</t>
  </si>
  <si>
    <t>10200222-ФНОИ-бз</t>
  </si>
  <si>
    <t>10202273-ФП-мз</t>
  </si>
  <si>
    <t>548679|10202273-ФП-мз</t>
  </si>
  <si>
    <t>548679</t>
  </si>
  <si>
    <t>664992|10100093-ФП-мз</t>
  </si>
  <si>
    <t>664992</t>
  </si>
  <si>
    <t>10100093-ФП-мз</t>
  </si>
  <si>
    <t>643793|10300313-ФХФ-мр</t>
  </si>
  <si>
    <t>643793</t>
  </si>
  <si>
    <t>10300313-ФХФ-мр</t>
  </si>
  <si>
    <t>458410|40100863-ФзФ-мр</t>
  </si>
  <si>
    <t>458410</t>
  </si>
  <si>
    <t>40100863-ФзФ-мр</t>
  </si>
  <si>
    <t>2023/2024</t>
  </si>
  <si>
    <t>2024/2025</t>
  </si>
  <si>
    <t>2025/2026</t>
  </si>
  <si>
    <t>Предварително попълнени данни от СУСИ</t>
  </si>
  <si>
    <t>Еразъм</t>
  </si>
  <si>
    <t>чРецензии</t>
  </si>
  <si>
    <t>чИ/ДИ/З</t>
  </si>
  <si>
    <t>кДР</t>
  </si>
  <si>
    <t>кРецензии</t>
  </si>
  <si>
    <t>кИ/ДИ/З</t>
  </si>
  <si>
    <t>уЧасове</t>
  </si>
  <si>
    <t>аФакСец</t>
  </si>
  <si>
    <t>АБТХ(рб)\БФ</t>
  </si>
  <si>
    <t>АП(зм)\ФФ</t>
  </si>
  <si>
    <t>АП(змл)\ФФ</t>
  </si>
  <si>
    <t>АУ(рм)\СтФ</t>
  </si>
  <si>
    <t>AEC(рм3 сем. ч.ез.)\ФзФ</t>
  </si>
  <si>
    <t>АКИК(рм3 сем.)\ФзФ</t>
  </si>
  <si>
    <t>АУР(рм3 сем.)\СтФ</t>
  </si>
  <si>
    <t>АУР(рм5 сем.)\СтФ</t>
  </si>
  <si>
    <t>АГТ(рм)\ФМИ</t>
  </si>
  <si>
    <t>АиМ(рм)\БФ</t>
  </si>
  <si>
    <t>АТО(рмс)\ИФ</t>
  </si>
  <si>
    <t>АТО(рмнс)\ИФ</t>
  </si>
  <si>
    <t>АД(рб)\ФМИ</t>
  </si>
  <si>
    <t>АнгФ(рб)\ФКНФ</t>
  </si>
  <si>
    <t>АЕМО(рм)\ФКНФ</t>
  </si>
  <si>
    <t>АИТ(рмс)\ИФ</t>
  </si>
  <si>
    <t>АИТ(рмнс)\ИФ</t>
  </si>
  <si>
    <t>АЛК(рмнс)\ФКНФ</t>
  </si>
  <si>
    <t>АнтКуЛит(рмнс)\ФКНФ</t>
  </si>
  <si>
    <t>АнтКуЛит(рм)\ФКНФ</t>
  </si>
  <si>
    <t>АнтКуЛит(рмс)\ФКНФ</t>
  </si>
  <si>
    <t>КлФ(рм)\ФКНФ</t>
  </si>
  <si>
    <t>АиС(рмнс)\ИФ</t>
  </si>
  <si>
    <t>АиС(рмнсл)\ИФ</t>
  </si>
  <si>
    <t>АиС(рмс)\ИФ</t>
  </si>
  <si>
    <t>АиС(рмсл)\ИФ</t>
  </si>
  <si>
    <t>АИСБИБ(рм)\ФКНФ</t>
  </si>
  <si>
    <t>Арб(рб)\ФКНФ</t>
  </si>
  <si>
    <t>АОК(рм)\ФКНФ</t>
  </si>
  <si>
    <t>АрмКав(рб)\ФКНФ</t>
  </si>
  <si>
    <t>Арх(рб)\ИФ</t>
  </si>
  <si>
    <t>Арх(рм4 сем.)\ИФ</t>
  </si>
  <si>
    <t>Арх4(рм4 сем.)\ИФ</t>
  </si>
  <si>
    <t>А(рмнс)\ИФ</t>
  </si>
  <si>
    <t>А(рмс)\ИФ</t>
  </si>
  <si>
    <t>Ам(рм)\ИФ</t>
  </si>
  <si>
    <t>А(рм)\ФХФ</t>
  </si>
  <si>
    <t>Aрхеометрия(рмсл)\ИФ</t>
  </si>
  <si>
    <t>АиДок(рб)\ИФ</t>
  </si>
  <si>
    <t>АиД(зб)\ИФ</t>
  </si>
  <si>
    <t>АА(рм)\ФзФ</t>
  </si>
  <si>
    <t>АА(рм2 сем)\ФзФ</t>
  </si>
  <si>
    <t>ААФ(рм2 сем)\ФзФ</t>
  </si>
  <si>
    <t>АА(рм3 сем.)\ФзФ</t>
  </si>
  <si>
    <t>АПА(зм4 сем.)\ФзФ</t>
  </si>
  <si>
    <t>АМГ(рб)\ФзФ</t>
  </si>
  <si>
    <t>АМГ(зб)\ФзФ</t>
  </si>
  <si>
    <t>АВД(рм2 сем)\ФНОИ</t>
  </si>
  <si>
    <t>АД/челп/(рмл ч.ез.)\ФНОИ</t>
  </si>
  <si>
    <t>АПМ(рм3 сем.)\ФНОИ</t>
  </si>
  <si>
    <t>АПК летен неик.(рмнсл)\СтФ</t>
  </si>
  <si>
    <t>АПК летен прием(рм2 семл)\СтФ</t>
  </si>
  <si>
    <t>Аутсорсинг ПК неик.(рмнс)\СтФ</t>
  </si>
  <si>
    <t>Аутсорсинг проекти и(рм2 сем)\СтФ</t>
  </si>
  <si>
    <t>Афр(рб ч.ез.)\ФКНФ</t>
  </si>
  <si>
    <t>Б(рм)\ФСлФ</t>
  </si>
  <si>
    <t>Балканите и Русия(рмс)\ИФ</t>
  </si>
  <si>
    <t>Балканите и Русия (рмнс)\ИФ</t>
  </si>
  <si>
    <t>БМ2ЦХИ(рмнс)\ИФ</t>
  </si>
  <si>
    <t>ХриИсл(рмнс)\ИФ</t>
  </si>
  <si>
    <t>БМ2ЦХИ(змнс)\ИФ</t>
  </si>
  <si>
    <t>WND_en_(рм3 сем. ч.ез.)\ФзФ</t>
  </si>
  <si>
    <t>WND_en_(рм3 сем.)\ФзФ</t>
  </si>
  <si>
    <t>БМУ(рм4 сем.)\ФзФ</t>
  </si>
  <si>
    <t>БМУ зм4л(зм4 сем.л)\ФзФ</t>
  </si>
  <si>
    <t>БМУ зм4л(змсл)\ФзФ</t>
  </si>
  <si>
    <t>БМУ(зм)\ФзФ</t>
  </si>
  <si>
    <t>БМУ(зм4 сем.)\ФзФ</t>
  </si>
  <si>
    <t>БМУ(пб)(зм4 сем.)\ФзФ</t>
  </si>
  <si>
    <t>БМУЛПЗ4(змл)\ФзФ</t>
  </si>
  <si>
    <t>БМУ - р(рм3 сем.)\ФзФ</t>
  </si>
  <si>
    <t>БМУ(зм4 сем.л)\ФзФ</t>
  </si>
  <si>
    <t>БМУ - прб-з(зм4 сем.)\ФзФ</t>
  </si>
  <si>
    <t>БИН(зм)\ФФ</t>
  </si>
  <si>
    <t>БИНКП(змл)\ФФ</t>
  </si>
  <si>
    <t>БИНКП(змнсл)\ФФ</t>
  </si>
  <si>
    <t>БИН(рб)\ФФ</t>
  </si>
  <si>
    <t>БИН(зб)\ФФ</t>
  </si>
  <si>
    <t>БИНКП(зм)\ФФ</t>
  </si>
  <si>
    <t>БИНКП(змнс)\ФФ</t>
  </si>
  <si>
    <t>БИНКП(змс)\ФФ</t>
  </si>
  <si>
    <t>БИНКП2л(зм2 семл)\ФФ</t>
  </si>
  <si>
    <t>БИНКП(змсл)\ФФ</t>
  </si>
  <si>
    <t>БИНКП2(зм2 сем)\ФФ</t>
  </si>
  <si>
    <t>БИТ(зм)\ФФ</t>
  </si>
  <si>
    <t>БИТ(змл)\ФФ</t>
  </si>
  <si>
    <t>БИНКПр(рм)\ФФ</t>
  </si>
  <si>
    <t>БИНКПр(рмл)\ФФ</t>
  </si>
  <si>
    <t>БА (2 сем.) летен (рм2 семл)\СтФ</t>
  </si>
  <si>
    <t>БА (2 сем.)(рм2 сем)\СтФ</t>
  </si>
  <si>
    <t>БА(рм2 сем)\СтФ</t>
  </si>
  <si>
    <t>БА(рм2 семл)\СтФ</t>
  </si>
  <si>
    <t>БА (англ програма)(рб)\СтФ</t>
  </si>
  <si>
    <t>БА англ.език(рм3 сем.)\СтФ</t>
  </si>
  <si>
    <t>БА (англ.език)(рм5 сем.)\СтФ</t>
  </si>
  <si>
    <t>БА немска програма(рб)\СтФ</t>
  </si>
  <si>
    <t>БА френска програма(рб)\СтФ</t>
  </si>
  <si>
    <t>БА-ИУЗ(рм3 сем.)\СтФ</t>
  </si>
  <si>
    <t>БА - ИУЗ 5(рм5 сем.)\СтФ</t>
  </si>
  <si>
    <t>БА-УП ЗО зимен(зм2 сем)\СтФ</t>
  </si>
  <si>
    <t>БА-УП ЗО летен(зм2 семл)\СтФ</t>
  </si>
  <si>
    <t>БА-УП ЗО-Н зимен(змнс)\СтФ</t>
  </si>
  <si>
    <t>БА-УП ЗО-Н летен(змнсл)\СтФ</t>
  </si>
  <si>
    <t>БА-УП(зм2 сем)\СтФ</t>
  </si>
  <si>
    <t>БАСУ(рм3 сем.)\СтФ</t>
  </si>
  <si>
    <t>БА-СУ-ПБ(рм5 сем.)\СтФ</t>
  </si>
  <si>
    <t>БАСУ(рм5 сем.)\СтФ</t>
  </si>
  <si>
    <t>БА-СУ(рм4 сем.)\СтФ</t>
  </si>
  <si>
    <t>БАРЧР(рм3 сем.)\СтФ</t>
  </si>
  <si>
    <t>БАУЧР(рм3 сем.)\СтФ</t>
  </si>
  <si>
    <t>БА-РЧР-ПБ(рм5 сем.)\СтФ</t>
  </si>
  <si>
    <t>БАРЧР(рм5 сем.)\СтФ</t>
  </si>
  <si>
    <t>БАУЧР(рм5 сем.)\СтФ</t>
  </si>
  <si>
    <t>БА-РЧР 2 сем.(рм2 сем)\СтФ</t>
  </si>
  <si>
    <t>БА-РЧР(рм2 сем)\СтФ</t>
  </si>
  <si>
    <t>БА-РЧР-Н (2 сем.)(рмнс)\СтФ</t>
  </si>
  <si>
    <t>БА-РЧР(рм4 сем.)\СтФ</t>
  </si>
  <si>
    <t>БА-РЧР (на англ.ез.)(рм2 сем ч.ез.)\СтФ</t>
  </si>
  <si>
    <t>БА-РЧР (на англ.ез.)(рм2 сем)\СтФ</t>
  </si>
  <si>
    <t>БА-РЧР-А-Л(рм2 семл ч.ез.)\СтФ</t>
  </si>
  <si>
    <t>БА-РЧР-АЕ (2 сем.)(рм2 сем ч.ез.)\СтФ</t>
  </si>
  <si>
    <t>БА-РЧР-АЕ-Л (2 сем.)(рм2 семл ч.ез.)\СтФ</t>
  </si>
  <si>
    <t>БА-РЧР (на англ.ез.)(рм4 сем. ч.ез.)\СтФ</t>
  </si>
  <si>
    <t>БА-РЧР (на англ.ез.)(рм4 сем.)\СтФ</t>
  </si>
  <si>
    <t>БА-РЧР-АЕ (4 сем.)(рм4 сем. ч.ез.)\СтФ</t>
  </si>
  <si>
    <t>БА-РЧР-АЕ-4Л (4 сем)(рм4 сем.л ч.ез.)\СтФ</t>
  </si>
  <si>
    <t>БА-СУ (2 сем.)(рм2 сем)\СтФ</t>
  </si>
  <si>
    <t>БА-СУ(рм2 сем)\СтФ</t>
  </si>
  <si>
    <t>БА-СУ-Н(рмнс)\СтФ</t>
  </si>
  <si>
    <t>БА-СУ (на англ.ез.)(рм2 сем ч.ез.)\СтФ</t>
  </si>
  <si>
    <t>БА-СУ (на англ.ез.)(рм2 сем)\СтФ</t>
  </si>
  <si>
    <t>БА-СУ-А-Л(рм2 семл ч.ез.)\СтФ</t>
  </si>
  <si>
    <t>БА-СУ-АЕ (2 сем.)(рм2 сем ч.ез.)\СтФ</t>
  </si>
  <si>
    <t>БА-СУ-АЕ-Л (2 сем.)(рм2 семл ч.ез.)\СтФ</t>
  </si>
  <si>
    <t>БА-СУ (на англ.ез.)(рм4 сем. ч.ез.)\СтФ</t>
  </si>
  <si>
    <t>БА-СУ (на англ.ез.)(рм4 сем.)\СтФ</t>
  </si>
  <si>
    <t>БА-СУ-АЕ (4 сем.)(рм4 сем. ч.ез.)\СтФ</t>
  </si>
  <si>
    <t>БА-СУ-АЕ-Л (4 сем.)(рм4 сем.л ч.ез.)\СтФ</t>
  </si>
  <si>
    <t>БИ - неикономисти(рмнс)\СтФ</t>
  </si>
  <si>
    <t>Бизнес икономика(рм2 сем)\СтФ</t>
  </si>
  <si>
    <t>БМИ(м)\ФМИ</t>
  </si>
  <si>
    <t>БМИ(рм)\ФМИ</t>
  </si>
  <si>
    <t>БМИ(рмс)\ФМИ</t>
  </si>
  <si>
    <t>БМИ(рмнс)\ФМИ</t>
  </si>
  <si>
    <t>ББ(рм)\БФ</t>
  </si>
  <si>
    <t>ББП(рм)\БФ</t>
  </si>
  <si>
    <t>БЗБ(рм)\БФ</t>
  </si>
  <si>
    <t>Б(рб)\БФ</t>
  </si>
  <si>
    <t>Б(зб)\БФ</t>
  </si>
  <si>
    <t>БАЕ(рб)\БФ</t>
  </si>
  <si>
    <t>БиХ(рб)\БФ</t>
  </si>
  <si>
    <t>БР(рм)\БФ</t>
  </si>
  <si>
    <t>БУР(рб)\БФ</t>
  </si>
  <si>
    <t>БТ(рб)\БФ</t>
  </si>
  <si>
    <t>БТ(зб)\БФ</t>
  </si>
  <si>
    <t>БФ(рм)\БФ</t>
  </si>
  <si>
    <t>БХ(рм)\БФ</t>
  </si>
  <si>
    <t>БХн.сп.(рмнсл)\БФ</t>
  </si>
  <si>
    <t>БХАЕ(рм ч.ез.)\БФ</t>
  </si>
  <si>
    <t>БХАЕ(рмс)\БФ</t>
  </si>
  <si>
    <t>БИ_спец(рм2 сем)\ФКНФ</t>
  </si>
  <si>
    <t>БИ_неспец(рм3 сем.)\ФКНФ</t>
  </si>
  <si>
    <t>БИ: ОКАС(рмнс)\ФКНФ</t>
  </si>
  <si>
    <t>БИ: ОКАС(рмс)\ФКНФ</t>
  </si>
  <si>
    <t>Б(рм)\БФ</t>
  </si>
  <si>
    <t>БВР(рм)\БФ</t>
  </si>
  <si>
    <t>БВР(рм3 сем.)\БФ</t>
  </si>
  <si>
    <t>БВРмпзо(зм)\БФ</t>
  </si>
  <si>
    <t>БАЛ(рм)\ФКНФ</t>
  </si>
  <si>
    <t>БФ(рб)\ФСлФ</t>
  </si>
  <si>
    <t>БФ(зб)\ФСлФ</t>
  </si>
  <si>
    <t>БФ(рм)\ФСлФ</t>
  </si>
  <si>
    <t>БФ(зм)\ФСлФ</t>
  </si>
  <si>
    <t>БСВ(рм)\ИФ</t>
  </si>
  <si>
    <t>БиБ(рмс)\ИФ</t>
  </si>
  <si>
    <t>БСВ(рмнс)\ИФ</t>
  </si>
  <si>
    <t>БиБ(рмнс)\ИФ</t>
  </si>
  <si>
    <t>БСВ(зм)\ИФ</t>
  </si>
  <si>
    <t>БиБ(змс)\ИФ</t>
  </si>
  <si>
    <t>БСВ(змнс)\ИФ</t>
  </si>
  <si>
    <t>БиБ(змнс)\ИФ</t>
  </si>
  <si>
    <t>Бълг. средновековие(рмнс)\ИФ</t>
  </si>
  <si>
    <t>БСр(змнс)\ИФ</t>
  </si>
  <si>
    <t>БСр(рмс)\ИФ</t>
  </si>
  <si>
    <t>БСр(змс)\ИФ</t>
  </si>
  <si>
    <t>ВС(рм)\ФМИ</t>
  </si>
  <si>
    <t>ВС(рмл)\ФМИ</t>
  </si>
  <si>
    <t>В&amp;С(рмнс)\ФМИ</t>
  </si>
  <si>
    <t>В&amp;С\ФМИ</t>
  </si>
  <si>
    <t>В&amp;С(рмс)\ФМИ</t>
  </si>
  <si>
    <t>ВАС(рмс)\ФМИ</t>
  </si>
  <si>
    <t>ВАС(рмнс)\ФМИ</t>
  </si>
  <si>
    <t>ВАС-на англ.(зм ч.ез.)\ФМИ</t>
  </si>
  <si>
    <t>ВАС-на англ.(зм)\ФМИ</t>
  </si>
  <si>
    <t>ВИОП(рм2 сем)\ФНОИ</t>
  </si>
  <si>
    <t>ВК(рм)\ФФ</t>
  </si>
  <si>
    <t>ВК(рмл)\ФФ</t>
  </si>
  <si>
    <t>ВСТТ(зм3 сем.)\ФНОИ</t>
  </si>
  <si>
    <t>В(рм)\БФ</t>
  </si>
  <si>
    <t>Вирусология(зм)\БФ</t>
  </si>
  <si>
    <t>ВПИ(рм4 сем. ч.ез.)\ФМИ</t>
  </si>
  <si>
    <t>ВО(рб)\ФЖМК</t>
  </si>
  <si>
    <t>ВО(зб)\ФЖМК</t>
  </si>
  <si>
    <t>ВО(рм2 сем)\ФЖМК</t>
  </si>
  <si>
    <t>ВО(зм3 сем.)\ФЖМК</t>
  </si>
  <si>
    <t>ВиП(рм)\ИФ</t>
  </si>
  <si>
    <t>ВиП(рмс)\ИФ</t>
  </si>
  <si>
    <t>Възраждане и памет(рмнс)\ИФ</t>
  </si>
  <si>
    <t>ВП(змнс)\ИФ</t>
  </si>
  <si>
    <t>ВиП(зм)\ИФ</t>
  </si>
  <si>
    <t>ВиП 2 сем.(рмнс)\ИФ</t>
  </si>
  <si>
    <t>ВиП 2 сем.(рмс)\ИФ</t>
  </si>
  <si>
    <t>ВиП 2 сем.(змнс)\ИФ</t>
  </si>
  <si>
    <t>ВиП 2 сем.(змс)\ИФ</t>
  </si>
  <si>
    <t>ВПЖ(рм)\ФЖМК</t>
  </si>
  <si>
    <t>ВП(зм3 сем.)\ФЖМК</t>
  </si>
  <si>
    <t>ВЖМПро2(рм2 сем)\БсФ</t>
  </si>
  <si>
    <t>ВЖМП(рм4 сем.)\БсФ</t>
  </si>
  <si>
    <t>ВЖ2МПзо(зм2 сем)\БсФ</t>
  </si>
  <si>
    <t>ВЖМП(зм4 сем.)\БсФ</t>
  </si>
  <si>
    <t>Геймификация в БПНпС(рм2 сем)\СтФ</t>
  </si>
  <si>
    <t>Геймификация в БПНпС(рмнс)\СтФ</t>
  </si>
  <si>
    <t>ГМмп(рм)\ГГФ</t>
  </si>
  <si>
    <t>Г(рм)\БФ</t>
  </si>
  <si>
    <t>Генетика (рм)\БФ</t>
  </si>
  <si>
    <t>ГиГ(рм)\БФ</t>
  </si>
  <si>
    <t>ГиГ ЗО(зм)\БФ</t>
  </si>
  <si>
    <t>ГиГА(рмнсл ч.ез.)\БФ</t>
  </si>
  <si>
    <t>ГиГА(рмнсл)\БФ</t>
  </si>
  <si>
    <t>ГиГНСп(рмнсл)\БФ</t>
  </si>
  <si>
    <t>ГИГАЕ(рм ч.ез.)\БФ</t>
  </si>
  <si>
    <t>ГИГАЕ(рмс)\БФ</t>
  </si>
  <si>
    <t>ГКлИнж(рм)\БФ</t>
  </si>
  <si>
    <t>ГКИ з.о.(зм)\БФ</t>
  </si>
  <si>
    <t>ГКИнсп(рмнсл)\БФ</t>
  </si>
  <si>
    <t>Г(рб)\ГГФ</t>
  </si>
  <si>
    <t>Г(зб)\ГГФ</t>
  </si>
  <si>
    <t>География(рм-97)\ГГФ</t>
  </si>
  <si>
    <t>ГАЕ(рб)\ГГФ</t>
  </si>
  <si>
    <t>ГБ(рб)\БФ</t>
  </si>
  <si>
    <t>ГБ(зб)\БФ</t>
  </si>
  <si>
    <t>ГИСК(рм)\ГГФ</t>
  </si>
  <si>
    <t>ГИСК(зм)\ГГФ</t>
  </si>
  <si>
    <t>ГИСК(рм2 сем)\ГГФ</t>
  </si>
  <si>
    <t>ГИСК(зм2 сем)\ГГФ</t>
  </si>
  <si>
    <t>ГИСК(рмнс)\ГГФ</t>
  </si>
  <si>
    <t>ГИСК(рмнсл)\ГГФ</t>
  </si>
  <si>
    <t>ГИСК(змнс)\ГГФ</t>
  </si>
  <si>
    <t>ГИСК(змнсл)\ГГФ</t>
  </si>
  <si>
    <t>ГО(рм)\ГГФ</t>
  </si>
  <si>
    <t>ГО(зм)\ГГФ</t>
  </si>
  <si>
    <t>ГО(змс)\ГГФ</t>
  </si>
  <si>
    <t>Геол(рб)\ГГФ</t>
  </si>
  <si>
    <t>ГПмп(рм)\ГГФ</t>
  </si>
  <si>
    <t>ГеолППР (рб)(рб)\ГГФ</t>
  </si>
  <si>
    <t>ГМ(рм)\ГГФ</t>
  </si>
  <si>
    <t>ГМ/ 2 сем.(рм2 сем)\ГГФ</t>
  </si>
  <si>
    <t>ГМ(змнсл)\ГГФ</t>
  </si>
  <si>
    <t>Гмф(зм)\ГГФ</t>
  </si>
  <si>
    <t>ГМ/ 3 сем.(зм3 сем.)\ГГФ</t>
  </si>
  <si>
    <t>Геом(зм3с.)(зм3 сем.)\ГГФ</t>
  </si>
  <si>
    <t>ГПСТ(рб)\ГГФ</t>
  </si>
  <si>
    <t>Г(рм)\ФзФ</t>
  </si>
  <si>
    <t>ГФ(рм3 сем.)\ФзФ</t>
  </si>
  <si>
    <t>ГФ(зм3 сем.)\ФзФ</t>
  </si>
  <si>
    <t>ГФмп(зм)\ФзФ</t>
  </si>
  <si>
    <t>ГФ(рм2 сем)\ФзФ</t>
  </si>
  <si>
    <t>Геофизика(рм2 сем)\ФзФ</t>
  </si>
  <si>
    <t>ГЕОФИЗИКА(зм2 сем)\ФзФ</t>
  </si>
  <si>
    <t>Геофизика(зм2 сем)\ФзФ</t>
  </si>
  <si>
    <t>ГФ(рм4 сем.)\ФзФ</t>
  </si>
  <si>
    <t>ГХмп(рм)\ГГФ</t>
  </si>
  <si>
    <t>ГХнс(рм)(рм5 сем.)\ГГФ</t>
  </si>
  <si>
    <t>ГИ(рм)\СтФ</t>
  </si>
  <si>
    <t>ГИ(рм4 сем.)\СтФ</t>
  </si>
  <si>
    <t>Г(рм)\ФФ</t>
  </si>
  <si>
    <t>Глобалистика(рмл)\ФФ</t>
  </si>
  <si>
    <t>ГИ(рм)\ФФ</t>
  </si>
  <si>
    <t>Градски изследвания(рм)\ФФ</t>
  </si>
  <si>
    <t>ГРАО(рм)\ГГФ</t>
  </si>
  <si>
    <t>ГРиАО(рм)\ГГФ</t>
  </si>
  <si>
    <t>ГРАО(зм)\ГГФ</t>
  </si>
  <si>
    <t>ГрОбрОбИстЦив(рм)\ИФ</t>
  </si>
  <si>
    <t>ГрОбрОбИстЦив(зм)\ИФ</t>
  </si>
  <si>
    <t>Графдизайн(рб)\ФНОИ</t>
  </si>
  <si>
    <t>ГрД(рм2 сем)\ФНОИ</t>
  </si>
  <si>
    <t>ГД3(рм3 сем.)\ФНОИ</t>
  </si>
  <si>
    <t>ДЮп(рм)\ФФ</t>
  </si>
  <si>
    <t>ДЮУП(рмс)\ФФ</t>
  </si>
  <si>
    <t>ДЮУП(рмнс)\ФФ</t>
  </si>
  <si>
    <t>Дтткнр(рм)\ФНОИ</t>
  </si>
  <si>
    <t>Дтткнр(зм)\ФНОИ</t>
  </si>
  <si>
    <t>Дигитален МГ/несп/(рмнс)\СтФ</t>
  </si>
  <si>
    <t>Дигитален Мг /несп./(рмнс)\СтФ</t>
  </si>
  <si>
    <t>Дигитален маркетинг(рм2 сем)\СтФ</t>
  </si>
  <si>
    <t>Дигитален маркетинг(рм4 сем.)\СтФ</t>
  </si>
  <si>
    <t>ДМТ - 2 задочно(зм2 сем)\СтФ</t>
  </si>
  <si>
    <t>ДМТ - задочно 2 сем.(зм2 сем)\СтФ</t>
  </si>
  <si>
    <t>ДМТ-ЗО-Н (2 сем.)(змнс)\СтФ</t>
  </si>
  <si>
    <t>ДМТ-Н-2 задочна(змнс)\СтФ</t>
  </si>
  <si>
    <t>ДТЗБ(рм2 сем)\СтФ</t>
  </si>
  <si>
    <t>DH(рм ч.ез.)\ИФ</t>
  </si>
  <si>
    <t>ДигКомпЧЕОан(рм2 сем ч.ез.)\ФКНФ</t>
  </si>
  <si>
    <t>ДигКомпЧЕОан(рм2 семл ч.ез.)\ФКНФ</t>
  </si>
  <si>
    <t>ДигКомпЧЕОнем(рм2 сем ч.ез.)\ФКНФ</t>
  </si>
  <si>
    <t>ДигКомпЧЕОнем(рм2 семл)\ФКНФ</t>
  </si>
  <si>
    <t>ДМВ(зм)\ФЖМК</t>
  </si>
  <si>
    <t>ДМК(рм ч.ез.)\ФЖМК</t>
  </si>
  <si>
    <t>ДДУ(рм2 сем)\ФП</t>
  </si>
  <si>
    <t>ДДУ(зм2 сем)\ФП</t>
  </si>
  <si>
    <t>Дизайн за дигитално (зм2 семл)\ФП</t>
  </si>
  <si>
    <t>ДДУ-АЕ(зм2 сем ч.ез.)\ФП</t>
  </si>
  <si>
    <t>ДСиГ(рм)\ФМИ</t>
  </si>
  <si>
    <t>ДСиТЧ - летен прием(рмл)\ФМИ</t>
  </si>
  <si>
    <t>ДСиТЧ(рм)\ФМИ</t>
  </si>
  <si>
    <t>ДиР(рмс)\ИФ</t>
  </si>
  <si>
    <t>ДРБ(рм)\ИФ</t>
  </si>
  <si>
    <t>ДАС(рм)\ФМИ</t>
  </si>
  <si>
    <t>ДСХТ(рм)\ФХФ</t>
  </si>
  <si>
    <t>ДСХТ(рм3 сем.)\ФХФ</t>
  </si>
  <si>
    <t>ДСХТ (рм)(рм)\ФХФ</t>
  </si>
  <si>
    <t>ДАМ(рмс)\ИФ</t>
  </si>
  <si>
    <t>ДАМ(змс)\ИФ</t>
  </si>
  <si>
    <t>ДАМ(рмнс)\ИФ</t>
  </si>
  <si>
    <t>ДАМ(змнс)\ИФ</t>
  </si>
  <si>
    <t>ДАР(рмнс)\ИФ</t>
  </si>
  <si>
    <t>ДАР(рмс)\ИФ</t>
  </si>
  <si>
    <t>Е-Европа(рм)\ФФ</t>
  </si>
  <si>
    <t>Е-Е(рм2 сем)\ФФ</t>
  </si>
  <si>
    <t>ЕРИЕ(рм)\ИФ</t>
  </si>
  <si>
    <t>ИЕРИЕ(рмс)\ИФ</t>
  </si>
  <si>
    <t>ИЕРИЕ~(рмс)\ИФ</t>
  </si>
  <si>
    <t>Е&amp;А:КДГнаЕС(рм ч.ез.)\ФКНФ</t>
  </si>
  <si>
    <t>Е&amp;А:КДГнаЕС(рмл ч.ез.)\ФКНФ</t>
  </si>
  <si>
    <t>Евр.(рб)\ФФ</t>
  </si>
  <si>
    <t>ЕСН(зм)\ФФ</t>
  </si>
  <si>
    <t>ЕИ(рм)\ФФ</t>
  </si>
  <si>
    <t>ЕИ(рмл)\ФФ</t>
  </si>
  <si>
    <t>ЕИиД(рм)\ФФ</t>
  </si>
  <si>
    <t>ЕИДЕС(рм2 сем)\ФФ</t>
  </si>
  <si>
    <t>ЕИДЕСл(рм2 семл)\ФФ</t>
  </si>
  <si>
    <t>ЕПА(рм)\ФФ</t>
  </si>
  <si>
    <t>ЕПА(зм)\ФФ</t>
  </si>
  <si>
    <t>ЕПА(рм2 сем)\ФФ</t>
  </si>
  <si>
    <t>ЕЮ - 2 сем(рмс)\ИФ</t>
  </si>
  <si>
    <t>ЕЮ(рмсл)\ИФ</t>
  </si>
  <si>
    <t>ЕЮ(змсл)\ИФ</t>
  </si>
  <si>
    <t>ЕЮ(рмс)\ИФ</t>
  </si>
  <si>
    <t>ЕЮи(рм)\ИФ</t>
  </si>
  <si>
    <t>ЕЮ - межд. прогр.(рмс)\ИФ</t>
  </si>
  <si>
    <t>ЕЮ-межд.прогр. (рмнс)\ИФ</t>
  </si>
  <si>
    <t>ЕЮ-межд.прогр.~(рмнс)\ИФ</t>
  </si>
  <si>
    <t>Европейски Югоизток (рмнс)\ИФ</t>
  </si>
  <si>
    <t>ЕЮ(зм)\ИФ</t>
  </si>
  <si>
    <t>ЕЮ(змс)\ИФ</t>
  </si>
  <si>
    <t>ЕЮ~(змс)\ИФ</t>
  </si>
  <si>
    <t>ЕЮ(рмнс)\ИФ</t>
  </si>
  <si>
    <t>ЕЮ(рмнсл)\ИФ</t>
  </si>
  <si>
    <t>ЕЮ(змнс)\ИФ</t>
  </si>
  <si>
    <t>ЕЮ(змнсл)\ИФ</t>
  </si>
  <si>
    <t>ЕИз(рм)\ФФ</t>
  </si>
  <si>
    <t>ЕО(рм3 сем.)\ЮФ</t>
  </si>
  <si>
    <t>ЕО(рм3 сем.л)\ЮФ</t>
  </si>
  <si>
    <t>ЕО(рм4 сем.)\ЮФ</t>
  </si>
  <si>
    <t>Европейски проекти(рм)\ФФ</t>
  </si>
  <si>
    <t>ЕП(рмл)\ФФ</t>
  </si>
  <si>
    <t>Европейски проекти(рм2 сем)\ФФ</t>
  </si>
  <si>
    <t>ЕС&amp;ЕИ(рб ч.ез.)\ФКНФ</t>
  </si>
  <si>
    <t>ЕС&amp;ЕИ(рб)\ФКНФ</t>
  </si>
  <si>
    <t>ЕзКуПр(рм)\ФКНФ</t>
  </si>
  <si>
    <t>ЕКП(нфске)(рм)\ФКНФ</t>
  </si>
  <si>
    <t>ЕиК-Англ(р\ФКНФ</t>
  </si>
  <si>
    <t>ЕиК-Англ(рм)\ФКНФ</t>
  </si>
  <si>
    <t>ЕиК-Англ(рмл)\ФКНФ</t>
  </si>
  <si>
    <t>ЕиК-Англ(рмнс ч.ез.)\ФКНФ</t>
  </si>
  <si>
    <t>ЕиК-Англ(рмнс)\ФКНФ</t>
  </si>
  <si>
    <t>ЕиК-Англ(рмнсл)\ФКНФ</t>
  </si>
  <si>
    <t>ЕиК-Англ(рмс ч.ез.)\ФКНФ</t>
  </si>
  <si>
    <t>ЕиК-Англ(рмс)\ФКНФ</t>
  </si>
  <si>
    <t>ЕКП(рм)\ФСлФ</t>
  </si>
  <si>
    <t>ЕИК/несп(рмнс)\ФСлФ</t>
  </si>
  <si>
    <t>АФ ЕО(рм)\ФКНФ</t>
  </si>
  <si>
    <t>ЕЕН(рм)\ФКНФ</t>
  </si>
  <si>
    <t>ЕКП(рм)\ФКНФ</t>
  </si>
  <si>
    <t>ЕКП(рм2 сем)\ФКНФ</t>
  </si>
  <si>
    <t>ЕКП(рм2 сем)\ФСлФ</t>
  </si>
  <si>
    <t>ЕКПмп(рмнс)\ФСлФ</t>
  </si>
  <si>
    <t>ЕП(рм)\ФКНФ</t>
  </si>
  <si>
    <t>ЕБТ(рм)\БФ</t>
  </si>
  <si>
    <t>Е(рм)\БФ</t>
  </si>
  <si>
    <t>ЕКО(рмнсл)\БФ</t>
  </si>
  <si>
    <t>Е(зм)\БФ</t>
  </si>
  <si>
    <t>ЕООС(рб)\БФ</t>
  </si>
  <si>
    <t>ЕООС(зб)\БФ</t>
  </si>
  <si>
    <t>ЕММ(зм)\БФ</t>
  </si>
  <si>
    <t>ЕМ(змл)\БФ</t>
  </si>
  <si>
    <t>Е(зм)\ГГФ</t>
  </si>
  <si>
    <t>ЕХ(рб)\ФХФ</t>
  </si>
  <si>
    <t>ЕкоХ(рм)\ФХФ</t>
  </si>
  <si>
    <t>ЕкоХ(зм)\ФХФ</t>
  </si>
  <si>
    <t>ЕХ(р)(рм)\ФХФ</t>
  </si>
  <si>
    <t>ЕХ(з)(зм)\ФХФ</t>
  </si>
  <si>
    <t>ЕБ(м)\ФМИ</t>
  </si>
  <si>
    <t>ЕБ(рм)\ФМИ</t>
  </si>
  <si>
    <t>ЕлБи(рм)\ФМИ</t>
  </si>
  <si>
    <t>ЕБ на англ.ез.-летен(рмл ч.ез.)\ФМИ</t>
  </si>
  <si>
    <t>ЕБ на англ. ез.(рм ч.ез.)\ФМИ</t>
  </si>
  <si>
    <t>ЕБ на англ. ез.(рм)\ФМИ</t>
  </si>
  <si>
    <t>ЕБиЕУ(рм)\ФМИ</t>
  </si>
  <si>
    <t>ЕМ(рм2 сем)\ФЖМК</t>
  </si>
  <si>
    <t>ЕМ(зм)\ФЖМК</t>
  </si>
  <si>
    <t>ЕМ(зм2 сем)\ФЖМК</t>
  </si>
  <si>
    <t>ЕО(рм)\ФМИ</t>
  </si>
  <si>
    <t>ЕлОб(рмс)\ФМИ</t>
  </si>
  <si>
    <t>ЕО(зм)\ФМИ</t>
  </si>
  <si>
    <t>ЕлОб(змнс)\ФМИ</t>
  </si>
  <si>
    <t>ЕлОб(змс)\ФМИ</t>
  </si>
  <si>
    <t>ЕО(рмс)\ФМИ</t>
  </si>
  <si>
    <t>ЕлОб сп.\ФМИ</t>
  </si>
  <si>
    <t>ЕО(рмнс)\ФМИ</t>
  </si>
  <si>
    <t>ЕлОб несп.\ФМИ</t>
  </si>
  <si>
    <t>ЕлОб(рмнс)\ФМИ</t>
  </si>
  <si>
    <t>ЕПУ-ЗО 2 сем.(зм2 сем)\СтФ</t>
  </si>
  <si>
    <t>ЕПУ-ЗО неиконом.(змнс)\СтФ</t>
  </si>
  <si>
    <t>Енергийни пазари Усл(зм2 сем)\СтФ</t>
  </si>
  <si>
    <t>Енергийни пазари и у(змнс)\СтФ</t>
  </si>
  <si>
    <t>Ент(рм)\БФ</t>
  </si>
  <si>
    <t>ЕргтерДВНром(рм)\ФНОИ</t>
  </si>
  <si>
    <t>ЕргтерДВНром(рм3 сем.)\ФНОИ</t>
  </si>
  <si>
    <t>ЕргтерДВНзом(зм)\ФНОИ</t>
  </si>
  <si>
    <t>ЕргтерДВНзом(зм3 сем.)\ФНОИ</t>
  </si>
  <si>
    <t>ЕргДВ2сем(рм2 сем)\ФНОИ</t>
  </si>
  <si>
    <t>ЕргДВзад2(зм2 сем)\ФНОИ</t>
  </si>
  <si>
    <t>Етн(рб)\ИФ</t>
  </si>
  <si>
    <t>Етн(рм)\ИФ</t>
  </si>
  <si>
    <t>ЕКА(рб)\ИФ</t>
  </si>
  <si>
    <t>ЕКА(рмс)\ИФ</t>
  </si>
  <si>
    <t>ЕКА(рмнс)\ИФ</t>
  </si>
  <si>
    <t>ЕКА-2сем(рм2 сем)\ИФ</t>
  </si>
  <si>
    <t>ЕКА(рм2 сем)\ИФ</t>
  </si>
  <si>
    <t>ЕКА-4сем(рм4 сем.)\ИФ</t>
  </si>
  <si>
    <t>ЖЕвО(рм2 сем)\ФНОИ</t>
  </si>
  <si>
    <t>Ж(рб)\ФЖМК</t>
  </si>
  <si>
    <t>Ж(зб)\ФЖМК</t>
  </si>
  <si>
    <t>Ж(рм)\ФЖМК</t>
  </si>
  <si>
    <t>Ж(зм4 сем.)\ФЖМК</t>
  </si>
  <si>
    <t>Ж(зм)\ФЖМК</t>
  </si>
  <si>
    <t>ЖМ(зм)\ФЖМК</t>
  </si>
  <si>
    <t>ЖМмп(зм)\ФЖМК</t>
  </si>
  <si>
    <t>ЗащДАР(рмл)\ИФ</t>
  </si>
  <si>
    <t>Защита на документ.(рмс)\ИФ</t>
  </si>
  <si>
    <t>ЗащДАР(змсл)\ИФ</t>
  </si>
  <si>
    <t>Защита на документ.(змс)\ИФ</t>
  </si>
  <si>
    <t>ЗащДАР(рмнсл)\ИФ</t>
  </si>
  <si>
    <t>ЗащДАР(змнс)\ИФ</t>
  </si>
  <si>
    <t>ЗащДАР(змнсл)\ИФ</t>
  </si>
  <si>
    <t>Защита на докум. (рмнс)\ИФ</t>
  </si>
  <si>
    <t>ЗИКСМ(рм)\ФМИ</t>
  </si>
  <si>
    <t>ЗИКСМ(рмл)\ФМИ</t>
  </si>
  <si>
    <t>ЗИвКСМ(рм)\ФМИ</t>
  </si>
  <si>
    <t>Защита на инф.(рм)\ФМИ</t>
  </si>
  <si>
    <t>ЗОП(рм)\ЮФ</t>
  </si>
  <si>
    <t>Зоол(рм)\БФ</t>
  </si>
  <si>
    <t>ИКТ в обр.(дистанц.)(дм2 сем)\ФП</t>
  </si>
  <si>
    <t>ИА(рм)\ФКНФ</t>
  </si>
  <si>
    <t>ИбАм(рм)\ФКНФ</t>
  </si>
  <si>
    <t>ИбероАм(рм)\ФКНФ</t>
  </si>
  <si>
    <t>ИбероАм(рмнсл)\ФКНФ</t>
  </si>
  <si>
    <t>ИИОЗ(рм)\ФМИ</t>
  </si>
  <si>
    <t>Извори и традиция(зм4 сем.)\БсФ</t>
  </si>
  <si>
    <t>Извори и традиция(змнс)\БсФ</t>
  </si>
  <si>
    <t>Извори и традиция/р/(рм2 сем)\БсФ</t>
  </si>
  <si>
    <t>Извори 2 сем/задочно(зм2 сем)\БсФ</t>
  </si>
  <si>
    <t>ИС(рм)\ФФ</t>
  </si>
  <si>
    <t>ИзкС(рмл)\ФФ</t>
  </si>
  <si>
    <t>ИИ спец(м)\ФМИ</t>
  </si>
  <si>
    <t>ИИ(рм)\ФМИ</t>
  </si>
  <si>
    <t>ИИ(рмс)\ФМИ</t>
  </si>
  <si>
    <t>ИИ несп(м)\ФМИ</t>
  </si>
  <si>
    <t>ИИ(м)\ФМИ</t>
  </si>
  <si>
    <t>ИИ(рмнс)\ФМИ</t>
  </si>
  <si>
    <t>Изкуствен интелект (рм2 сем)\СтФ</t>
  </si>
  <si>
    <t>ИИБФ - 4 сем.(рм4 сем.)\СтФ</t>
  </si>
  <si>
    <t>ИКУВ(змнсл)\ГГФ</t>
  </si>
  <si>
    <t>ИКУВ(рмс)\ГГФ</t>
  </si>
  <si>
    <t>ИКУВ(рмнс)\ГГФ</t>
  </si>
  <si>
    <t>ИКУВ(рмнсл)\ГГФ</t>
  </si>
  <si>
    <t>ИКУВ(змс)\ГГФ</t>
  </si>
  <si>
    <t>ИКУВ(рм4 сем.л)\ГГФ</t>
  </si>
  <si>
    <t>ИКУВ(змнс)\ГГФ</t>
  </si>
  <si>
    <t>ПОИИз(рб)\ФНОИ</t>
  </si>
  <si>
    <t>ИАК(рм)\ФКНФ</t>
  </si>
  <si>
    <t>ИИнф(рмнс)\ФМИ</t>
  </si>
  <si>
    <t>ИИнф(рмс)\ФМИ</t>
  </si>
  <si>
    <t>ИзИн несп\ФМИ</t>
  </si>
  <si>
    <t>ИзчИнф сп.\ФМИ</t>
  </si>
  <si>
    <t>ИзчИнф(рм)\ФМИ</t>
  </si>
  <si>
    <t>ИзчИнф(рмс)\ФМИ</t>
  </si>
  <si>
    <t>ИМ сп.\ФМИ</t>
  </si>
  <si>
    <t>ИМ(рмнс)\ФМИ</t>
  </si>
  <si>
    <t>ИзчМ(м)\ФМИ</t>
  </si>
  <si>
    <t>ИзчМ(рм)\ФМИ</t>
  </si>
  <si>
    <t>ИМиММ(рм)\ФМИ</t>
  </si>
  <si>
    <t>ИзХ(рм)\ФХФ</t>
  </si>
  <si>
    <t>ИХ(рм)\ФХФ</t>
  </si>
  <si>
    <t>И(рб)\СтФ</t>
  </si>
  <si>
    <t>ИкФ(рб)\СтФ</t>
  </si>
  <si>
    <t>И(рм)\СтФ</t>
  </si>
  <si>
    <t>ИМТИН(рм5 сем.)\СтФ</t>
  </si>
  <si>
    <t>Иконом. и право неик(рмнс)\СтФ</t>
  </si>
  <si>
    <t>Икономика и право Л(рм2 семл)\СтФ</t>
  </si>
  <si>
    <t>Икономика и право(рм2 сем)\СтФ</t>
  </si>
  <si>
    <t>Икономика и право(рм2 семл)\СтФ</t>
  </si>
  <si>
    <t>Икономика и право(рмнс)\СтФ</t>
  </si>
  <si>
    <t>ИУЕИКУ(рм2\СтФ</t>
  </si>
  <si>
    <t>ИУЕИКУ(рм2 сем)\СтФ</t>
  </si>
  <si>
    <t>ИУЕИКУ(рм4 сем.)\СтФ</t>
  </si>
  <si>
    <t>ИУЕИКУ-ПБ(рм4 сем.)\СтФ</t>
  </si>
  <si>
    <t>ИЕИКУ(рм3 сем.)\СтФ</t>
  </si>
  <si>
    <t>ИУЕИКУ(рм3 сем.)\СтФ</t>
  </si>
  <si>
    <t>ИУЕИКУмн(рм5 сем.)\СтФ</t>
  </si>
  <si>
    <t>ИУЕИКУ-ПБ(\СтФ</t>
  </si>
  <si>
    <t>ИУАС(рм5 сем.)\СтФ</t>
  </si>
  <si>
    <t>ИУЛВС(рм3 сем.)\СтФ</t>
  </si>
  <si>
    <t>ИУЛВС/5(рм5 сем.)\СтФ</t>
  </si>
  <si>
    <t>ИУОНИ(рм3 сем.)\СтФ</t>
  </si>
  <si>
    <t>ИУОНИ(рм5 сем.)\СтФ</t>
  </si>
  <si>
    <t>ИУПР - РО\СтФ</t>
  </si>
  <si>
    <t>ИУПР-РО не\СтФ</t>
  </si>
  <si>
    <t>ИУПР - ЗО (2 сем.)(зм2 сем)\СтФ</t>
  </si>
  <si>
    <t>ИУПР-ЗО неиконом.(змнс)\СтФ</t>
  </si>
  <si>
    <t>ИУПС(рм)\СтФ</t>
  </si>
  <si>
    <t>ИУПС(рм3 сем.)\СтФ</t>
  </si>
  <si>
    <t>ИУПСмп(рм5 сем.)\СтФ</t>
  </si>
  <si>
    <t>ИУПСмп(рмнс)\СтФ</t>
  </si>
  <si>
    <t>ИУПС(рм2 сем)\СтФ</t>
  </si>
  <si>
    <t>ИУПС(рм4 сем.)\СтФ</t>
  </si>
  <si>
    <t>ИУСС(рм3 сем.)\СтФ</t>
  </si>
  <si>
    <t>ИУСС(рм5 сем.)\СтФ</t>
  </si>
  <si>
    <t>ИУТ(рм)\СтФ</t>
  </si>
  <si>
    <t>ИУТ(рм3 сем.)\СтФ</t>
  </si>
  <si>
    <t>ИУТ(рм5 сем.)\СтФ</t>
  </si>
  <si>
    <t>ИУТ-ПБ(рм5 сем.)\СтФ</t>
  </si>
  <si>
    <t>ИУТмп(рм5 сем.)\СтФ</t>
  </si>
  <si>
    <t>ИУТмп(рмнс)\СтФ</t>
  </si>
  <si>
    <t>ИУТ(рм4 сем.)\СтФ</t>
  </si>
  <si>
    <t>ИФ (френска)(рб)\СтФ</t>
  </si>
  <si>
    <t>ИФ(френска)(рб)\СтФ</t>
  </si>
  <si>
    <t>Икономика и финанси(рб)\СтФ</t>
  </si>
  <si>
    <t>ИФ зимен 2 сем.(рм2 сем)\СтФ</t>
  </si>
  <si>
    <t>ИФ(рм2 сем)\СтФ</t>
  </si>
  <si>
    <t>ИФ(рмнс)\СтФ</t>
  </si>
  <si>
    <t>ИФ(рмнсл)\СтФ</t>
  </si>
  <si>
    <t>ИФ(зм2 сем)\СтФ</t>
  </si>
  <si>
    <t>ИФ(зм2 семл)\СтФ</t>
  </si>
  <si>
    <t>ИФ(змнс)\СтФ</t>
  </si>
  <si>
    <t>ИФ(змнсл)\СтФ</t>
  </si>
  <si>
    <t>ИФ-ЗО зимен(зм2 сем)\СтФ</t>
  </si>
  <si>
    <t>ИФ-ЗО летен(зм2 семл)\СтФ</t>
  </si>
  <si>
    <t>ИФ(рм3 сем.)\СтФ</t>
  </si>
  <si>
    <t>ИФ(рм5 сем.)\СтФ</t>
  </si>
  <si>
    <t>ИГмп(рмл)\ГГФ</t>
  </si>
  <si>
    <t>ИИКО(рм)\ФКНФ</t>
  </si>
  <si>
    <t>ИИКОинд(рмл)\ФКНФ</t>
  </si>
  <si>
    <t>ИИКОинд(рмс)\ФКНФ</t>
  </si>
  <si>
    <t>ИИКОир(рм3 сем.)\ФКНФ</t>
  </si>
  <si>
    <t>ИИКО(рмнс)\ФКНФ</t>
  </si>
  <si>
    <t>ИИКОинд(рмнс)\ФКНФ</t>
  </si>
  <si>
    <t>ИИКОир(рмс)\ФКНФ</t>
  </si>
  <si>
    <t>ИИКОир(рмнс)\ФКНФ</t>
  </si>
  <si>
    <t>Инд КО(рм)\ФКНФ</t>
  </si>
  <si>
    <t>Инд(рб)\ФКНФ</t>
  </si>
  <si>
    <t>ИБ(рм)\БФ</t>
  </si>
  <si>
    <t>ИФБ(рм)\БФ</t>
  </si>
  <si>
    <t>ИФ(рб)\ФзФ</t>
  </si>
  <si>
    <t>ИФ(зб)\ФзФ</t>
  </si>
  <si>
    <t>ИФз.о.(зб)\ФзФ</t>
  </si>
  <si>
    <t>ИФ(рм)\ФзФ</t>
  </si>
  <si>
    <t>ИХСМ(рб)\ФХФ</t>
  </si>
  <si>
    <t>ИУФВ(зм2 сем)\ФНОИ</t>
  </si>
  <si>
    <t>ИДТА - нес\СтФ</t>
  </si>
  <si>
    <t>Иновации и\СтФ</t>
  </si>
  <si>
    <t>ИДТА - неспец.(змнс)\СтФ</t>
  </si>
  <si>
    <t>Иновации и ДТА(зм2 сем)\СтФ</t>
  </si>
  <si>
    <t>ИМЗПМКМИТ(рм)\ФМИ</t>
  </si>
  <si>
    <t>ИБ(рм)\ФФ</t>
  </si>
  <si>
    <t>ИБЕ(рм)\ФФ</t>
  </si>
  <si>
    <t>ИБЕ(рмл)\ФФ</t>
  </si>
  <si>
    <t>Интелигентна аналити(рмс)\ФХФ</t>
  </si>
  <si>
    <t>ИА(рм)\ФСлФ</t>
  </si>
  <si>
    <t>Интерпретативна антр(рмл)\ФСлФ</t>
  </si>
  <si>
    <t>Интерпретативна/несп(рм)\ФСлФ</t>
  </si>
  <si>
    <t>Интерпретативна/несп(рмнс)\ФСлФ</t>
  </si>
  <si>
    <t>И\ФМИ</t>
  </si>
  <si>
    <t>И(рб)\ФМИ</t>
  </si>
  <si>
    <t>И(рм-97)\ФМИ</t>
  </si>
  <si>
    <t>И-97\ФМИ</t>
  </si>
  <si>
    <t>И(рм)\ФМИ</t>
  </si>
  <si>
    <t>И-маг\ФМИ</t>
  </si>
  <si>
    <t>ИКТО (рм 3 сем)(рмс)\ФП</t>
  </si>
  <si>
    <t>ИКТ (зм 3 сем.)(змнс)\ФП</t>
  </si>
  <si>
    <t>ИКТ в образованието(зм3 сем.)\ФП</t>
  </si>
  <si>
    <t>ИКТ в образованието(рм2 сем)\ФП</t>
  </si>
  <si>
    <t>ИКТ в образованието(зм2 сем)\ФП</t>
  </si>
  <si>
    <t>ИС(рб)\ФМИ</t>
  </si>
  <si>
    <t>ИС неспец.\ФМИ</t>
  </si>
  <si>
    <t>ИС(рмнс)\ФМИ</t>
  </si>
  <si>
    <t>ИС-мнс\ФМИ</t>
  </si>
  <si>
    <t>ИС спец.\ФМИ</t>
  </si>
  <si>
    <t>ИС(мс)\ФМИ</t>
  </si>
  <si>
    <t>ИС(рм)\ФМИ</t>
  </si>
  <si>
    <t>ИС(рмс)\ФМИ</t>
  </si>
  <si>
    <t>ИТХ(зм)\ФХФ</t>
  </si>
  <si>
    <t>ИТУ(рм)\ФМИ</t>
  </si>
  <si>
    <t>ИТУ(рмс)\ФМИ</t>
  </si>
  <si>
    <t>ИТУ(рмнс)\ФМИ</t>
  </si>
  <si>
    <t>ИТУП(рм)\ФМИ</t>
  </si>
  <si>
    <t>Ирн(рб)\ФКНФ</t>
  </si>
  <si>
    <t>ИспФ(рб)\ФКНФ</t>
  </si>
  <si>
    <t>Прев-Ред(рм)\ФКНФ</t>
  </si>
  <si>
    <t>ИспФ(рм)\ФКНФ</t>
  </si>
  <si>
    <t>Историко-етн. модели(рмс)\ИФ</t>
  </si>
  <si>
    <t>Ист(рб)\ИФ</t>
  </si>
  <si>
    <t>Ист(зб)\ИФ</t>
  </si>
  <si>
    <t>Ист(рм)\ИФ</t>
  </si>
  <si>
    <t>ИиГ(рб)\ИФ</t>
  </si>
  <si>
    <t>ИГПБ(рб)\ИФ</t>
  </si>
  <si>
    <t>ИСРС от Изт. Азия(рмс)\ИФ</t>
  </si>
  <si>
    <t>ИСРС от ИзтАзия(рм)\ИФ</t>
  </si>
  <si>
    <t>ИСРС от ИзтАзия(рмс)\ИФ</t>
  </si>
  <si>
    <t>ИС на Р-я, ИА и Евр.(рмнс)\ИФ</t>
  </si>
  <si>
    <t>ИС на Р-я, ИА и Евр.(рмс)\ИФ</t>
  </si>
  <si>
    <t>ИСФ(рмс)\ФФ</t>
  </si>
  <si>
    <t>ИСФ(рмнс)\ФФ</t>
  </si>
  <si>
    <t>Ист. и философия(рб)\ИФ</t>
  </si>
  <si>
    <t>История и чужд език(рб)\ИФ</t>
  </si>
  <si>
    <t>ИЕРИ - 2 сем(рмнс)\ИФ</t>
  </si>
  <si>
    <t>ИЕРИ - 2 сем(рмс)\ИФ</t>
  </si>
  <si>
    <t>ИЖП(рм4 сем.)\ФФ</t>
  </si>
  <si>
    <t>ИЖПл(рм4 сем.л)\ФФ</t>
  </si>
  <si>
    <t>ИстЖПсем3(\ФФ</t>
  </si>
  <si>
    <t>ИстЖПсем3(рм3 сем. ч.ез.)\ФФ</t>
  </si>
  <si>
    <t>ИКЧ(рм2 сем)\ФФ</t>
  </si>
  <si>
    <t>ИКЧ(зм)\ФФ</t>
  </si>
  <si>
    <t>ИКЧ(змл)\ФФ</t>
  </si>
  <si>
    <t>ИФ(рмс)\ФФ</t>
  </si>
  <si>
    <t>ИФ(рмсл)\ФФ</t>
  </si>
  <si>
    <t>История на философия(рмс)\ФФ</t>
  </si>
  <si>
    <t>ИФ(рмнс)\ФФ</t>
  </si>
  <si>
    <t>ИФ(рмнсл)\ФФ</t>
  </si>
  <si>
    <t>История на философия(рмнс)\ФФ</t>
  </si>
  <si>
    <t>ИтлФ(рб)\ФКНФ</t>
  </si>
  <si>
    <t>КОИМНО(зм3 сем.)\ФП</t>
  </si>
  <si>
    <t>КОИМО(змнс)\ФП</t>
  </si>
  <si>
    <t>КБХ(рм)\БФ</t>
  </si>
  <si>
    <t>КБХ з.о.(зм)\БФ</t>
  </si>
  <si>
    <t>КПРС(зм2 сем)\ФП</t>
  </si>
  <si>
    <t>КПРС(зм3 сем.)\ФП</t>
  </si>
  <si>
    <t>КЕЛТ(рм)\ФзФ</t>
  </si>
  <si>
    <t>КЕЛТ(рм3 сем.)\ФзФ</t>
  </si>
  <si>
    <t>ККТФ(рб)\ФзФ</t>
  </si>
  <si>
    <t>Кв.Инф.(рм3 сем.)\ФзФ</t>
  </si>
  <si>
    <t>КинНСЗ(рмнс)\ФНОИ</t>
  </si>
  <si>
    <t>КинНСЗ(рм)\ФНОИ</t>
  </si>
  <si>
    <t>КинНСЗ(змнс)\ФНОИ</t>
  </si>
  <si>
    <t>КинНСЗ(зм)\ФНОИ</t>
  </si>
  <si>
    <t>Кит(рб)\ФКНФ</t>
  </si>
  <si>
    <t>КлФ(рб)\ФКНФ</t>
  </si>
  <si>
    <t>КлЕзИАнтЛит(рм2 сем)\ФКНФ</t>
  </si>
  <si>
    <t>КлЕзИАнтЛит(рм4 сем.)\ФКНФ</t>
  </si>
  <si>
    <t>КлБиП(рм)\БФ</t>
  </si>
  <si>
    <t>ККП(рм)\ФФ</t>
  </si>
  <si>
    <t>КЛК+ПР(рм5 сем.)\ФФ</t>
  </si>
  <si>
    <t>КП(рм3 сем.)\ФФ</t>
  </si>
  <si>
    <t>КлПсих5(рм5 сем.)\ФФ</t>
  </si>
  <si>
    <t>КСР(зм2 сем)\ФП</t>
  </si>
  <si>
    <t>КСР(зм3 сем.)\ФП</t>
  </si>
  <si>
    <t>КИ(рб)\ФЖМК</t>
  </si>
  <si>
    <t>КН21(зм)\ФЖМК</t>
  </si>
  <si>
    <t>Козметика и битова х(рм)\ФХФ</t>
  </si>
  <si>
    <t>Козметика и битова х(зм)\ФХФ</t>
  </si>
  <si>
    <t>Козметика и битова х(зм4 сем.л)\ФХФ</t>
  </si>
  <si>
    <t>КССНТ(рм)\ФХФ</t>
  </si>
  <si>
    <t>КССНТ(зм)\ФХФ</t>
  </si>
  <si>
    <t>КГ(рм)\ФМИ</t>
  </si>
  <si>
    <t>КомпГраф(рм)\ФМИ</t>
  </si>
  <si>
    <t>КомпГраф(рмс)\ФМИ</t>
  </si>
  <si>
    <t>КомпГраф(рмнс)\ФМИ</t>
  </si>
  <si>
    <t>КомпЛингв(рм)\ФМИ</t>
  </si>
  <si>
    <t>КлИт(рм)\ФСлФ</t>
  </si>
  <si>
    <t>КлИтХум(зм)\ФСлФ</t>
  </si>
  <si>
    <t>КХ(рб)\ФХФ</t>
  </si>
  <si>
    <t>КН(рб)\ФМИ</t>
  </si>
  <si>
    <t>КИ(рб)\ФзФ</t>
  </si>
  <si>
    <t>КФЕ(рб)\ФзФ</t>
  </si>
  <si>
    <t>КФЕ~(рб)\ФзФ</t>
  </si>
  <si>
    <t>КФЕ1(рб)\ФзФ</t>
  </si>
  <si>
    <t>КФЕ(рм2 сем)\ФзФ</t>
  </si>
  <si>
    <t>КМ(рб)\ФЖМК</t>
  </si>
  <si>
    <t>ККТ(рм3 сем.)\ФзФ</t>
  </si>
  <si>
    <t>КоЕзЛиМе(рмнс ч.ез.)\ФКНФ</t>
  </si>
  <si>
    <t>КоЕзЛиМе(рмнс)\ФКНФ</t>
  </si>
  <si>
    <t>КоЕзЛиМе-спец(рмс ч.ез.)\ФКНФ</t>
  </si>
  <si>
    <t>КоЕзЛиМе(змнс ч.ез.)\ФКНФ</t>
  </si>
  <si>
    <t>КоЕзЛиМе(змнс)\ФКНФ</t>
  </si>
  <si>
    <t>КоЕзЛиМе(змнсл)\ФКНФ</t>
  </si>
  <si>
    <t>КоЕзЛиМе-спец(змс ч.ез.)\ФКНФ</t>
  </si>
  <si>
    <t>КоЕзЛиМе(рм)\ФКНФ</t>
  </si>
  <si>
    <t>КоЕзЛиМе(рмс ч.ез.)\ФКНФ</t>
  </si>
  <si>
    <t>КоЕзЛиМе(рмс)\ФКНФ</t>
  </si>
  <si>
    <t>КЕУЛКМГ(зм)\ФКНФ</t>
  </si>
  <si>
    <t>КоЕзЛиМе(зм)\ФКНФ</t>
  </si>
  <si>
    <t>КоЕзЛиМе(змс ч.ез.)\ФКНФ</t>
  </si>
  <si>
    <t>КоЕзЛиМе(змс)\ФКНФ</t>
  </si>
  <si>
    <t>КСППСром(рм)\ФНОИ</t>
  </si>
  <si>
    <t>КСППСзом(зм)\ФНОИ</t>
  </si>
  <si>
    <t>КП(рм)\ФКНФ</t>
  </si>
  <si>
    <t>КП-ан(рм)\ФКНФ</t>
  </si>
  <si>
    <t>КП-не(рм)\ФКНФ</t>
  </si>
  <si>
    <t>КП-фр(рм)\ФКНФ</t>
  </si>
  <si>
    <t>КП-ис(рм)\ФКНФ</t>
  </si>
  <si>
    <t>КП(нфске)(рм)\ФКНФ</t>
  </si>
  <si>
    <t>КП(нфске)(рм2 сем)\ФКНФ</t>
  </si>
  <si>
    <t>Кор(рб)\ФКНФ</t>
  </si>
  <si>
    <t>КССС(рм2 сем)\СтФ</t>
  </si>
  <si>
    <t>КССС-4(рм4 сем.)\СтФ</t>
  </si>
  <si>
    <t>КИ(рм)\ФзФ</t>
  </si>
  <si>
    <t>КИ(рм3 сем.)\ФзФ</t>
  </si>
  <si>
    <t>КИз(рм5 сем.)\ФзФ</t>
  </si>
  <si>
    <t>КК(зм)\ФЖМК</t>
  </si>
  <si>
    <t>КК(змл)\ФЖМК</t>
  </si>
  <si>
    <t>КК-л(змл)\ФЖМК</t>
  </si>
  <si>
    <t>ККДСП(рм2 сем)\ИФ</t>
  </si>
  <si>
    <t>ККДСП ХVІ - ХХІ(рмс)\ИФ</t>
  </si>
  <si>
    <t>ККДСП ХVІ-ХХІ век(рмнс)\ИФ</t>
  </si>
  <si>
    <t>ККДСП ХVІ-ХХІ(рмс)\ИФ</t>
  </si>
  <si>
    <t>ККДСП(рмнс)\ИФ</t>
  </si>
  <si>
    <t>ККДСП(змнс)\ИФ</t>
  </si>
  <si>
    <t>ККДСП(рмс)\ИФ</t>
  </si>
  <si>
    <t>ККДСП(змс)\ИФ</t>
  </si>
  <si>
    <t>КултУнг(рм3 сем.)\ФКНФ</t>
  </si>
  <si>
    <t>КТ(зм)\ГГФ</t>
  </si>
  <si>
    <t>КА2(рм2 сем)\ФФ</t>
  </si>
  <si>
    <t>КАнов(рм)\ФФ</t>
  </si>
  <si>
    <t>КА(рм)\ФФ</t>
  </si>
  <si>
    <t>КПГ(рм)\ГГФ</t>
  </si>
  <si>
    <t>КВ(рм)\ФКНФ</t>
  </si>
  <si>
    <t>КВиГЕС(рм ч.ез.)\ФКНФ</t>
  </si>
  <si>
    <t>КВиГЕС(рм)\ФКНФ</t>
  </si>
  <si>
    <t>КВиГЕС(зм)\ФКНФ</t>
  </si>
  <si>
    <t>К.(рб)\ФФ</t>
  </si>
  <si>
    <t>ЛЕПК(рмс)\ГГФ</t>
  </si>
  <si>
    <t>ЛЕПК(змс)\ГГФ</t>
  </si>
  <si>
    <t>ЛЖ(зм)\ФЖМК</t>
  </si>
  <si>
    <t>ЛЖ-л(зм3 сем.л)\ФЖМК</t>
  </si>
  <si>
    <t>ЛЖ-2(зм2 сем)\ФЖМК</t>
  </si>
  <si>
    <t>ЛЕПК(рмнсл)\ГГФ</t>
  </si>
  <si>
    <t>ЛЕПК(змнсл)\ГГФ</t>
  </si>
  <si>
    <t>Лингвистика/Несп(рмнс)\ФСлФ</t>
  </si>
  <si>
    <t>Лингвистика - езиков(рмл)\ФСлФ</t>
  </si>
  <si>
    <t>Лингвистика езикова(рм)\ФСлФ</t>
  </si>
  <si>
    <t>Лингвистика езикови(рм)\ФСлФ</t>
  </si>
  <si>
    <t>ЛКВК(рмс)\ФСлФ</t>
  </si>
  <si>
    <t>ЛКВК(рмнс)\ФСлФ</t>
  </si>
  <si>
    <t>Л ТП(рм2 сем)\ФСлФ</t>
  </si>
  <si>
    <t>ЛТПмп(рмнс)\ФСлФ</t>
  </si>
  <si>
    <t>ЛЗ(рм)\ФСлФ</t>
  </si>
  <si>
    <t>Литературознание(рмнс)\ФСлФ</t>
  </si>
  <si>
    <t>Литургия и музика(зм2 сем)\БсФ</t>
  </si>
  <si>
    <t>Литургия и музика(змс)\БсФ</t>
  </si>
  <si>
    <t>ЛМ/задочно/4сем/(зм4 сем.)\БсФ</t>
  </si>
  <si>
    <t>ЛМ/задочно/4сем/(змнс)\БсФ</t>
  </si>
  <si>
    <t>ЛиА мат(м)\ФМИ</t>
  </si>
  <si>
    <t>ЛиА(рм)\ФМИ</t>
  </si>
  <si>
    <t>ЛиА-М(м)\ФМИ</t>
  </si>
  <si>
    <t>ЛиА-мат(рм)\ФМИ</t>
  </si>
  <si>
    <t>ЛиА инф(м)\ФМИ</t>
  </si>
  <si>
    <t>ЛиА-И(м)\ФМИ</t>
  </si>
  <si>
    <t>ЛиА-инф(рм)\ФМИ</t>
  </si>
  <si>
    <t>ЛА(рм)\ФМИ</t>
  </si>
  <si>
    <t>ЛА-на англ.(рм ч.ез.)\ФМИ</t>
  </si>
  <si>
    <t>ЛА-на англ.(рм)\ФМИ</t>
  </si>
  <si>
    <t>Логоп.(рб)\ФНОИ</t>
  </si>
  <si>
    <t>Л(рм)\ФНОИ</t>
  </si>
  <si>
    <t>Л(рмнс)\ФНОИ</t>
  </si>
  <si>
    <t>Л(рмчс)(рм3 сем.)\ФНОИ</t>
  </si>
  <si>
    <t>Логнесп(рмлп)(рмнсл)\ФНОИ</t>
  </si>
  <si>
    <t>Логопнесп(рм3 сем.)\ФНОИ</t>
  </si>
  <si>
    <t>ЛогМ лет.пр(рмл)\ФНОИ</t>
  </si>
  <si>
    <t>Логбългари(рм4 сем.)\ФНОИ</t>
  </si>
  <si>
    <t>Логдр.спец.(рм4 сем.)\ФНОИ</t>
  </si>
  <si>
    <t>Л(змнс)\ФНОИ</t>
  </si>
  <si>
    <t>Логбългаризо(зм4 сем.)\ФНОИ</t>
  </si>
  <si>
    <t>Логопнесп(зм4 сем.)\ФНОИ</t>
  </si>
  <si>
    <t>Лог-КНР(рм3 сем.)\ФНОИ</t>
  </si>
  <si>
    <t>Лог-КНР3(рм3 сем.)\ФНОИ</t>
  </si>
  <si>
    <t>Лог-КНР(зм3 сем.)\ФНОИ</t>
  </si>
  <si>
    <t>МИ(рм3 сем.)\СтФ</t>
  </si>
  <si>
    <t>МИ(рм5 сем.)\СтФ</t>
  </si>
  <si>
    <t>М\ФМИ</t>
  </si>
  <si>
    <t>М(рб)\ФМИ</t>
  </si>
  <si>
    <t>МИ\ФМИ</t>
  </si>
  <si>
    <t>МИ(рб)\ФМИ</t>
  </si>
  <si>
    <t>МИ(з)\ФМИ</t>
  </si>
  <si>
    <t>МИ(зб)\ФМИ</t>
  </si>
  <si>
    <t>ММФ\ФМИ</t>
  </si>
  <si>
    <t>ММФ(м)\ФМИ</t>
  </si>
  <si>
    <t>ММФ(рм)\ФМИ</t>
  </si>
  <si>
    <t>ММИ(м)\ФМИ</t>
  </si>
  <si>
    <t>ММИ(рм)\ФМИ</t>
  </si>
  <si>
    <t>ММИ-летен(рмл)\ФМИ</t>
  </si>
  <si>
    <t>ММИ(рмл)\ФМИ</t>
  </si>
  <si>
    <t>ММИ(зм)\ФМИ</t>
  </si>
  <si>
    <t>ММИ(рм4 сем.)\ФМИ</t>
  </si>
  <si>
    <t>ММИ_инф(рм)\ФМИ</t>
  </si>
  <si>
    <t>ММиПМ\ФМИ</t>
  </si>
  <si>
    <t>ММиПМ несп\ФМИ</t>
  </si>
  <si>
    <t>ММиПМ(м)\ФМИ</t>
  </si>
  <si>
    <t>ММиПМ(рм)\ФМИ</t>
  </si>
  <si>
    <t>ММиПМ(рмнс)\ФМИ</t>
  </si>
  <si>
    <t>ММиПМ(рмс)\ФМИ</t>
  </si>
  <si>
    <t>Мат(рм)\ФХФ</t>
  </si>
  <si>
    <t>МД(зм3 сем.)\ФЖМК</t>
  </si>
  <si>
    <t>МИП(рмс)\ИФ</t>
  </si>
  <si>
    <t>МКК(рм)\ФФ</t>
  </si>
  <si>
    <t>Медии, комуникация, (рм2 сем)\ФФ</t>
  </si>
  <si>
    <t>МПХК(рб)\ФНОИ</t>
  </si>
  <si>
    <t>Мед(рм)\МФ</t>
  </si>
  <si>
    <t>Мед (англ.)(рм ч.ез.)\МФ</t>
  </si>
  <si>
    <t>МФБФХ(рм)\ФХФ</t>
  </si>
  <si>
    <t>МРЕ(рб)\МФ</t>
  </si>
  <si>
    <t>МедС(рб)\МФ</t>
  </si>
  <si>
    <t>МФ(рб)\ФзФ</t>
  </si>
  <si>
    <t>МФ(рм4 сем.)\ФзФ</t>
  </si>
  <si>
    <t>МФ(рм2 сем)\ФзФ</t>
  </si>
  <si>
    <t>МФ 2с(рм2 сем)\ФзФ</t>
  </si>
  <si>
    <t>МФмп3ро(рм3 сем.)\ФзФ</t>
  </si>
  <si>
    <t>МФ(рм3 сем.)\ФзФ</t>
  </si>
  <si>
    <t>Медицинска физика(рм3 сем.)\ФзФ</t>
  </si>
  <si>
    <t>МФ-Англ.ез.(рм3 сем. ч.ез.)\ФзФ</t>
  </si>
  <si>
    <t>МХ(рм)\ФХФ</t>
  </si>
  <si>
    <t>МКиПКиБЕ(рм2 сем)\ФКНФ</t>
  </si>
  <si>
    <t>МКиПКиБЕ(рм4 сем.)\ФКНФ</t>
  </si>
  <si>
    <t>МФМ на АЕ - неик.(рмнс ч.ез.)\СтФ</t>
  </si>
  <si>
    <t>МФМ на АЕ(рм3 сем. ч.ез.)\СтФ</t>
  </si>
  <si>
    <t>МЖ(рм)\ФЖМК</t>
  </si>
  <si>
    <t>МЖ(зм2 сем)\ФЖМК</t>
  </si>
  <si>
    <t>МЖ(зм3 сем.)\ФЖМК</t>
  </si>
  <si>
    <t>МС(рм2 сем)\ЮФ</t>
  </si>
  <si>
    <t>МС(рм3 сем.)\ЮФ</t>
  </si>
  <si>
    <t>МС(рм3 сем.л)\ЮФ</t>
  </si>
  <si>
    <t>МС(рм4 сем.)\ЮФ</t>
  </si>
  <si>
    <t>МБО(рм2 сем)\ЮФ</t>
  </si>
  <si>
    <t>МБО(рм3 сем.л)\ЮФ</t>
  </si>
  <si>
    <t>МБОмп(рм3 сем.)\ЮФ</t>
  </si>
  <si>
    <t>МБО(рм4 сем.)\ЮФ</t>
  </si>
  <si>
    <t>МБОмп4сем(рм4 сем.)\ЮФ</t>
  </si>
  <si>
    <t>МОМД(рм3 сем.)\ЮФ</t>
  </si>
  <si>
    <t>МОМД(рм3 сем.л)\ЮФ</t>
  </si>
  <si>
    <t>МОМД(рм4 сем.)\ЮФ</t>
  </si>
  <si>
    <t>МО(рб)\ЮФ</t>
  </si>
  <si>
    <t>МО(рм)\ЮФ</t>
  </si>
  <si>
    <t>МОПС р 3сем.(рм3 сем.)\ФФ</t>
  </si>
  <si>
    <t>МОПС(рмсл)\ФФ</t>
  </si>
  <si>
    <t>МПОС(рмс)\ФФ</t>
  </si>
  <si>
    <t>МПОС(рмнс)\ФФ</t>
  </si>
  <si>
    <t>МОПС з 3сем(зм3 сем.)\ФФ</t>
  </si>
  <si>
    <t>МОПС(змсл)\ФФ</t>
  </si>
  <si>
    <t>МПОС(змс)\ФФ</t>
  </si>
  <si>
    <t>МПОС(змнс)\ФФ</t>
  </si>
  <si>
    <t>МСКН(рм)\ФФ</t>
  </si>
  <si>
    <t>МСКНл(рмл)\ФФ</t>
  </si>
  <si>
    <t>МСКН2(рм2 сем)\ФФ</t>
  </si>
  <si>
    <t>МОПЗ(зм)\ФНОИ</t>
  </si>
  <si>
    <t>МОПЗ(зм3 сем.)\ФНОИ</t>
  </si>
  <si>
    <t>МОВ(рм3 сем.)\ФП</t>
  </si>
  <si>
    <t>МОВ (зм 3 сем.)(зм3 сем.)\ФП</t>
  </si>
  <si>
    <t>МОВ(зм3 сем.)\ФП</t>
  </si>
  <si>
    <t>Мсд(рм)\ФНОИ</t>
  </si>
  <si>
    <t>МСПД(рмнс)\ФНОИ</t>
  </si>
  <si>
    <t>МСПД(змнс)\ФНОИ</t>
  </si>
  <si>
    <t>Мсд(зм)\ФНОИ</t>
  </si>
  <si>
    <t>Мениджмънт на услуги(зм3 сем.)\ФП</t>
  </si>
  <si>
    <t>Мениджмънт на услуги(змнс)\ФП</t>
  </si>
  <si>
    <t>Мениджмънт\ФП</t>
  </si>
  <si>
    <t>Мениджмънт на услуги(змс)\ФП</t>
  </si>
  <si>
    <t>Мениджмънт на услуги(зм2 сем)\ФП</t>
  </si>
  <si>
    <t>М(рм)\ФзФ</t>
  </si>
  <si>
    <t>М(рм3 сем.)\ФзФ</t>
  </si>
  <si>
    <t>М(рм5 сем.)\ФзФ</t>
  </si>
  <si>
    <t>М5(рм5 сем.)\ФзФ</t>
  </si>
  <si>
    <t>М(зм)\ФзФ</t>
  </si>
  <si>
    <t>М(зм3 сем.)\ФзФ</t>
  </si>
  <si>
    <t>М(зм5 сем.)\ФзФ</t>
  </si>
  <si>
    <t>М5(зм5 сем.)\ФзФ</t>
  </si>
  <si>
    <t>МЧЕО(рм)\ФКНФ</t>
  </si>
  <si>
    <t>МЧЕОан(рм)\ФКНФ</t>
  </si>
  <si>
    <t>МЧЕОне(рм)\ФКНФ</t>
  </si>
  <si>
    <t>МЧЕОфр(рм)\ФКНФ</t>
  </si>
  <si>
    <t>МЧЕОис(рм)\ФКНФ</t>
  </si>
  <si>
    <t>МЧЕОит(рм)\ФКНФ</t>
  </si>
  <si>
    <t>МЧО(анг.)(рм)\ФКНФ</t>
  </si>
  <si>
    <t>МЧО(исп.)(рм)\ФКНФ</t>
  </si>
  <si>
    <t>МЧО(ит.)(рм)\ФКНФ</t>
  </si>
  <si>
    <t>МЧО(нфске)(рм)\ФКНФ</t>
  </si>
  <si>
    <t>МЧЕОпорт(рм)\ФКНФ</t>
  </si>
  <si>
    <t>МЧО(фр.)(рм)\ФКНФ</t>
  </si>
  <si>
    <t>МЧОвМС(тюрк.)(рм2 сем)\ФКНФ</t>
  </si>
  <si>
    <t>МЧОвМС(анг.)(рм2 сем)\ФКНФ</t>
  </si>
  <si>
    <t>МЧОвМС(анг.)(рм2 семл)\ФКНФ</t>
  </si>
  <si>
    <t>МЧОвМС(исп.)(рм2 сем)\ФКНФ</t>
  </si>
  <si>
    <t>МЧОвМС(итал.)(рм2 сем)\ФКНФ</t>
  </si>
  <si>
    <t>МЧОвМС(нем.)(рм2 сем)\ФКНФ</t>
  </si>
  <si>
    <t>МЧОвМС(фр.)(рм2 сем)\ФКНФ</t>
  </si>
  <si>
    <t>МОФАр2(рм2 сем)\ФзФ</t>
  </si>
  <si>
    <t>МетодологияОФА(рм3 сем.)\ФзФ</t>
  </si>
  <si>
    <t>МОФАз3(зм3 сем.)\ФзФ</t>
  </si>
  <si>
    <t>Мех&amp;роб(рм)\ФМИ</t>
  </si>
  <si>
    <t>Мех&amp;роб(рмс)\ФМИ</t>
  </si>
  <si>
    <t>МиР(рм)\ФМИ</t>
  </si>
  <si>
    <t>МБМБК(рм)\БФ</t>
  </si>
  <si>
    <t>МЕИТ(рм3 сем.)\ФзФ</t>
  </si>
  <si>
    <t>МИТ(рм)\ФзФ</t>
  </si>
  <si>
    <t>МИТ(рм3 сем.)\ФзФ</t>
  </si>
  <si>
    <t>МЕИТ(зм3 сем.)\ФзФ</t>
  </si>
  <si>
    <t>МЕИТЛП3(зм3 сем.л)\ФзФ</t>
  </si>
  <si>
    <t>МИТ(зм3 се\ФзФ</t>
  </si>
  <si>
    <t>МИТ(зм3 сем.)\ФзФ</t>
  </si>
  <si>
    <t>МСЮЕ(рб)\ИФ</t>
  </si>
  <si>
    <t>МППИ(рм)\ГГФ</t>
  </si>
  <si>
    <t>МД контрол летен(зм2 семл)\СтФ</t>
  </si>
  <si>
    <t>МД контрол неикон. л(змнсл)\СтФ</t>
  </si>
  <si>
    <t>МД контрол неиконом.(змнс)\СтФ</t>
  </si>
  <si>
    <t>МД контрол(зм2 сем)\СтФ</t>
  </si>
  <si>
    <t>Минт Данч К(зм2 сем)\СтФ</t>
  </si>
  <si>
    <t>МитДанъчен Кн(змнс)\СтФ</t>
  </si>
  <si>
    <t>Митн Данч К лнс(змнсл)\СтФ</t>
  </si>
  <si>
    <t>Митнически и ДКл(зм2 семл)\СтФ</t>
  </si>
  <si>
    <t>Моб&amp;Миг(зм)\ИФ</t>
  </si>
  <si>
    <t>МГДБФ-ЗО зимен неик.(змнс)\СтФ</t>
  </si>
  <si>
    <t>МГДБФ-ЗО зимен(зм2 сем)\СтФ</t>
  </si>
  <si>
    <t>МГДБФ-ЗО летен неик.(змнсл)\СтФ</t>
  </si>
  <si>
    <t>МГДБФ-ЗО летен(зм2 семл)\СтФ</t>
  </si>
  <si>
    <t>МГДБФ(рм2 семл)\СтФ</t>
  </si>
  <si>
    <t>МГДБФ(рм2 сем)\СтФ</t>
  </si>
  <si>
    <t>МГДБФ - 3(рм3 сем.)\СтФ</t>
  </si>
  <si>
    <t>МГДБФ - 3(рм3 сем.л)\СтФ</t>
  </si>
  <si>
    <t>Модерна България(рмс)\ИФ</t>
  </si>
  <si>
    <t>Модерна България(змнс)\ИФ</t>
  </si>
  <si>
    <t>Модерна България(змс)\ИФ</t>
  </si>
  <si>
    <t>Модерна България(рмнс)\ИФ</t>
  </si>
  <si>
    <t>МБ(рб)\БФ</t>
  </si>
  <si>
    <t>МПДО(зм2 сем)\ФНОИ</t>
  </si>
  <si>
    <t>М(рмнс)\ИФ</t>
  </si>
  <si>
    <t>М(рмс)\ИФ</t>
  </si>
  <si>
    <t>М(змс)\ИФ</t>
  </si>
  <si>
    <t>М3(змнс)\ИФ</t>
  </si>
  <si>
    <t>Муз.П(рб)\ФНОИ</t>
  </si>
  <si>
    <t>МузП(рм)\ФНОИ</t>
  </si>
  <si>
    <t>МузПед(рм)\ФНОИ</t>
  </si>
  <si>
    <t>МузПед(рм2 сем)\ФНОИ</t>
  </si>
  <si>
    <t>МАМ(рм2 сем)\ФНОИ</t>
  </si>
  <si>
    <t>МП-РФФ(рм2 сем)\ФНОИ</t>
  </si>
  <si>
    <t>ММТро(рм2 сем)\ФНОИ</t>
  </si>
  <si>
    <t>МММТ(сп)(змс)\ФНОИ</t>
  </si>
  <si>
    <t>МММТдр.спец.(рм3 сем.)\ФНОИ</t>
  </si>
  <si>
    <t>МММТ(несп)(змнс)\ФНОИ</t>
  </si>
  <si>
    <t>МКТ(рм)\ФНОИ</t>
  </si>
  <si>
    <t>МКТТ(рм2 сем)\ФНОИ</t>
  </si>
  <si>
    <t>ММТТ(рб)\ФНОИ</t>
  </si>
  <si>
    <t>НОЕиИТ(рм)\ФМИ</t>
  </si>
  <si>
    <t>НУП(рм4 сем.)\ФНОИ</t>
  </si>
  <si>
    <t>ПНУПм(зм4 сем.)\ФНОИ</t>
  </si>
  <si>
    <t>НУП (учит.прав.)(зм2 сем)\ФНОИ</t>
  </si>
  <si>
    <t>НУП(зм2 сем)\ФНОИ</t>
  </si>
  <si>
    <t>НУПучправо(зм2 сем)\ФНОИ</t>
  </si>
  <si>
    <t>НУПЧЕ(рб)\ФНОИ</t>
  </si>
  <si>
    <t>НФ(рб)\ФКНФ</t>
  </si>
  <si>
    <t>НемФ(рб)\ФКНФ</t>
  </si>
  <si>
    <t>НФСке(рб)\ФКНФ</t>
  </si>
  <si>
    <t>НХМСТ(рм)\ФХФ</t>
  </si>
  <si>
    <t>НО(рб)\ФП</t>
  </si>
  <si>
    <t>НО(зб)\ФП</t>
  </si>
  <si>
    <t>НСБИ(рм)\ИФ</t>
  </si>
  <si>
    <t>НСБИ(рмс)\ИФ</t>
  </si>
  <si>
    <t>НСБИ(зм)\ИФ</t>
  </si>
  <si>
    <t>НСБИ(змс)\ИФ</t>
  </si>
  <si>
    <t>НГФ(рб)\ФКНФ</t>
  </si>
  <si>
    <t>НГФ(рм)\ФКНФ</t>
  </si>
  <si>
    <t>Н(рм)\ФКНФ</t>
  </si>
  <si>
    <t>Норд(рм)\ФКНФ</t>
  </si>
  <si>
    <t>ОБЕЛ(рм)\ФСлФ</t>
  </si>
  <si>
    <t>ОБЕЛСУмп(рмнс)\ФСлФ</t>
  </si>
  <si>
    <t>ОБЕЛ(зм)\ФСлФ</t>
  </si>
  <si>
    <t>ОБЕЛмп(змнс)\ФСлФ</t>
  </si>
  <si>
    <t>ОИСУ(рм)\ИФ</t>
  </si>
  <si>
    <t>ОИСУ(рмс)\ИФ</t>
  </si>
  <si>
    <t>ОИСУ(змнс)\ИФ</t>
  </si>
  <si>
    <t>ОИСУ(зм)\ИФ</t>
  </si>
  <si>
    <t>ОИСУ(спец)(рм3 сем.)\ИФ</t>
  </si>
  <si>
    <t>ОИУ(спец)(зм3 сем.)\ИФ</t>
  </si>
  <si>
    <t>ОИСУ(змс)\ИФ</t>
  </si>
  <si>
    <t>ОИСУ(рм5 сем.)\ИФ</t>
  </si>
  <si>
    <t>ОИСУ(рмнс)\ИФ</t>
  </si>
  <si>
    <t>ОИСУ(несп)(зм5 сем.)\ИФ</t>
  </si>
  <si>
    <t>ОИУ(несп)(зм5 сем.)\ИФ</t>
  </si>
  <si>
    <t>ОМ(рм2 сем)\ФП</t>
  </si>
  <si>
    <t>МУПОМ(рм3 сем.)\ФП</t>
  </si>
  <si>
    <t>ОМ(рм3 сем.)\ФП</t>
  </si>
  <si>
    <t>ОМ(зм2 сем)\ФП</t>
  </si>
  <si>
    <t>МУПОМ(зм3 сем.)\ФП</t>
  </si>
  <si>
    <t>ОМ(зм3 сем.)\ФП</t>
  </si>
  <si>
    <t>ОМ(рмс)\ФП</t>
  </si>
  <si>
    <t>ОМ(змс)\ФП</t>
  </si>
  <si>
    <t>ОМ-л-анг.(рм2 семл ч.ез.)\ФП</t>
  </si>
  <si>
    <t>ОМ-а.е.-задочна-ЧЕ(зм2 семл ч.ез.)\ФП</t>
  </si>
  <si>
    <t>ОНИВ(ае)(рм2 сем ч.ез.)\ФНОИ</t>
  </si>
  <si>
    <t>ОНИВ(ае)(рм2 сем)\ФНОИ</t>
  </si>
  <si>
    <t>ОНИВ/ае//рм//лп/(рм2 семл ч.ез.)\ФНОИ</t>
  </si>
  <si>
    <t>ОНИВ/ае//рм//лп/(рм2 семл)\ФНОИ</t>
  </si>
  <si>
    <t>ОГИОК(рм2 сем)\ИФ</t>
  </si>
  <si>
    <t>ОАнтр(рм)\БФ</t>
  </si>
  <si>
    <t>ОА(рмнсл)\БФ</t>
  </si>
  <si>
    <t>ОПАЕ(зм ч.ез.)\ФФ</t>
  </si>
  <si>
    <t>ОПАЕ(зм)\ФФ</t>
  </si>
  <si>
    <t>ОКК(рм)\ФКНФ</t>
  </si>
  <si>
    <t>ОКАСмп(рм)\ФКНФ</t>
  </si>
  <si>
    <t>ТИК(рм)\ФФ</t>
  </si>
  <si>
    <t>ОЖМ-л(змл)\ФЖМК</t>
  </si>
  <si>
    <t>ОБКНмп(рм2 сем)\ФСлФ</t>
  </si>
  <si>
    <t>ОБКултН(рмнс)\ФСлФ</t>
  </si>
  <si>
    <t>ОБКултН(рмс)\ФСлФ</t>
  </si>
  <si>
    <t>ОБКултН/2сем(рмс)\ФСлФ</t>
  </si>
  <si>
    <t>Опазв. бълг. кул. н.(змнс)\ФСлФ</t>
  </si>
  <si>
    <t>Опазв. бълг. кул. н.(змс)\ФСлФ</t>
  </si>
  <si>
    <t>ОБКултН/3сем(рмнс)\ФСлФ</t>
  </si>
  <si>
    <t>ОБКултН~(рмнс)\ФСлФ</t>
  </si>
  <si>
    <t>ООС(рм)\БФ</t>
  </si>
  <si>
    <t>ООС-НС(рмнсл)\БФ</t>
  </si>
  <si>
    <t>ОПС(рм)\БФ</t>
  </si>
  <si>
    <t>ОС(рм)\ФзФ</t>
  </si>
  <si>
    <t>ОС(рм3 сем.)\ФзФ</t>
  </si>
  <si>
    <t>Опт(рм)\ФМИ</t>
  </si>
  <si>
    <t>Оптометрия(рб)\ФзФ</t>
  </si>
  <si>
    <t>Оптометрия(зб)\ФзФ</t>
  </si>
  <si>
    <t>Опт(рм2 сем)\ФзФ</t>
  </si>
  <si>
    <t>Оптометрия(рм4 сем.л)\ФзФ</t>
  </si>
  <si>
    <t>Оптометрия(рм5 сем.)\ФзФ</t>
  </si>
  <si>
    <t>Оптометрия(зм6 сем.)\ФзФ</t>
  </si>
  <si>
    <t>ОПКМ 4с(зм4 сем. ч.ез.)\ФФ</t>
  </si>
  <si>
    <t>ОПКМангл(зм3 сем. ч.ез.)\ФФ</t>
  </si>
  <si>
    <t>ОПКМангл(зм3 сем.)\ФФ</t>
  </si>
  <si>
    <t>ОПКО(рм3 сем.)\ФФ</t>
  </si>
  <si>
    <t>ОпКо(рм3 сем.)\ФФ</t>
  </si>
  <si>
    <t>ОПКО (рмнс)\ФФ</t>
  </si>
  <si>
    <t>ОПКО(рмнс)\ФФ</t>
  </si>
  <si>
    <t>ОПУО(рмнс)\ФФ</t>
  </si>
  <si>
    <t>ОР(рм)\СтФ</t>
  </si>
  <si>
    <t>ОУУ - РО (\СтФ</t>
  </si>
  <si>
    <t>ОУУ - РО н\СтФ</t>
  </si>
  <si>
    <t>ОУУ - ЗО (2 сем.)(зм2 сем)\СтФ</t>
  </si>
  <si>
    <t>ОУУ - ЗО неспец.(змнс)\СтФ</t>
  </si>
  <si>
    <t>ОПОВ(рм2 сем)\ФФ</t>
  </si>
  <si>
    <t>ПБмп(рм)\ГГФ</t>
  </si>
  <si>
    <t>П(рм)\БФ</t>
  </si>
  <si>
    <t>Пед(рб)\ФП</t>
  </si>
  <si>
    <t>Пед(зб)\ФП</t>
  </si>
  <si>
    <t>Пед(зм)(зм)\ФП</t>
  </si>
  <si>
    <t>ПСИИз(рм)\ФНОИ</t>
  </si>
  <si>
    <t>ПСИИз(рм2 сем)\ФНОИ</t>
  </si>
  <si>
    <t>ПСИИзав.др.спец.(рм3 сем.)\ФНОИ</t>
  </si>
  <si>
    <t>ПДП(рм3 сем.)\ФП</t>
  </si>
  <si>
    <t>ПДП(рм2 сем)\ФП</t>
  </si>
  <si>
    <t>ПДП(зм3 сем.)\ФП</t>
  </si>
  <si>
    <t>ПДП(зм2 сем)\ФП</t>
  </si>
  <si>
    <t>ПДУму(спец.)(рм2 сем)\ФНОИ</t>
  </si>
  <si>
    <t>Пзз(рм)\ФНОИ</t>
  </si>
  <si>
    <t>ПЗЗ(зав.др.сп.)(зм3 сем.)\ФНОИ</t>
  </si>
  <si>
    <t>ПЗЗпедправосп(зм3 сем.)\ФНОИ</t>
  </si>
  <si>
    <t>Пзз(зм)\ФНОИ</t>
  </si>
  <si>
    <t>Пзз(зм4 сем.)\ФНОИ</t>
  </si>
  <si>
    <t>Пззн(зм4 сем.)\ФНОИ</t>
  </si>
  <si>
    <t>Пззн(змнс)\ФНОИ</t>
  </si>
  <si>
    <t>ПЗЗ(пед.правоспособ)(зм3 сем.)\ФНОИ</t>
  </si>
  <si>
    <t>ПЗЗзо(зм3 сем.)\ФНОИ</t>
  </si>
  <si>
    <t>ПМХК(рб)\ФНОИ</t>
  </si>
  <si>
    <t>ПМХК(рм)\ФНОИ</t>
  </si>
  <si>
    <t>ПМХК(зм)\ФНОИ</t>
  </si>
  <si>
    <t>ПМХК(зм3 сем.)\ФНОИ</t>
  </si>
  <si>
    <t>ПМХК(ае)(рб ч.ез.)\ФНОИ</t>
  </si>
  <si>
    <t>ПМХК/ае/(рб)\ФНОИ</t>
  </si>
  <si>
    <t>ПОГИ (60)(рм)\ГГФ</t>
  </si>
  <si>
    <t>ХФ(рб)\ФХФ</t>
  </si>
  <si>
    <t>Хф1г(рм-97)\ФХФ</t>
  </si>
  <si>
    <t>Педсъв(зм2 сем)\ФНОИ</t>
  </si>
  <si>
    <t>ПМ(зм)\ФЖМК</t>
  </si>
  <si>
    <t>ПМмп(зм)\ФЖМК</t>
  </si>
  <si>
    <t>ПТТС(рм3 сем.)\ФзФ</t>
  </si>
  <si>
    <t>ПУТС(рмс)\ГГФ</t>
  </si>
  <si>
    <t>ПУТС(рмнсл)\ГГФ</t>
  </si>
  <si>
    <t>ПУТС (за ОКС "ПБ")(рм4 сем.)\ГГФ</t>
  </si>
  <si>
    <t>ПРУУсон(рм)\ФНОИ</t>
  </si>
  <si>
    <t>ПруусС(зм)\ФНОИ</t>
  </si>
  <si>
    <t>Пол.(рм)\ФХФ</t>
  </si>
  <si>
    <t>Пзо(зм)\ФХФ</t>
  </si>
  <si>
    <t>Пзо~(зм)\ФХФ</t>
  </si>
  <si>
    <t>Полимери(зм3 сем.)\ФХФ</t>
  </si>
  <si>
    <t>ПолимАЕ(рм3 сем. ч.ез.)\ФХФ</t>
  </si>
  <si>
    <t>ПИПЕС(рм ч.ез.)\ФФ</t>
  </si>
  <si>
    <t>ПИПЕСл(рм3 сем.л ч.ез.)\ФФ</t>
  </si>
  <si>
    <t>ПС(рмл)\ФФ</t>
  </si>
  <si>
    <t>Псоц(рм)\ФФ</t>
  </si>
  <si>
    <t>ПолСоц2сем(рм2 сем)\ФФ</t>
  </si>
  <si>
    <t>ПМ(рмс)\ФФ</t>
  </si>
  <si>
    <t>ПМлрс(рмсл)\ФФ</t>
  </si>
  <si>
    <t>ПМ(рмнс)\ФФ</t>
  </si>
  <si>
    <t>ПМлрнесп(рмнсл)\ФФ</t>
  </si>
  <si>
    <t>ПМ(змс)\ФФ</t>
  </si>
  <si>
    <t>ПМ(змсл)\ФФ</t>
  </si>
  <si>
    <t>ПМ(змнс)\ФФ</t>
  </si>
  <si>
    <t>ПМ(змнсл)\ФФ</t>
  </si>
  <si>
    <t>ПМК(рм)\ФФ</t>
  </si>
  <si>
    <t>ППГСангл(дм2 сем ч.ез.)\ФФ</t>
  </si>
  <si>
    <t>ППГСангл(дм2 семл ч.ез.)\ФФ</t>
  </si>
  <si>
    <t>ПКрмс(рмс)\ФФ</t>
  </si>
  <si>
    <t>Полконс(рм)\ФФ</t>
  </si>
  <si>
    <t>ПК(рмнс)\ФФ</t>
  </si>
  <si>
    <t>Пол.(рб)\ФФ</t>
  </si>
  <si>
    <t>ПорФ(рб)\ФКНФ</t>
  </si>
  <si>
    <t>ПФ(рм)\ФКНФ</t>
  </si>
  <si>
    <t>Пр(рм)\ЮФ</t>
  </si>
  <si>
    <t>Пр(зм)\ЮФ</t>
  </si>
  <si>
    <t>Право 2014(зм)\ЮФ</t>
  </si>
  <si>
    <t>ПЕС(рм2 сем)\ЮФ</t>
  </si>
  <si>
    <t>ПЕСмп2сем(рм2 сем)\ЮФ</t>
  </si>
  <si>
    <t>ПЕС(рм3 сем.л)\ЮФ</t>
  </si>
  <si>
    <t>ПЕс(рм3 сем.)\ЮФ</t>
  </si>
  <si>
    <t>Прев(рм)\ФКНФ</t>
  </si>
  <si>
    <t>Прев-ан(рм)\ФКНФ</t>
  </si>
  <si>
    <t>П(рм)\ФКНФ</t>
  </si>
  <si>
    <t>Прев-фр(рм)\ФКНФ</t>
  </si>
  <si>
    <t>Прев-ан&amp;фр(рм)\ФКНФ</t>
  </si>
  <si>
    <t>Прев-фр&amp;ан(рм)\ФКНФ</t>
  </si>
  <si>
    <t>ПИЕ (ар)(рм)\ФКНФ</t>
  </si>
  <si>
    <t>ПИЕ (кит)(рм)\ФКНФ</t>
  </si>
  <si>
    <t>П(рм)\ФСлФ</t>
  </si>
  <si>
    <t>ПРмп(рмнс)\ФСлФ</t>
  </si>
  <si>
    <t>Преводач-редактор-4(рмс)\ФСлФ</t>
  </si>
  <si>
    <t>прм-италиански(рмс)\ФСлФ</t>
  </si>
  <si>
    <t>Пр.-р. в чужд. у.(а)(рмс)\ФСлФ</t>
  </si>
  <si>
    <t>Прев-ред. в чужд. у.(рмс)\ФСлФ</t>
  </si>
  <si>
    <t>Перводач-редактор(А)(рмс)\ФСлФ</t>
  </si>
  <si>
    <t>Перовадч-редактор(А)(рмс)\ФСлФ</t>
  </si>
  <si>
    <t>ПРИтНс(рм)\ФСлФ</t>
  </si>
  <si>
    <t>ПРИтНс(рмнс)\ФСлФ</t>
  </si>
  <si>
    <t>ПНУП(рб)\ФНОИ</t>
  </si>
  <si>
    <t>ПУНУП(рб)\ФНОИ</t>
  </si>
  <si>
    <t>ПУНУП(зб)\ФНОИ</t>
  </si>
  <si>
    <t>ПНУПпрбак(зм5 сем.)\ФНОИ</t>
  </si>
  <si>
    <t>ПНУП 2014(зб)\ФНОИ</t>
  </si>
  <si>
    <t>ПНУП(збсъкр.ср.-2г)\ФНОИ</t>
  </si>
  <si>
    <t>ПП (уч.прав.)(зм2 сем)\ФНОИ</t>
  </si>
  <si>
    <t>ПНУП(зм)\ФНОИ</t>
  </si>
  <si>
    <t>ППдр.спец.(зм4 сем.)\ФНОИ</t>
  </si>
  <si>
    <t>ППучителизо(зм2 сем)\ФНОИ</t>
  </si>
  <si>
    <t>ПУПЧЕ(рб)\ФНОИ</t>
  </si>
  <si>
    <t>ПиМ(зм)\ФЖМК</t>
  </si>
  <si>
    <t>ПИИМ англ (рм3 сем. ч.ез.)\СтФ</t>
  </si>
  <si>
    <t>ПИИМ англ (рм3 сем.)\СтФ</t>
  </si>
  <si>
    <t>ПИИМ на англ. ез.(рм3 сем. ч.ез.)\СтФ</t>
  </si>
  <si>
    <t>ПИИМангл.(рм3 сем. ч.ез.)\СтФ</t>
  </si>
  <si>
    <t>ПИИМ на англ. ез.(рм4 сем.л ч.ез.)\СтФ</t>
  </si>
  <si>
    <t>ПИИМангл(рм4 сем.л ч.ез.)\СтФ</t>
  </si>
  <si>
    <t>Приложна и\СтФ</t>
  </si>
  <si>
    <t>Приложна икономика(рм2 сем)\СтФ</t>
  </si>
  <si>
    <t>Приложна икономика(рм3 сем.)\СтФ</t>
  </si>
  <si>
    <t>ПИ-ПБ(рм5\СтФ</t>
  </si>
  <si>
    <t>ПИ-ПБ(рм5 сем.)\СтФ</t>
  </si>
  <si>
    <t>Приложна икономика(рм5 сем.)\СтФ</t>
  </si>
  <si>
    <t>ПИ-ПБ(рм4 сем.)\СтФ</t>
  </si>
  <si>
    <t>ПИ-ПБ/4 сем/(рм4 сем.)\СтФ</t>
  </si>
  <si>
    <t>ПЛ(рм)\ФКНФ</t>
  </si>
  <si>
    <t>ПЛ(рмс)\ФКНФ</t>
  </si>
  <si>
    <t>ПрЛинг(порт.)(рмс)\ФКНФ</t>
  </si>
  <si>
    <t>ПрЛинг(рмс)\ФКНФ</t>
  </si>
  <si>
    <t>ПрЛинг(исп.)(рмс)\ФКНФ</t>
  </si>
  <si>
    <t>ПрЛинг(исп.)(рмнс)\ФКНФ</t>
  </si>
  <si>
    <t>ПрЛинг(рмнс)\ФКНФ</t>
  </si>
  <si>
    <t>ПрЛинг(рмнсл)\ФКНФ</t>
  </si>
  <si>
    <t>ПрЛинг(порт.)(рмнсл)\ФКНФ</t>
  </si>
  <si>
    <t>ПЛИЕ(ар)(рм)\ФКНФ</t>
  </si>
  <si>
    <t>ПЛИЕ(рм3 сем.)\ФКНФ</t>
  </si>
  <si>
    <t>ПрМ\ФМИ</t>
  </si>
  <si>
    <t>ПрМ(рб)\ФМИ</t>
  </si>
  <si>
    <t>ПрМ(рм-97)\ФМИ</t>
  </si>
  <si>
    <t>ПрМ-97\ФМИ</t>
  </si>
  <si>
    <t>ПХА(рм)\БФ</t>
  </si>
  <si>
    <t>ПХА-Нсп(рмнсл)\БФ</t>
  </si>
  <si>
    <t>ПрЛиТур(рм)\ФКНФ</t>
  </si>
  <si>
    <t>Т ПЛ(рм)\ФКНФ</t>
  </si>
  <si>
    <t>ПОзо(зм2 сем)\ФНОИ</t>
  </si>
  <si>
    <t>ПЕМ(зм)\ФЖМК</t>
  </si>
  <si>
    <t>ПКИ2(зм2 сем)\ФЖМК</t>
  </si>
  <si>
    <t>ПКИ3(зм3 сем.)\ФЖМК</t>
  </si>
  <si>
    <t>Псих.(рб)\ФФ</t>
  </si>
  <si>
    <t>ПЗсп(рмс)\ФФ</t>
  </si>
  <si>
    <t>ПЗнесп(рмнс)\ФФ</t>
  </si>
  <si>
    <t>ПМП(рм)\ФФ</t>
  </si>
  <si>
    <t>ПМП(зм)\ФФ</t>
  </si>
  <si>
    <t>ПМП(рм2 сем)\ФФ</t>
  </si>
  <si>
    <t>ПА(рб)\ФФ</t>
  </si>
  <si>
    <t>ПА(зб)\ФФ</t>
  </si>
  <si>
    <t>ПА(рмс)\ФФ</t>
  </si>
  <si>
    <t>ПА(зм)\ФФ</t>
  </si>
  <si>
    <t>ПА(змнс)\ФФ</t>
  </si>
  <si>
    <t>ПАр2(рм2 сем)\ФФ</t>
  </si>
  <si>
    <t>ПАз2(зм2 сем)\ФФ</t>
  </si>
  <si>
    <t>ПА(рм)\ФФ</t>
  </si>
  <si>
    <t>ПА(рмнс)\ФФ</t>
  </si>
  <si>
    <t>ПАл(рмл)\ФФ</t>
  </si>
  <si>
    <t>ПА17z(зм3 сем.)\ФФ</t>
  </si>
  <si>
    <t>ПАспец(змс)\ФФ</t>
  </si>
  <si>
    <t>ПАангл(рм ч.ез.)\ФФ</t>
  </si>
  <si>
    <t>ПАангл(рм)\ФФ</t>
  </si>
  <si>
    <t>ПК(рм)\ФЖМК</t>
  </si>
  <si>
    <t>ПК(зм)\ФЖМК</t>
  </si>
  <si>
    <t>ПКмп(зм)\ФЖМК</t>
  </si>
  <si>
    <t>ПИС(рб)\ФФ</t>
  </si>
  <si>
    <t>ПП(зм)\ФФ</t>
  </si>
  <si>
    <t>рх(зм)\ФХФ</t>
  </si>
  <si>
    <t>РР(рм)\ФХФ</t>
  </si>
  <si>
    <t>РХРЕ(рм)\ФХФ</t>
  </si>
  <si>
    <t>РхРд(зм)\ФХФ</t>
  </si>
  <si>
    <t>РХРЕ(зм)\ФХФ</t>
  </si>
  <si>
    <t>РР (англ.)(зм ч.ез.)\ФХФ</t>
  </si>
  <si>
    <t>РУСР(рм)\ГГФ</t>
  </si>
  <si>
    <t>РУСР(рмнс)\ГГФ</t>
  </si>
  <si>
    <t>РУСР(рмнсл)\ГГФ</t>
  </si>
  <si>
    <t>РУСР(зм3 сем.)\ГГФ</t>
  </si>
  <si>
    <t>РУСР (2 сем.)(рм2 сем)\ГГФ</t>
  </si>
  <si>
    <t>РУСР(змнс)\ГГФ</t>
  </si>
  <si>
    <t>РУСР(змнсл)\ГГФ</t>
  </si>
  <si>
    <t>РУСР(зм)\ГГФ</t>
  </si>
  <si>
    <t>РСиМТ(м)\ФМИ</t>
  </si>
  <si>
    <t>РСиМТ(рм)\ФМИ</t>
  </si>
  <si>
    <t>РСМТ-летен прием(рмл)\ФМИ</t>
  </si>
  <si>
    <t>РЧО(зм3 сем.)\ФНОИ</t>
  </si>
  <si>
    <t>РЧО/без че/(зм3 сем.)\ФНОИ</t>
  </si>
  <si>
    <t>РЧО/с че/(зм2 сем)\ФНОИ</t>
  </si>
  <si>
    <t>РБ(рм)\БФ</t>
  </si>
  <si>
    <t>РБ з.о.(зм)\БФ</t>
  </si>
  <si>
    <t>РиПГ(рм)\ГГФ</t>
  </si>
  <si>
    <t>РПГ(зм)\ГГФ</t>
  </si>
  <si>
    <t>РС(рмнс)\ГГФ</t>
  </si>
  <si>
    <t>РС(рмс)\ГГФ</t>
  </si>
  <si>
    <t>РС(змс)\ГГФ</t>
  </si>
  <si>
    <t>РС - след ОКС"ПБ"(рм4 сем.)\ГГФ</t>
  </si>
  <si>
    <t>РС(рм ОКС"ПБ")(рм4 сем.)\ГГФ</t>
  </si>
  <si>
    <t>РС(рмнсл)\ГГФ</t>
  </si>
  <si>
    <t>РС(след ОКС"ПБ")(рм4 сем.)\ГГФ</t>
  </si>
  <si>
    <t>РС(змнс)\ГГФ</t>
  </si>
  <si>
    <t>РС(змнсл)\ГГФ</t>
  </si>
  <si>
    <t>РС - след ОКС"ПБ"(зм5 сем.)\ГГФ</t>
  </si>
  <si>
    <t>РС (за ОКС "ПБ")(рм5 сем.)\ГГФ</t>
  </si>
  <si>
    <t>РС(след ОКС"ПБ")(зм5 сем.)\ГГФ</t>
  </si>
  <si>
    <t>РС(змнс)(зм3 сем.)\ГГФ</t>
  </si>
  <si>
    <t>РС(рмс)(рм2 сем)\ГГФ</t>
  </si>
  <si>
    <t>РГРС(рм2 сем)\ГГФ</t>
  </si>
  <si>
    <t>РИУР (рб)(рмс)\ГГФ</t>
  </si>
  <si>
    <t>РРП(рб)\ГГФ</t>
  </si>
  <si>
    <t>РРиП(рб)\ГГФ</t>
  </si>
  <si>
    <t>РРиУ(рм)\ГГФ</t>
  </si>
  <si>
    <t>РРУ (спб)(рм5 сем.)\ГГФ</t>
  </si>
  <si>
    <t>РРУмп(рм5 сем.)\ГГФ</t>
  </si>
  <si>
    <t>РРУ(рмс)2сем.(рм2 сем)\ГГФ</t>
  </si>
  <si>
    <t>РРУ/специалисти(рм2 сем)\ГГФ</t>
  </si>
  <si>
    <t>РРУ(змс)3сем.(зм3 сем.)\ГГФ</t>
  </si>
  <si>
    <t>РРУ/ специалисти(зм3 сем.)\ГГФ</t>
  </si>
  <si>
    <t>РРУ(зм)\ГГФ</t>
  </si>
  <si>
    <t>РРУ(нмз)(змнс)\ГГФ</t>
  </si>
  <si>
    <t>РРУ(змнс)4сем.(зм4 сем.л)\ГГФ</t>
  </si>
  <si>
    <t>РРУ/ неспециалисти(зм4 сем.л)\ГГФ</t>
  </si>
  <si>
    <t>РПК2(зм2 сем)\ФЖМК</t>
  </si>
  <si>
    <t>РПК(зм)\ФЖМК</t>
  </si>
  <si>
    <t>РДП(рм2 сем)\ФНОИ</t>
  </si>
  <si>
    <t>РДП (др.проф.напр.)(рм3 сем.)\ФНОИ</t>
  </si>
  <si>
    <t>Рел. и образование(зм2 сем)\БсФ</t>
  </si>
  <si>
    <t>Религия и образовани(зм4 сем.)\БсФ</t>
  </si>
  <si>
    <t>Религията в Европа(рб)\БсФ</t>
  </si>
  <si>
    <t>Религията в Европа(зб)\БсФ</t>
  </si>
  <si>
    <t>Рет(рмс)\ФФ</t>
  </si>
  <si>
    <t>Рет(рмсл)\ФФ</t>
  </si>
  <si>
    <t>Рет з с(зм2 сем)\ФФ</t>
  </si>
  <si>
    <t>рет(змсл)\ФФ</t>
  </si>
  <si>
    <t>рит(змс)\ФФ</t>
  </si>
  <si>
    <t>Р(рм)\ФФ</t>
  </si>
  <si>
    <t>Р(рмнс)\ФФ</t>
  </si>
  <si>
    <t>Рет(рмнс)\ФФ</t>
  </si>
  <si>
    <t>Рет(рмнсл)\ФФ</t>
  </si>
  <si>
    <t>Р(зм)\ФФ</t>
  </si>
  <si>
    <t>Р(змс)\ФФ</t>
  </si>
  <si>
    <t>Рет(змнс)\ФФ</t>
  </si>
  <si>
    <t>Рет(змнсл)\ФФ</t>
  </si>
  <si>
    <t>Рет(змс)\ФФ</t>
  </si>
  <si>
    <t>рит(змнс)\ФФ</t>
  </si>
  <si>
    <t>РФ(рб)\ФКНФ</t>
  </si>
  <si>
    <t>РумФ(рб)\ФКНФ</t>
  </si>
  <si>
    <t>Руска литература, ку(рм)\ФСлФ</t>
  </si>
  <si>
    <t>Руска литература(рмнс)\ФСлФ</t>
  </si>
  <si>
    <t>РФ(рб)\ФСлФ</t>
  </si>
  <si>
    <t>РФ(зб)\ФСлФ</t>
  </si>
  <si>
    <t>РФ(рм)\ФСлФ</t>
  </si>
  <si>
    <t>СИИИД(зм)\ФНОИ</t>
  </si>
  <si>
    <t>Стклу(рм)\ФНОИ</t>
  </si>
  <si>
    <t>Стклу(рм2 сем)\ФНОИ</t>
  </si>
  <si>
    <t>Стклу(зм)\ФНОИ</t>
  </si>
  <si>
    <t>Стклу(рмнс)\ФНОИ</t>
  </si>
  <si>
    <t>Стлу(рмчс)(рм3 сем.)\ФНОИ</t>
  </si>
  <si>
    <t>СТКЛУ(зм3 сем.)\ФНОИ</t>
  </si>
  <si>
    <t>СЕиР(рм ч.ез.)\ФКНФ</t>
  </si>
  <si>
    <t>СЕиР(рм)\ФКНФ</t>
  </si>
  <si>
    <t>СЕиР(рмнс ч.ез.)\ФКНФ</t>
  </si>
  <si>
    <t>СЕиР(рмнс)\ФКНФ</t>
  </si>
  <si>
    <t>СЕиР(рм2 сем ч.ез.)\ФКНФ</t>
  </si>
  <si>
    <t>СЕиР(рмнсл ч.ез.)\ФКНФ</t>
  </si>
  <si>
    <t>СЕиР(рмнсл)\ФКНФ</t>
  </si>
  <si>
    <t>Ск(рб)\ФКНФ</t>
  </si>
  <si>
    <t>Ск(рм)\ФКНФ</t>
  </si>
  <si>
    <t>СлФ(рм)\ФСлФ</t>
  </si>
  <si>
    <t>СРР(неспец.)(рм4 сем.)\ФНОИ</t>
  </si>
  <si>
    <t>СРРнеспец.(зм4 сем.)\ФНОИ</t>
  </si>
  <si>
    <t>СРР(специалисти)(зм2 сем)\ФНОИ</t>
  </si>
  <si>
    <t>СРРзо(зм2 сем)\ФНОИ</t>
  </si>
  <si>
    <t>СТ(рм)\ФМИ</t>
  </si>
  <si>
    <t>СофТех\ФМИ</t>
  </si>
  <si>
    <t>СофТех(рм)\ФМИ</t>
  </si>
  <si>
    <t>СИ(рб)\ФМИ</t>
  </si>
  <si>
    <t>СКрПсих(рм3 сем.)\ФФ</t>
  </si>
  <si>
    <t>СКПсп(рм3 сем.)\ФФ</t>
  </si>
  <si>
    <t>СКПнесп(рм5 сем.)\ФФ</t>
  </si>
  <si>
    <t>СЮП(рм3 сем.)\ФФ</t>
  </si>
  <si>
    <t>СЮП~(рм3 сем.)\ФФ</t>
  </si>
  <si>
    <t>Соц.П (рб)\ФНОИ</t>
  </si>
  <si>
    <t>Соц.П(зб)\ФНОИ</t>
  </si>
  <si>
    <t>СП 2014(зб)\ФНОИ</t>
  </si>
  <si>
    <t>СРОС(зм3 сем.)\ФП</t>
  </si>
  <si>
    <t>СРБМ(зм2 сем)\ФП</t>
  </si>
  <si>
    <t>СРБМ(зм3 сем.)\ФП</t>
  </si>
  <si>
    <t>СРсД(зм2 сем)\ФП</t>
  </si>
  <si>
    <t>СРсД(зм3 сем.)\ФП</t>
  </si>
  <si>
    <t>СРДС(рм2 сем)\ФП</t>
  </si>
  <si>
    <t>СРДС(рм3 сем.)\ФП</t>
  </si>
  <si>
    <t>СРДС(зм2 сем)\ФП</t>
  </si>
  <si>
    <t>СРДС(зм3 сем.)\ФП</t>
  </si>
  <si>
    <t>СД(рб)\ФП</t>
  </si>
  <si>
    <t>СД(зб)\ФП</t>
  </si>
  <si>
    <t>СИП(рм)\ФФ</t>
  </si>
  <si>
    <t>СИП(рмл)\ФФ</t>
  </si>
  <si>
    <t>Социални изследвания(рмл)\ФФ</t>
  </si>
  <si>
    <t>СИП (л)(змл)\ФФ</t>
  </si>
  <si>
    <t>СИП(зм)\ФФ</t>
  </si>
  <si>
    <t>Спдп(зм)\ФНОИ</t>
  </si>
  <si>
    <t>Спс(рм)\ФНОИ</t>
  </si>
  <si>
    <t>СДСмп(рм)\ФФ</t>
  </si>
  <si>
    <t>Соц.(рб)\ФФ</t>
  </si>
  <si>
    <t>Спец.П(рб)\ФНОИ</t>
  </si>
  <si>
    <t>Спец.П(зб)\ФНОИ</t>
  </si>
  <si>
    <t>СП(несп)(рмнс)\ФНОИ</t>
  </si>
  <si>
    <t>Сп(рм)\ФНОИ</t>
  </si>
  <si>
    <t>СПдр.пед.спец.(рм3 сем.)\ФНОИ</t>
  </si>
  <si>
    <t>СП(несп)(зм)\ФНОИ</t>
  </si>
  <si>
    <t>СП(несп)(змнс)\ФНОИ</t>
  </si>
  <si>
    <t>СП(сп2)(рм2 сем)\ФНОИ</t>
  </si>
  <si>
    <t>Спец. п-ка 2014(зб)\ФНОИ</t>
  </si>
  <si>
    <t>СПзав.др.спец.ро(рм2 сем)\ФНОИ</t>
  </si>
  <si>
    <t>СПзав.др.спец.(зм4 сем.)\ФНОИ</t>
  </si>
  <si>
    <t>СПзо(зм4 сем.)\ФНОИ</t>
  </si>
  <si>
    <t>СП(пед.спец. ае рм)(рм3 сем. ч.ез.)\ФНОИ</t>
  </si>
  <si>
    <t>СПобае(рм3 сем. ч.ез.)\ФНОИ</t>
  </si>
  <si>
    <t>СП(пс ае рм лп)(рм3 сем.л ч.ез.)\ФНОИ</t>
  </si>
  <si>
    <t>СП(пс ае рм лп)(рмл ч.ез.)\ФНОИ</t>
  </si>
  <si>
    <t>СЖ(зм3 сем.)\ФЖМК</t>
  </si>
  <si>
    <t>СДТзав.пед.спец.(рм2 сем)\ФНОИ</t>
  </si>
  <si>
    <t>Средиземном. КЦАС(рмнс)\ИФ</t>
  </si>
  <si>
    <t>Средиземноморски КЦА(рм)\ИФ</t>
  </si>
  <si>
    <t>СОИК(рм)\ИФ</t>
  </si>
  <si>
    <t>СОИПК(рмс)\ИФ</t>
  </si>
  <si>
    <t>СОИК(рмнс)\ИФ</t>
  </si>
  <si>
    <t>СОИПК(рмнс)\ИФ</t>
  </si>
  <si>
    <t>СОИК(зм)\ИФ</t>
  </si>
  <si>
    <t>СОИПК(зм)\ИФ</t>
  </si>
  <si>
    <t>СОИПК(змс)\ИФ</t>
  </si>
  <si>
    <t>СОИК(змнс)\ИФ</t>
  </si>
  <si>
    <t>Средн. общество(змнс)\ИФ</t>
  </si>
  <si>
    <t>СтБ(рм)\ФСлФ</t>
  </si>
  <si>
    <t>Старобългаристика(рмнс)\ФСлФ</t>
  </si>
  <si>
    <t>Старобългаристика(змнс)\ФСлФ</t>
  </si>
  <si>
    <t>Старобългаристика(змс)\ФСлФ</t>
  </si>
  <si>
    <t>Старобългаристика~(рмнс)\ФСлФ</t>
  </si>
  <si>
    <t>СКВКмп(рмс)\ФСлФ</t>
  </si>
  <si>
    <t>Стат(рб)\ФМИ</t>
  </si>
  <si>
    <t>СФИ(рм3 сем.)\СтФ</t>
  </si>
  <si>
    <t>СФИ(рм5 сем.)\СтФ</t>
  </si>
  <si>
    <t>СИА(рм2 се\СтФ</t>
  </si>
  <si>
    <t>СИА(рм2 сем)\СтФ</t>
  </si>
  <si>
    <t>СИА(рм3 сем.)\СтФ</t>
  </si>
  <si>
    <t>СИА(4сем.)\СтФ</t>
  </si>
  <si>
    <t>СИА(4сем.)(рм4 сем.)\СтФ</t>
  </si>
  <si>
    <t>СИА(рм5 сем.)\СтФ</t>
  </si>
  <si>
    <t>СИА-ПБ(рм5 сем.)\СтФ</t>
  </si>
  <si>
    <t>СИА-ПБ(рм4\СтФ</t>
  </si>
  <si>
    <t>СИА-ПБ(рм4 сем.)\СтФ</t>
  </si>
  <si>
    <t>СУ (немска програма)(рб)\СтФ</t>
  </si>
  <si>
    <t>СУ (рб)\СтФ</t>
  </si>
  <si>
    <t>СУ англ.език(рб)\СтФ</t>
  </si>
  <si>
    <t>СУ фр(рб)\СтФ</t>
  </si>
  <si>
    <t>СУ френска програма(рб)\СтФ</t>
  </si>
  <si>
    <t>СУ(рб)\СтФ</t>
  </si>
  <si>
    <t>СтрУ(рм)\СтФ</t>
  </si>
  <si>
    <t>СБот(рм)\БФ</t>
  </si>
  <si>
    <t>СчАГД (2сем.)(рм2 сем)\СтФ</t>
  </si>
  <si>
    <t>СчАГД(рм2 сем)\СтФ</t>
  </si>
  <si>
    <t>Счетоводство и АГД(рмнс)\СтФ</t>
  </si>
  <si>
    <t>СчАГД (4 сем.)(рм4 сем.)\СтФ</t>
  </si>
  <si>
    <t>СчАГД(рм4 сем.)\СтФ</t>
  </si>
  <si>
    <t>СчАГДЛ(рм4\СтФ</t>
  </si>
  <si>
    <t>СиК(рм3 сем.)\СтФ</t>
  </si>
  <si>
    <t>Счет. и одит неик.(рмнс)\СтФ</t>
  </si>
  <si>
    <t>Счетоводство и От(рмнс)\СтФ</t>
  </si>
  <si>
    <t>Счетоводство и одит(рм3 сем.)\СтФ</t>
  </si>
  <si>
    <t>Счет. и одит зимен 4(рм4 сем.)\СтФ</t>
  </si>
  <si>
    <t>Счетоводство и одит4(рм4 сем.л)\СтФ</t>
  </si>
  <si>
    <t>Счетоводство и одит(рм5 сем.)\СтФ</t>
  </si>
  <si>
    <t>СФДП АЕ(рб ч.ез.)\СтФ</t>
  </si>
  <si>
    <t>СГЕК(рм2 сем)\ФКНФ</t>
  </si>
  <si>
    <t>САБ(рм2 сем)\БсФ</t>
  </si>
  <si>
    <t>САБ(рм4 сем.)\БсФ</t>
  </si>
  <si>
    <t>САБМПзо2(зм2 сем)\БсФ</t>
  </si>
  <si>
    <t>САБ(зм4 сем.)\БсФ</t>
  </si>
  <si>
    <t>СМСАОС(рм)\ФХФ</t>
  </si>
  <si>
    <t>Съвр.образ.техн.(рм2 сем)\ФП</t>
  </si>
  <si>
    <t>Съв.образ.техн.(зм2 сем)\ФП</t>
  </si>
  <si>
    <t>Съвр.образ.техн.(рм3 сем.)\ФП</t>
  </si>
  <si>
    <t>Съвр.образ.техн.(зм3 сем.)\ФП</t>
  </si>
  <si>
    <t>ССХМ(рм)\ФХФ</t>
  </si>
  <si>
    <t>ССХМА(рм)\ФХФ</t>
  </si>
  <si>
    <t>ТНТ(рм3 сем.)\ФзФ</t>
  </si>
  <si>
    <t>ТНН(зм3 сем.)\ФзФ</t>
  </si>
  <si>
    <t>ТНТ(зм3 сем.)\ФзФ</t>
  </si>
  <si>
    <t>Бс(рб)\БсФ</t>
  </si>
  <si>
    <t>Теология(рб)\БсФ</t>
  </si>
  <si>
    <t>Теология 2013(зб)\БсФ</t>
  </si>
  <si>
    <t>Бс(зб)\БсФ</t>
  </si>
  <si>
    <t>Теология(зб)\БсФ</t>
  </si>
  <si>
    <t>ТИФ(рм3 сем.)\ФзФ</t>
  </si>
  <si>
    <t>ТМФ(рм2 сем)\ФзФ</t>
  </si>
  <si>
    <t>ТМФмп(рм)\ФзФ</t>
  </si>
  <si>
    <t>ТМФ(рм3 сем.)\ФзФ</t>
  </si>
  <si>
    <t>ТСПТ(рм4 сем. ч.ез.)\ФзФ</t>
  </si>
  <si>
    <t>ТСПТ(рм4 сем.)\ФзФ</t>
  </si>
  <si>
    <t>ТСПТ(англ.ез.)(рм4 сем. ч.ез.)\ФзФ</t>
  </si>
  <si>
    <t>ТСПТ(англ.ез.)(рм4 сем.)\ФзФ</t>
  </si>
  <si>
    <t>ТОМИ(м)\ФМИ</t>
  </si>
  <si>
    <t>ТОМИ(рм)\ФМИ</t>
  </si>
  <si>
    <t>ТОМИ(зм)\ФМИ</t>
  </si>
  <si>
    <t>ТЗИ(рм)\ФМИ</t>
  </si>
  <si>
    <t>ТОППИТ(рм)\ФМИ</t>
  </si>
  <si>
    <t>ТОМИ(змл)\ФМИ</t>
  </si>
  <si>
    <t>ТОМИ(рмл)\ФМИ</t>
  </si>
  <si>
    <t>ТПИ в ИТ(рм)\ФМИ</t>
  </si>
  <si>
    <t>ТДП(зм)\ФЖМК</t>
  </si>
  <si>
    <t>Трансгранична българ(рм)\ФСлФ</t>
  </si>
  <si>
    <t>Тргран/ред/несп(рмнс)\ФСлФ</t>
  </si>
  <si>
    <t>Трангранс/задочно/(змс)\ФСлФ</t>
  </si>
  <si>
    <t>Тргран/зад/несп(змнс)\ФСлФ</t>
  </si>
  <si>
    <t>ТОП(рм)\ФФ</t>
  </si>
  <si>
    <t>ТОП (зм)\ФФ</t>
  </si>
  <si>
    <t>ТОПрнесп(рм4 сем.)\ФФ</t>
  </si>
  <si>
    <t>ТОПзнесп(зм4 сем.)\ФФ</t>
  </si>
  <si>
    <t>ТОПрсп(рм2 сем)\ФФ</t>
  </si>
  <si>
    <t>ТПРЧР(рм)\ФФ</t>
  </si>
  <si>
    <t>Т(рб)\ГГФ</t>
  </si>
  <si>
    <t>Т(рм)\ГГФ</t>
  </si>
  <si>
    <t>Т(зм)\ГГФ</t>
  </si>
  <si>
    <t>Туризъм/5 сем.(зм5 сем.)\ГГФ</t>
  </si>
  <si>
    <t>Т/4 сем.(змнс)\ГГФ</t>
  </si>
  <si>
    <t>Т- след ПБ(зм5 сем.)\ГГФ</t>
  </si>
  <si>
    <t>Т-ПБ(зм5 сем.)\ГГФ</t>
  </si>
  <si>
    <t>Тю(рб)\ФКНФ</t>
  </si>
  <si>
    <t>Тюр(рб)\ФКНФ</t>
  </si>
  <si>
    <t>УФ(рб)\ФКНФ</t>
  </si>
  <si>
    <t>УнгФ(рб)\ФКНФ</t>
  </si>
  <si>
    <t>УЕС(зм)\ФФ</t>
  </si>
  <si>
    <t>УЕС(змл)\ФФ</t>
  </si>
  <si>
    <t>УИПС(рм3 сем.)\СтФ</t>
  </si>
  <si>
    <t>УИПС(рм5 сем.)\СтФ</t>
  </si>
  <si>
    <t>УИПС-ПБ(рм\СтФ</t>
  </si>
  <si>
    <t>УИПС-ПБ(рм5 сем.)\СтФ</t>
  </si>
  <si>
    <t>УИСР(рм2 сем)\ФП</t>
  </si>
  <si>
    <t>УИСР(рм3 сем.)\ФП</t>
  </si>
  <si>
    <t>УИСР(зм2 сем)\ФП</t>
  </si>
  <si>
    <t>УИСР(зм3 сем.)\ФП</t>
  </si>
  <si>
    <t>УИН(рм)\ФФ</t>
  </si>
  <si>
    <t>УИР(зм)\ФФ</t>
  </si>
  <si>
    <t>УПСРП(змс)\ГГФ</t>
  </si>
  <si>
    <t>УТД/2 сем.(змс)\ГГФ</t>
  </si>
  <si>
    <t>УТД/4 сем.(зм4 сем.)\ГГФ</t>
  </si>
  <si>
    <t>УХКР(рм)\ГГФ</t>
  </si>
  <si>
    <t>УХКР(зм)\ГГФ</t>
  </si>
  <si>
    <t>УХР(зм)\ГГФ</t>
  </si>
  <si>
    <t>УЧР(рм)\ГГФ</t>
  </si>
  <si>
    <t>УЧР(рмс)\ГГФ</t>
  </si>
  <si>
    <t>УЧР~(рмс)\ГГФ</t>
  </si>
  <si>
    <t>УЧР(рмнс)4сем.(рм4 сем.)\ГГФ</t>
  </si>
  <si>
    <t>УЧР(рмс)2сем.(рм2 сем)\ГГФ</t>
  </si>
  <si>
    <t>УЧР(зм)\ГГФ</t>
  </si>
  <si>
    <t>УЧР(змс)\ГГФ</t>
  </si>
  <si>
    <t>УЧР(змс)3сем.(зм3 сем.)\ГГФ</t>
  </si>
  <si>
    <t>УЧР (за ОКС "ПБ")(рм5 сем.)\ГГФ</t>
  </si>
  <si>
    <t>УЧР (след ОКС "ПБ")(рм5 сем.)\ГГФ</t>
  </si>
  <si>
    <t>УЧР(рмнс)\ГГФ</t>
  </si>
  <si>
    <t>УЧР(след ОКС "ПБ")(зм5 сем.)\ГГФ</t>
  </si>
  <si>
    <t>УЧР - след ОКС"ПБ"(рм4 сем.)\ГГФ</t>
  </si>
  <si>
    <t>УИС(рм5 сем.)\СтФ</t>
  </si>
  <si>
    <t>УИС-ПБ(рм5 сем.)\СтФ</t>
  </si>
  <si>
    <t>УИС(рм2 сем)\СтФ</t>
  </si>
  <si>
    <t>УИС АЕ летен (3 сем)(рм3 сем.л ч.ез.)\СтФ</t>
  </si>
  <si>
    <t>УИС на АЕ (3 сем)(рм3 сем. ч.ез.)\СтФ</t>
  </si>
  <si>
    <t>УИС чужд ез. (3 сем)(рм3 сем. ч.ез.)\СтФ</t>
  </si>
  <si>
    <t>УИС(рм3 сем.)\СтФ</t>
  </si>
  <si>
    <t>УИС на АЕ (4 сем)(рм4 сем. ч.ез.)\СтФ</t>
  </si>
  <si>
    <t>УИС чужд ез. (4 сем)(рм4 сем. ч.ез.)\СтФ</t>
  </si>
  <si>
    <t>УИС/4 сем/(рм4 сем.)\СтФ</t>
  </si>
  <si>
    <t>УМФ(м)\ФМИ</t>
  </si>
  <si>
    <t>УМФ(рм)\ФМИ</t>
  </si>
  <si>
    <t>УМФ&amp;пр.(рм)\ФМИ</t>
  </si>
  <si>
    <t>УП(рм)\ФКНФ</t>
  </si>
  <si>
    <t>УБАЕ(рм)\БФ</t>
  </si>
  <si>
    <t>УБАЕзад(зм)\БФ</t>
  </si>
  <si>
    <t>УБАЕ(зм)\БФ</t>
  </si>
  <si>
    <t>УГСУ-60 кредита(рмс)\ГГФ</t>
  </si>
  <si>
    <t>УГСУ-90 кредита(рмнс)\ГГФ</t>
  </si>
  <si>
    <t>УГСУ (90 кредита)(рмнс)\ГГФ</t>
  </si>
  <si>
    <t>УПНОСО(рб)\ФзФ</t>
  </si>
  <si>
    <t>УХ(р)(рм)\ФХФ</t>
  </si>
  <si>
    <t>УХ(рм)\ФХФ</t>
  </si>
  <si>
    <t>УХ(з)(зм)\ФХФ</t>
  </si>
  <si>
    <t>УХмп(зм)\ФХФ</t>
  </si>
  <si>
    <t>Фармация(рм)\ФХФ</t>
  </si>
  <si>
    <t>ФАЕ(рм ч.ез.)\ФХФ</t>
  </si>
  <si>
    <t>Фасилити менидж неик(змнс)\СтФ</t>
  </si>
  <si>
    <t>Фасилити менидж-ЗО(зм2 сем)\СтФ</t>
  </si>
  <si>
    <t>Ф(рб)\ФзФ</t>
  </si>
  <si>
    <t>Ф(зб)\ФзФ</t>
  </si>
  <si>
    <t>ф(зб)\ФзФ</t>
  </si>
  <si>
    <t>Ф(рм)\ФзФ</t>
  </si>
  <si>
    <t>Ф(рм3 сем.)\ФзФ</t>
  </si>
  <si>
    <t>Ф(зм)\ФзФ</t>
  </si>
  <si>
    <t>ФИ(рб)\ФзФ</t>
  </si>
  <si>
    <t>ФМ(рб)\ФзФ</t>
  </si>
  <si>
    <t>ФиМ(рб)\ФзФ</t>
  </si>
  <si>
    <t>ФМ(зб)\ФзФ</t>
  </si>
  <si>
    <t>ФиМ(зб)\ФзФ</t>
  </si>
  <si>
    <t>ФЗАО(зм4 сем.)\ФзФ</t>
  </si>
  <si>
    <t>ФПрм(рм2 сем)\ФзФ</t>
  </si>
  <si>
    <t>ФПзм(зм3 сем.)\ФзФ</t>
  </si>
  <si>
    <t>ФПНСП(рм4 сем.)\ФзФ</t>
  </si>
  <si>
    <t>ФПТЯС(рм2 сем)\ФзФ</t>
  </si>
  <si>
    <t>ФТТроМП(рм)\ФзФ</t>
  </si>
  <si>
    <t>ФТТроМП(рм3 сем.)\ФзФ</t>
  </si>
  <si>
    <t>ФЯЕЧ(рб ч.ез.)\ФзФ</t>
  </si>
  <si>
    <t>ФЯЕЧ(рм3 сем.)\ФзФ</t>
  </si>
  <si>
    <t>ФЯЕЧ(рм5 сем.)\ФзФ</t>
  </si>
  <si>
    <t>ФЯТЧ(рм5 сем.)\ФзФ</t>
  </si>
  <si>
    <t>ФЖЧ(рм)\БФ</t>
  </si>
  <si>
    <t>ФЖЧ зо(зм)\БФ</t>
  </si>
  <si>
    <t>ФЖЧнсп(рмнсл)\БФ</t>
  </si>
  <si>
    <t>ФР(рм)\БФ</t>
  </si>
  <si>
    <t>ФГЛЕ(рм)\ГГФ</t>
  </si>
  <si>
    <t>ФГЛЕ(зм)\ГГФ</t>
  </si>
  <si>
    <t>ФГЛЕ~(зм)\ГГФ</t>
  </si>
  <si>
    <t>ФВС(рб)\ФНОИ</t>
  </si>
  <si>
    <t>Фил.(рб)\ФФ</t>
  </si>
  <si>
    <t>Фил.(зб)\ФФ</t>
  </si>
  <si>
    <t>Ф(рмс)\ФФ</t>
  </si>
  <si>
    <t>Ф(рмсл)\ФФ</t>
  </si>
  <si>
    <t>Филм2(рм2 сем)\ФФ</t>
  </si>
  <si>
    <t>Философия(рмс)\ФФ</t>
  </si>
  <si>
    <t>Философия(рмсл)\ФФ</t>
  </si>
  <si>
    <t>Ф(рмнсл)\ФФ</t>
  </si>
  <si>
    <t>Философия(рмнсл)\ФФ</t>
  </si>
  <si>
    <t>ф(рм)\ФФ</t>
  </si>
  <si>
    <t>ф(рмнс)\ФФ</t>
  </si>
  <si>
    <t>ФНсп(змнс)\ФФ</t>
  </si>
  <si>
    <t>ФИЛen(рб ч.ез.)\ФФ</t>
  </si>
  <si>
    <t>ФКИ(рм)\ФФ</t>
  </si>
  <si>
    <t>ФКИ(рмнс)\ФФ</t>
  </si>
  <si>
    <t>Философия и култура (рмл)\ФФ</t>
  </si>
  <si>
    <t>ФСУ(зм)\ФФ</t>
  </si>
  <si>
    <t>ФСУл(зм2 семл)\ФФ</t>
  </si>
  <si>
    <t>ФСЕ(зм)\ФФ</t>
  </si>
  <si>
    <t>ФСЕ(змл)\ФФ</t>
  </si>
  <si>
    <t>ФПА(рм ч.ез.)\ФФ</t>
  </si>
  <si>
    <t>ФПА(рм)\ФФ</t>
  </si>
  <si>
    <t>ФПА(рмл ч.ез.)\ФФ</t>
  </si>
  <si>
    <t>ФПА(рмл)\ФФ</t>
  </si>
  <si>
    <t>ФПАл(рмл)\ФФ</t>
  </si>
  <si>
    <t>ФПА(зм ч.ез.)\ФФ</t>
  </si>
  <si>
    <t>ФПА(зм)\ФФ</t>
  </si>
  <si>
    <t>ФПА(змл ч.ез.)\ФФ</t>
  </si>
  <si>
    <t>ФПА(змл)\ФФ</t>
  </si>
  <si>
    <t>ФПАбак3 л.(рм4 сем.л ч.ез.)\ФФ</t>
  </si>
  <si>
    <t>ФПАбак3(рм4 сем. ч.ез.)\ФФ</t>
  </si>
  <si>
    <t>ФПАЕ 4с летен(зм4 сем.л ч.ез.)\ФФ</t>
  </si>
  <si>
    <t>ФПАбак3 л.(зм4 сем.л ч.ез.)\ФФ</t>
  </si>
  <si>
    <t>ФПАбак3(зм4 сем. ч.ез.)\ФФ</t>
  </si>
  <si>
    <t>ФАНТР(рмл)\ФФ</t>
  </si>
  <si>
    <t>ФАнтр(рм)\ФФ</t>
  </si>
  <si>
    <t>ФБД(рм)\СтФ</t>
  </si>
  <si>
    <t>ФБД(рм3 сем.)\СтФ</t>
  </si>
  <si>
    <t>ФБД (неиконом.)(рмнс)\СтФ</t>
  </si>
  <si>
    <t>Финанси и БД 3 сем.(рм3 сем.)\СтФ</t>
  </si>
  <si>
    <t>Финанси и банково де(рм3 сем.)\СтФ</t>
  </si>
  <si>
    <t>Финанси и банково де(рмнс)\СтФ</t>
  </si>
  <si>
    <t>ФБД(рм5 сем.)\СтФ</t>
  </si>
  <si>
    <t>ФБД (рм5 сем.)\СтФ</t>
  </si>
  <si>
    <t>Финанси и инвест Н(рмнс)\СтФ</t>
  </si>
  <si>
    <t>Финанси и инвестиции(рм2 сем)\СтФ</t>
  </si>
  <si>
    <t>Финанси и инвестиции(рм4 сем.л)\СтФ</t>
  </si>
  <si>
    <t>ФИФ иконом. 3 сем.(рм3 сем.)\СтФ</t>
  </si>
  <si>
    <t>ФИФ неиконом. 3 сем.(рмнс)\СтФ</t>
  </si>
  <si>
    <t>ФИФ 4 сем. зимен (рм4 сем.)\СтФ</t>
  </si>
  <si>
    <t>ФИФ 4 сем. летен(рм4 сем.л)\СтФ</t>
  </si>
  <si>
    <t>ФСч. и АГД (3 сем.)(рм3 сем.)\СтФ</t>
  </si>
  <si>
    <t>ФСч. и АГД неик. 3(рмнс)\СтФ</t>
  </si>
  <si>
    <t>ФМ - англ(рм3 сем. ч.ез.)\СтФ</t>
  </si>
  <si>
    <t>ФМ-англ-неик(рм3 сем. ч.ез.)\СтФ</t>
  </si>
  <si>
    <t>ФМ-англ-неик(рм3 сем.)\СтФ</t>
  </si>
  <si>
    <t>ФМ - англ(рм3 сем.)\СтФ</t>
  </si>
  <si>
    <t>ФМ - фр /англ(рм3 сем.)\СтФ</t>
  </si>
  <si>
    <t>ФЛФ(рб)\ФзФ</t>
  </si>
  <si>
    <t>ФМиММ(рм ч.ез.)\ФКНФ</t>
  </si>
  <si>
    <t>ФМиММ(рм)\ФКНФ</t>
  </si>
  <si>
    <t>ФИ(рм)\ФКНФ</t>
  </si>
  <si>
    <t>ФрИзсл(рм)\ФКНФ</t>
  </si>
  <si>
    <t>ФФ(рб)\ФКНФ</t>
  </si>
  <si>
    <t>ФрФ(рб)\ФКНФ</t>
  </si>
  <si>
    <t>ФМ(рм)\ФХФ</t>
  </si>
  <si>
    <t>Хебра(рб)\ИФ</t>
  </si>
  <si>
    <t>Х(рб)\ФХФ</t>
  </si>
  <si>
    <t>Х(зб)\ФХФ</t>
  </si>
  <si>
    <t>Химия за бъдещето(рмс)\ФХФ</t>
  </si>
  <si>
    <t>Х-я и англ. език(рб)\ФХФ</t>
  </si>
  <si>
    <t>ХИ(рб)\ФХФ</t>
  </si>
  <si>
    <t>Християнско покл-во(зм4 сем.)\БсФ</t>
  </si>
  <si>
    <t>Християнско поклонни(зм2 сем)\БсФ</t>
  </si>
  <si>
    <t>ХИБ(рм2 сем)\ИФ</t>
  </si>
  <si>
    <t>Църква и медии(зм2 сем)\БсФ</t>
  </si>
  <si>
    <t>Църква и медии(зм4 сем.)\БсФ</t>
  </si>
  <si>
    <t>Църковен мениджмънт(зм2 сем)\БсФ</t>
  </si>
  <si>
    <t>Църковен мениджмънт(зм4 сем.)\БсФ</t>
  </si>
  <si>
    <t>Църковно изкуство (змс)\БсФ</t>
  </si>
  <si>
    <t>Църковно изкуство (змнс)\БсФ</t>
  </si>
  <si>
    <t>ЦСДсп(змс)\БсФ</t>
  </si>
  <si>
    <t>Църковно социално де(змс)\БсФ</t>
  </si>
  <si>
    <t>Църковно социално де(зм4 сем.)\БсФ</t>
  </si>
  <si>
    <t>Църковно социално де(змнс)\БсФ</t>
  </si>
  <si>
    <t>ЦССмп(рмс)\БсФ</t>
  </si>
  <si>
    <t>ЧОППЕС(рмл)\ЮФ</t>
  </si>
  <si>
    <t>ЧОППЕСромп(рм)\ЮФ</t>
  </si>
  <si>
    <t>ЧЕЛитМед(рм3 сем.л ч.ез.)\ФКНФ</t>
  </si>
  <si>
    <t>ЮИиЮИ(рб)\ФКНФ</t>
  </si>
  <si>
    <t>ЮИЮА(рм ч.ез.)\ФКНФ</t>
  </si>
  <si>
    <t>ЯЕТ(рм4 сем.)\ФзФ</t>
  </si>
  <si>
    <t>ЯЕТ(рм4 сем.л)\ФзФ</t>
  </si>
  <si>
    <t>ЯЕТ(зм5 сем.)\ФзФ</t>
  </si>
  <si>
    <t>ЯЕТНС(зм5 сем.л)\ФзФ</t>
  </si>
  <si>
    <t>ЯЕТ(змс)\ФзФ</t>
  </si>
  <si>
    <t>ЯЕТПБ(зм6 сем.л)\ФзФ</t>
  </si>
  <si>
    <t>ЯЕТПБ(змл)\ФзФ</t>
  </si>
  <si>
    <t>ЯЕТ(рм3 сем.)\ФзФ</t>
  </si>
  <si>
    <t>ЯЕТ(рм3 сем.л)\ФзФ</t>
  </si>
  <si>
    <t>ЯТЯЕ(рм)\ФзФ</t>
  </si>
  <si>
    <t>ЯТЯТ(рм3 сем.л)\ФзФ</t>
  </si>
  <si>
    <t>ЯТЯЕ(рб)\ФзФ</t>
  </si>
  <si>
    <t>ЯТиЕ(рб)\ФзФ</t>
  </si>
  <si>
    <t>ЯХ(рб)\ФХФ</t>
  </si>
  <si>
    <t>Ядрена химия(рм)\ФХФ</t>
  </si>
  <si>
    <t>ЯХ(рм)\ФХФ</t>
  </si>
  <si>
    <t>Я(рб)\ФКНФ</t>
  </si>
  <si>
    <t>Япо(рб)\ФКНФ</t>
  </si>
  <si>
    <t>Я:ОиК(рмнс)\ФКНФ</t>
  </si>
  <si>
    <t>ЯЕК(рм)\ФКНФ</t>
  </si>
  <si>
    <t>ЯЕК(рмл)\ФКНФ</t>
  </si>
  <si>
    <t>Буд.:ЕЛиК с кор.ез.(рм3 сем.)\ФКНФ</t>
  </si>
  <si>
    <t>Буд.:ЕЛиК с яп. ез.(рм3 сем.)\ФКНФ</t>
  </si>
  <si>
    <t>Буд.:ЕЛиК с инд.ез.(рм3 сем.)\ФКНФ</t>
  </si>
  <si>
    <t>Буд.:ЕЛиК с кит. ез.(рм3 сем.)\ФКНФ</t>
  </si>
  <si>
    <t>Данни за НАЦИД</t>
  </si>
  <si>
    <t>НАЦИД - Специалности</t>
  </si>
  <si>
    <t>упрЧасове</t>
  </si>
  <si>
    <t>кодНАЦИД.Спец</t>
  </si>
  <si>
    <t>нацидСпециалност</t>
  </si>
  <si>
    <t>Акад. длъжност</t>
  </si>
  <si>
    <t>Рък. длъжност</t>
  </si>
  <si>
    <t>бмлОЗ</t>
  </si>
  <si>
    <t>бмлАЗ</t>
  </si>
  <si>
    <t>бмлдОЗ</t>
  </si>
  <si>
    <t>бмлдАЗ</t>
  </si>
  <si>
    <t>&lt;|&gt;</t>
  </si>
  <si>
    <t>&lt;|&gt;.1</t>
  </si>
  <si>
    <t>NACIDInstitutionalSpecialityId</t>
  </si>
  <si>
    <t>Жестов език и биолингвистично образование (2 сем)-Модерна</t>
  </si>
  <si>
    <t>кодСпецДР</t>
  </si>
  <si>
    <t>кодАСпецДР</t>
  </si>
  <si>
    <t>АБТХ(рб)\БФ\бр</t>
  </si>
  <si>
    <t>АП(зм)\ФФ\мз</t>
  </si>
  <si>
    <t>АП(змл)\ФФ\мз</t>
  </si>
  <si>
    <t>АУ(рм)\СтФ\мр</t>
  </si>
  <si>
    <t>AEC(рм3 сем. ч.ез.)\ФзФ\мр</t>
  </si>
  <si>
    <t>АКИК(рм3 сем.)\ФзФ\мр</t>
  </si>
  <si>
    <t>АУР(рм3 сем.)\СтФ\мр</t>
  </si>
  <si>
    <t>АУР(рм5 сем.)\СтФ\мр</t>
  </si>
  <si>
    <t>АГТ(рм)\ФМИ\мр</t>
  </si>
  <si>
    <t>АиМ(рм)\БФ\мр</t>
  </si>
  <si>
    <t>АТО(рмс)\ИФ\мр</t>
  </si>
  <si>
    <t>АТО(рмнс)\ИФ\мр</t>
  </si>
  <si>
    <t>АД(рб)\ФМИ\бр</t>
  </si>
  <si>
    <t>АнгФ(рб)\ФКНФ\бр</t>
  </si>
  <si>
    <t>АЕМО(рм)\ФКНФ\мр</t>
  </si>
  <si>
    <t>АИТ(рмс)\ИФ\мр</t>
  </si>
  <si>
    <t>АИТ(рмнс)\ИФ\мр</t>
  </si>
  <si>
    <t>АЛК(рмнс)\ФКНФ\мр</t>
  </si>
  <si>
    <t>АнтКуЛит(рмнс)\ФКНФ\мр</t>
  </si>
  <si>
    <t>АнтКуЛит(рм)\ФКНФ\мр</t>
  </si>
  <si>
    <t>АнтКуЛит(рмс)\ФКНФ\мр</t>
  </si>
  <si>
    <t>КлФ(рм)\ФКНФ\мр</t>
  </si>
  <si>
    <t>АиС(рмнс)\ИФ\мр</t>
  </si>
  <si>
    <t>АиС(рмнсл)\ИФ\мр</t>
  </si>
  <si>
    <t>АиС(рмс)\ИФ\мр</t>
  </si>
  <si>
    <t>АиС(рмсл)\ИФ\мр</t>
  </si>
  <si>
    <t>АИСБИБ(рм)\ФКНФ\мр</t>
  </si>
  <si>
    <t>Арб(рб)\ФКНФ\бр</t>
  </si>
  <si>
    <t>АОК(рм)\ФКНФ\мр</t>
  </si>
  <si>
    <t>АрмКав(рб)\ФКНФ\бр</t>
  </si>
  <si>
    <t>Арх(рб)\ИФ\бр</t>
  </si>
  <si>
    <t>Арх(рм4 сем.)\ИФ\мр</t>
  </si>
  <si>
    <t>Арх4(рм4 сем.)\ИФ\мр</t>
  </si>
  <si>
    <t>А(рмнс)\ИФ\мр</t>
  </si>
  <si>
    <t>А(рмс)\ИФ\мр</t>
  </si>
  <si>
    <t>Ам(рм)\ИФ\мр</t>
  </si>
  <si>
    <t>А(рм)\ФХФ\мр</t>
  </si>
  <si>
    <t>Aрхеометрия(рмсл)\ИФ\мр</t>
  </si>
  <si>
    <t>АиДок(рб)\ИФ\бр</t>
  </si>
  <si>
    <t>АиД(зб)\ИФ\бз</t>
  </si>
  <si>
    <t>АА(рм)\ФзФ\мр</t>
  </si>
  <si>
    <t>АА(рм2 сем)\ФзФ\мр</t>
  </si>
  <si>
    <t>ААФ(рм2 сем)\ФзФ\мр</t>
  </si>
  <si>
    <t>АА(рм3 сем.)\ФзФ\мр</t>
  </si>
  <si>
    <t>АПА(зм4 сем.)\ФзФ\мз</t>
  </si>
  <si>
    <t>АМГ(рб)\ФзФ\бр</t>
  </si>
  <si>
    <t>АМГ(зб)\ФзФ\бз</t>
  </si>
  <si>
    <t>АВД(рм2 сем)\ФНОИ\мр</t>
  </si>
  <si>
    <t>АД/челп/(рмл ч.ез.)\ФНОИ\мр</t>
  </si>
  <si>
    <t>АПМ(рм3 сем.)\ФНОИ\мр</t>
  </si>
  <si>
    <t>АПК летен неик.(рмнсл)\СтФ\мр</t>
  </si>
  <si>
    <t>АПК летен прием(рм2 семл)\СтФ\мр</t>
  </si>
  <si>
    <t>Аутсорсинг ПК неик.(рмнс)\СтФ\мр</t>
  </si>
  <si>
    <t>Аутсорсинг проекти и(рм2 сем)\СтФ\мр</t>
  </si>
  <si>
    <t>Афр(рб ч.ез.)\ФКНФ\бр</t>
  </si>
  <si>
    <t>Б(рм)\ФСлФ\мр</t>
  </si>
  <si>
    <t>Балканите и Русия(рмс)\ИФ\мр</t>
  </si>
  <si>
    <t>Балканите и Русия (рмнс)\ИФ\мр</t>
  </si>
  <si>
    <t>БМ2ЦХИ(рмнс)\ИФ\мр</t>
  </si>
  <si>
    <t>ХриИсл(рмнс)\ИФ\мр</t>
  </si>
  <si>
    <t>БМ2ЦХИ(змнс)\ИФ\мз</t>
  </si>
  <si>
    <t>WND_en_(рм3 сем. ч.ез.)\ФзФ\мр</t>
  </si>
  <si>
    <t>WND_en_(рм3 сем.)\ФзФ\мр</t>
  </si>
  <si>
    <t>БМУ(рм4 сем.)\ФзФ\мр</t>
  </si>
  <si>
    <t>БМУ зм4л(зм4 сем.л)\ФзФ\мз</t>
  </si>
  <si>
    <t>БМУ зм4л(змсл)\ФзФ\мз</t>
  </si>
  <si>
    <t>БМУ(зм)\ФзФ\мз</t>
  </si>
  <si>
    <t>БМУ(зм4 сем.)\ФзФ\мз</t>
  </si>
  <si>
    <t>БМУ(пб)(зм4 сем.)\ФзФ\мз</t>
  </si>
  <si>
    <t>БМУЛПЗ4(змл)\ФзФ\мз</t>
  </si>
  <si>
    <t>БМУ - р(рм3 сем.)\ФзФ\мр</t>
  </si>
  <si>
    <t>БМУ(зм4 сем.л)\ФзФ\мз</t>
  </si>
  <si>
    <t>БМУ - прб-з(зм4 сем.)\ФзФ\мз</t>
  </si>
  <si>
    <t>БИН(зм)\ФФ\мз</t>
  </si>
  <si>
    <t>БИНКП(змл)\ФФ\мз</t>
  </si>
  <si>
    <t>БИНКП(змнсл)\ФФ\мз</t>
  </si>
  <si>
    <t>БИН(рб)\ФФ\бр</t>
  </si>
  <si>
    <t>БИН(зб)\ФФ\бз</t>
  </si>
  <si>
    <t>БИНКП(зм)\ФФ\мз</t>
  </si>
  <si>
    <t>БИНКП(змнс)\ФФ\мз</t>
  </si>
  <si>
    <t>БИНКП(змс)\ФФ\мз</t>
  </si>
  <si>
    <t>БИНКП2л(зм2 семл)\ФФ\мз</t>
  </si>
  <si>
    <t>БИНКП(змсл)\ФФ\мз</t>
  </si>
  <si>
    <t>БИНКП2(зм2 сем)\ФФ\мз</t>
  </si>
  <si>
    <t>БИТ(зм)\ФФ\мз</t>
  </si>
  <si>
    <t>БИТ(змл)\ФФ\мз</t>
  </si>
  <si>
    <t>БИНКПр(рм)\ФФ\мр</t>
  </si>
  <si>
    <t>БИНКПр(рмл)\ФФ\мр</t>
  </si>
  <si>
    <t>БА (2 сем.) летен (рм2 семл)\СтФ\мр</t>
  </si>
  <si>
    <t>БА (2 сем.)(рм2 сем)\СтФ\мр</t>
  </si>
  <si>
    <t>БА(рм2 сем)\СтФ\мр</t>
  </si>
  <si>
    <t>БА(рм2 семл)\СтФ\мр</t>
  </si>
  <si>
    <t>БА (англ програма)(рб)\СтФ\бр</t>
  </si>
  <si>
    <t>БА англ.език(рм3 сем.)\СтФ\мр</t>
  </si>
  <si>
    <t>БА (англ.език)(рм5 сем.)\СтФ\мр</t>
  </si>
  <si>
    <t>БА немска програма(рб)\СтФ\бр</t>
  </si>
  <si>
    <t>БА френска програма(рб)\СтФ\бр</t>
  </si>
  <si>
    <t>БА-ИУЗ(рм3 сем.)\СтФ\мр</t>
  </si>
  <si>
    <t>БА - ИУЗ 5(рм5 сем.)\СтФ\мр</t>
  </si>
  <si>
    <t>БА-УП ЗО зимен(зм2 сем)\СтФ\мз</t>
  </si>
  <si>
    <t>БА-УП ЗО летен(зм2 семл)\СтФ\мз</t>
  </si>
  <si>
    <t>БА-УП ЗО-Н зимен(змнс)\СтФ\мз</t>
  </si>
  <si>
    <t>БА-УП ЗО-Н летен(змнсл)\СтФ\мз</t>
  </si>
  <si>
    <t>БА-УП(зм2 сем)\СтФ\мз</t>
  </si>
  <si>
    <t>БАСУ(рм3 сем.)\СтФ\мр</t>
  </si>
  <si>
    <t>БА-СУ-ПБ(рм5 сем.)\СтФ\мр</t>
  </si>
  <si>
    <t>БАСУ(рм5 сем.)\СтФ\мр</t>
  </si>
  <si>
    <t>БА-СУ(рм4 сем.)\СтФ\мр</t>
  </si>
  <si>
    <t>БАРЧР(рм3 сем.)\СтФ\мр</t>
  </si>
  <si>
    <t>БАУЧР(рм3 сем.)\СтФ\мр</t>
  </si>
  <si>
    <t>БА-РЧР-ПБ(рм5 сем.)\СтФ\мр</t>
  </si>
  <si>
    <t>БАРЧР(рм5 сем.)\СтФ\мр</t>
  </si>
  <si>
    <t>БАУЧР(рм5 сем.)\СтФ\мр</t>
  </si>
  <si>
    <t>БА-РЧР 2 сем.(рм2 сем)\СтФ\мр</t>
  </si>
  <si>
    <t>БА-РЧР(рм2 сем)\СтФ\мр</t>
  </si>
  <si>
    <t>БА-РЧР-Н (2 сем.)(рмнс)\СтФ\мр</t>
  </si>
  <si>
    <t>БА-РЧР(рм4 сем.)\СтФ\мр</t>
  </si>
  <si>
    <t>БА-РЧР (на англ.ез.)(рм2 сем ч.ез.)\СтФ\мр</t>
  </si>
  <si>
    <t>БА-РЧР (на англ.ез.)(рм2 сем)\СтФ\мр</t>
  </si>
  <si>
    <t>БА-РЧР-А-Л(рм2 семл ч.ез.)\СтФ\мр</t>
  </si>
  <si>
    <t>БА-РЧР-АЕ (2 сем.)(рм2 сем ч.ез.)\СтФ\мр</t>
  </si>
  <si>
    <t>БА-РЧР-АЕ-Л (2 сем.)(рм2 семл ч.ез.)\СтФ\мр</t>
  </si>
  <si>
    <t>БА-РЧР (на англ.ез.)(рм4 сем. ч.ез.)\СтФ\мр</t>
  </si>
  <si>
    <t>БА-РЧР (на англ.ез.)(рм4 сем.)\СтФ\мр</t>
  </si>
  <si>
    <t>БА-РЧР-АЕ (4 сем.)(рм4 сем. ч.ез.)\СтФ\мр</t>
  </si>
  <si>
    <t>БА-РЧР-АЕ-4Л (4 сем)(рм4 сем.л ч.ез.)\СтФ\мр</t>
  </si>
  <si>
    <t>БА-СУ (2 сем.)(рм2 сем)\СтФ\мр</t>
  </si>
  <si>
    <t>БА-СУ(рм2 сем)\СтФ\мр</t>
  </si>
  <si>
    <t>БА-СУ-Н(рмнс)\СтФ\мр</t>
  </si>
  <si>
    <t>БА-СУ (на англ.ез.)(рм2 сем ч.ез.)\СтФ\мр</t>
  </si>
  <si>
    <t>БА-СУ (на англ.ез.)(рм2 сем)\СтФ\мр</t>
  </si>
  <si>
    <t>БА-СУ-А-Л(рм2 семл ч.ез.)\СтФ\мр</t>
  </si>
  <si>
    <t>БА-СУ-АЕ (2 сем.)(рм2 сем ч.ез.)\СтФ\мр</t>
  </si>
  <si>
    <t>БА-СУ-АЕ-Л (2 сем.)(рм2 семл ч.ез.)\СтФ\мр</t>
  </si>
  <si>
    <t>БА-СУ (на англ.ез.)(рм4 сем. ч.ез.)\СтФ\мр</t>
  </si>
  <si>
    <t>БА-СУ (на англ.ез.)(рм4 сем.)\СтФ\мр</t>
  </si>
  <si>
    <t>БА-СУ-АЕ (4 сем.)(рм4 сем. ч.ез.)\СтФ\мр</t>
  </si>
  <si>
    <t>БА-СУ-АЕ-Л (4 сем.)(рм4 сем.л ч.ез.)\СтФ\мр</t>
  </si>
  <si>
    <t>БИ - неикономисти(рмнс)\СтФ\мр</t>
  </si>
  <si>
    <t>Бизнес икономика(рм2 сем)\СтФ\мр</t>
  </si>
  <si>
    <t>БМИ(м)\ФМИ\мр</t>
  </si>
  <si>
    <t>БМИ(рм)\ФМИ\мр</t>
  </si>
  <si>
    <t>БМИ(рмс)\ФМИ\мр</t>
  </si>
  <si>
    <t>БМИ(рмнс)\ФМИ\мр</t>
  </si>
  <si>
    <t>ББ(рм)\БФ\мр</t>
  </si>
  <si>
    <t>ББП(рм)\БФ\мр</t>
  </si>
  <si>
    <t>БЗБ(рм)\БФ\мр</t>
  </si>
  <si>
    <t>Б(рб)\БФ\бр</t>
  </si>
  <si>
    <t>Б(зб)\БФ\бз</t>
  </si>
  <si>
    <t>БАЕ(рб)\БФ\бр</t>
  </si>
  <si>
    <t>БиХ(рб)\БФ\бр</t>
  </si>
  <si>
    <t>БР(рм)\БФ\мр</t>
  </si>
  <si>
    <t>БУР(рб)\БФ\бр</t>
  </si>
  <si>
    <t>БТ(рб)\БФ\бр</t>
  </si>
  <si>
    <t>БТ(зб)\БФ\бз</t>
  </si>
  <si>
    <t>БФ(рм)\БФ\мр</t>
  </si>
  <si>
    <t>БХ(рм)\БФ\мр</t>
  </si>
  <si>
    <t>БХн.сп.(рмнсл)\БФ\мр</t>
  </si>
  <si>
    <t>БХАЕ(рм ч.ез.)\БФ\мр</t>
  </si>
  <si>
    <t>БХАЕ(рмс)\БФ\мр</t>
  </si>
  <si>
    <t>БИ_спец(рм2 сем)\ФКНФ\мр</t>
  </si>
  <si>
    <t>БИ_неспец(рм3 сем.)\ФКНФ\мр</t>
  </si>
  <si>
    <t>БИ: ОКАС(рмнс)\ФКНФ\мр</t>
  </si>
  <si>
    <t>БИ: ОКАС(рмс)\ФКНФ\мр</t>
  </si>
  <si>
    <t>Б(рм)\БФ\мр</t>
  </si>
  <si>
    <t>БВР(рм)\БФ\мр</t>
  </si>
  <si>
    <t>БВР(рм3 сем.)\БФ\мр</t>
  </si>
  <si>
    <t>БВРмпзо(зм)\БФ\мз</t>
  </si>
  <si>
    <t>БАЛ(рм)\ФКНФ\мр</t>
  </si>
  <si>
    <t>БФ(рб)\ФСлФ\бр</t>
  </si>
  <si>
    <t>БФ(зб)\ФСлФ\бз</t>
  </si>
  <si>
    <t>БФ(рм)\ФСлФ\мр</t>
  </si>
  <si>
    <t>БФ(зм)\ФСлФ\мз</t>
  </si>
  <si>
    <t>БСВ(рм)\ИФ\мр</t>
  </si>
  <si>
    <t>БиБ(рмс)\ИФ\мр</t>
  </si>
  <si>
    <t>БСВ(рмнс)\ИФ\мр</t>
  </si>
  <si>
    <t>БиБ(рмнс)\ИФ\мр</t>
  </si>
  <si>
    <t>БСВ(зм)\ИФ\мз</t>
  </si>
  <si>
    <t>БиБ(змс)\ИФ\мз</t>
  </si>
  <si>
    <t>БСВ(змнс)\ИФ\мз</t>
  </si>
  <si>
    <t>БиБ(змнс)\ИФ\мз</t>
  </si>
  <si>
    <t>Бълг. средновековие(рмнс)\ИФ\мр</t>
  </si>
  <si>
    <t>БСр(змнс)\ИФ\мз</t>
  </si>
  <si>
    <t>БСр(рмс)\ИФ\мр</t>
  </si>
  <si>
    <t>БСр(змс)\ИФ\мз</t>
  </si>
  <si>
    <t>ВС(рм)\ФМИ\мр</t>
  </si>
  <si>
    <t>ВС(рмл)\ФМИ\мр</t>
  </si>
  <si>
    <t>В&amp;С(рмнс)\ФМИ\мр</t>
  </si>
  <si>
    <t>В&amp;С\ФМИ\мр</t>
  </si>
  <si>
    <t>В&amp;С(рмс)\ФМИ\мр</t>
  </si>
  <si>
    <t>ВАС(рмс)\ФМИ\мр</t>
  </si>
  <si>
    <t>ВАС(рмнс)\ФМИ\мр</t>
  </si>
  <si>
    <t>ВАС-на англ.(зм ч.ез.)\ФМИ\мз</t>
  </si>
  <si>
    <t>ВАС-на англ.(зм)\ФМИ\мз</t>
  </si>
  <si>
    <t>ВИОП(рм2 сем)\ФНОИ\мр</t>
  </si>
  <si>
    <t>ВК(рм)\ФФ\мр</t>
  </si>
  <si>
    <t>ВК(рмл)\ФФ\мр</t>
  </si>
  <si>
    <t>ВСТТ(зм3 сем.)\ФНОИ\мз</t>
  </si>
  <si>
    <t>В(рм)\БФ\мр</t>
  </si>
  <si>
    <t>Вирусология(зм)\БФ\мз</t>
  </si>
  <si>
    <t>ВПИ(рм4 сем. ч.ез.)\ФМИ\мр</t>
  </si>
  <si>
    <t>ВО(рб)\ФЖМК\бр</t>
  </si>
  <si>
    <t>ВО(зб)\ФЖМК\бз</t>
  </si>
  <si>
    <t>ВО(рм2 сем)\ФЖМК\мр</t>
  </si>
  <si>
    <t>ВО(зм3 сем.)\ФЖМК\мз</t>
  </si>
  <si>
    <t>ВиП(рм)\ИФ\мр</t>
  </si>
  <si>
    <t>ВиП(рмс)\ИФ\мр</t>
  </si>
  <si>
    <t>Възраждане и памет(рмнс)\ИФ\мр</t>
  </si>
  <si>
    <t>ВП(змнс)\ИФ\мз</t>
  </si>
  <si>
    <t>ВиП(зм)\ИФ\мз</t>
  </si>
  <si>
    <t>ВиП 2 сем.(рмнс)\ИФ\мр</t>
  </si>
  <si>
    <t>ВиП 2 сем.(рмс)\ИФ\мр</t>
  </si>
  <si>
    <t>ВиП 2 сем.(змнс)\ИФ\мз</t>
  </si>
  <si>
    <t>ВиП 2 сем.(змс)\ИФ\мз</t>
  </si>
  <si>
    <t>ВПЖ(рм)\ФЖМК\мр</t>
  </si>
  <si>
    <t>ВП(зм3 сем.)\ФЖМК\мз</t>
  </si>
  <si>
    <t>ВЖМПро2(рм2 сем)\БсФ\мр</t>
  </si>
  <si>
    <t>ВЖМП(рм4 сем.)\БсФ\мр</t>
  </si>
  <si>
    <t>ВЖ2МПзо(зм2 сем)\БсФ\мз</t>
  </si>
  <si>
    <t>ВЖМП(зм4 сем.)\БсФ\мз</t>
  </si>
  <si>
    <t>Геймификация в БПНпС(рм2 сем)\СтФ\мр</t>
  </si>
  <si>
    <t>Геймификация в БПНпС(рмнс)\СтФ\мр</t>
  </si>
  <si>
    <t>ГМмп(рм)\ГГФ\мр</t>
  </si>
  <si>
    <t>Г(рм)\БФ\мр</t>
  </si>
  <si>
    <t>Генетика (рм)\БФ\мр</t>
  </si>
  <si>
    <t>ГиГ(рм)\БФ\мр</t>
  </si>
  <si>
    <t>ГиГ ЗО(зм)\БФ\мз</t>
  </si>
  <si>
    <t>ГиГА(рмнсл ч.ез.)\БФ\мр</t>
  </si>
  <si>
    <t>ГиГА(рмнсл)\БФ\мр</t>
  </si>
  <si>
    <t>ГиГНСп(рмнсл)\БФ\мр</t>
  </si>
  <si>
    <t>ГИГАЕ(рм ч.ез.)\БФ\мр</t>
  </si>
  <si>
    <t>ГИГАЕ(рмс)\БФ\мр</t>
  </si>
  <si>
    <t>ГКлИнж(рм)\БФ\мр</t>
  </si>
  <si>
    <t>ГКИ з.о.(зм)\БФ\мз</t>
  </si>
  <si>
    <t>ГКИнсп(рмнсл)\БФ\мр</t>
  </si>
  <si>
    <t>Г(рб)\ГГФ\бр</t>
  </si>
  <si>
    <t>Г(зб)\ГГФ\бз</t>
  </si>
  <si>
    <t>География(рм-97)\ГГФ\мр</t>
  </si>
  <si>
    <t>ГАЕ(рб)\ГГФ\бр</t>
  </si>
  <si>
    <t>ГБ(рб)\БФ\бр</t>
  </si>
  <si>
    <t>ГБ(зб)\БФ\бз</t>
  </si>
  <si>
    <t>ГИСК(рм)\ГГФ\мр</t>
  </si>
  <si>
    <t>ГИСК(зм)\ГГФ\мз</t>
  </si>
  <si>
    <t>ГИСК(рм2 сем)\ГГФ\мр</t>
  </si>
  <si>
    <t>ГИСК(зм2 сем)\ГГФ\мз</t>
  </si>
  <si>
    <t>ГИСК(рмнс)\ГГФ\мр</t>
  </si>
  <si>
    <t>ГИСК(рмнсл)\ГГФ\мр</t>
  </si>
  <si>
    <t>ГИСК(змнс)\ГГФ\мз</t>
  </si>
  <si>
    <t>ГИСК(змнсл)\ГГФ\мз</t>
  </si>
  <si>
    <t>ГО(рм)\ГГФ\мр</t>
  </si>
  <si>
    <t>ГО(зм)\ГГФ\мз</t>
  </si>
  <si>
    <t>ГО(змс)\ГГФ\мз</t>
  </si>
  <si>
    <t>Геол(рб)\ГГФ\бр</t>
  </si>
  <si>
    <t>ГПмп(рм)\ГГФ\мр</t>
  </si>
  <si>
    <t>ГеолППР (рб)(рб)\ГГФ\бр</t>
  </si>
  <si>
    <t>ГМ(рм)\ГГФ\мр</t>
  </si>
  <si>
    <t>ГМ/ 2 сем.(рм2 сем)\ГГФ\мр</t>
  </si>
  <si>
    <t>ГМ(змнсл)\ГГФ\мз</t>
  </si>
  <si>
    <t>Гмф(зм)\ГГФ\мз</t>
  </si>
  <si>
    <t>ГМ/ 3 сем.(зм3 сем.)\ГГФ\мз</t>
  </si>
  <si>
    <t>Геом(зм3с.)(зм3 сем.)\ГГФ\мз</t>
  </si>
  <si>
    <t>ГПСТ(рб)\ГГФ\бр</t>
  </si>
  <si>
    <t>Г(рм)\ФзФ\мр</t>
  </si>
  <si>
    <t>ГФ(рм3 сем.)\ФзФ\мр</t>
  </si>
  <si>
    <t>ГФ(зм3 сем.)\ФзФ\мз</t>
  </si>
  <si>
    <t>ГФмп(зм)\ФзФ\мз</t>
  </si>
  <si>
    <t>ГФ(рм2 сем)\ФзФ\мр</t>
  </si>
  <si>
    <t>Геофизика(рм2 сем)\ФзФ\мр</t>
  </si>
  <si>
    <t>ГЕОФИЗИКА(зм2 сем)\ФзФ\мз</t>
  </si>
  <si>
    <t>Геофизика(зм2 сем)\ФзФ\мз</t>
  </si>
  <si>
    <t>ГФ(рм4 сем.)\ФзФ\мр</t>
  </si>
  <si>
    <t>ГХмп(рм)\ГГФ\мр</t>
  </si>
  <si>
    <t>ГХнс(рм)(рм5 сем.)\ГГФ\мр</t>
  </si>
  <si>
    <t>ГИ(рм)\СтФ\мр</t>
  </si>
  <si>
    <t>ГИ(рм4 сем.)\СтФ\мр</t>
  </si>
  <si>
    <t>Г(рм)\ФФ\мр</t>
  </si>
  <si>
    <t>Глобалистика(рмл)\ФФ\мр</t>
  </si>
  <si>
    <t>ГИ(рм)\ФФ\мр</t>
  </si>
  <si>
    <t>Градски изследвания(рм)\ФФ\мр</t>
  </si>
  <si>
    <t>ГРАО(рм)\ГГФ\мр</t>
  </si>
  <si>
    <t>ГРиАО(рм)\ГГФ\мр</t>
  </si>
  <si>
    <t>ГРАО(зм)\ГГФ\мз</t>
  </si>
  <si>
    <t>ГрОбрОбИстЦив(рм)\ИФ\мр</t>
  </si>
  <si>
    <t>ГрОбрОбИстЦив(зм)\ИФ\мз</t>
  </si>
  <si>
    <t>Графдизайн(рб)\ФНОИ\бр</t>
  </si>
  <si>
    <t>ГрД(рм2 сем)\ФНОИ\мр</t>
  </si>
  <si>
    <t>ГД3(рм3 сем.)\ФНОИ\мр</t>
  </si>
  <si>
    <t>ДЮп(рм)\ФФ\мр</t>
  </si>
  <si>
    <t>ДЮУП(рмс)\ФФ\мр</t>
  </si>
  <si>
    <t>ДЮУП(рмнс)\ФФ\мр</t>
  </si>
  <si>
    <t>Дтткнр(рм)\ФНОИ\мр</t>
  </si>
  <si>
    <t>Дтткнр(зм)\ФНОИ\мз</t>
  </si>
  <si>
    <t>Дигитален МГ/несп/(рмнс)\СтФ\мр</t>
  </si>
  <si>
    <t>Дигитален Мг /несп./(рмнс)\СтФ\мр</t>
  </si>
  <si>
    <t>Дигитален маркетинг(рм2 сем)\СтФ\мр</t>
  </si>
  <si>
    <t>Дигитален маркетинг(рм4 сем.)\СтФ\мр</t>
  </si>
  <si>
    <t>ДМТ - 2 задочно(зм2 сем)\СтФ\мз</t>
  </si>
  <si>
    <t>ДМТ - задочно 2 сем.(зм2 сем)\СтФ\мз</t>
  </si>
  <si>
    <t>ДМТ-ЗО-Н (2 сем.)(змнс)\СтФ\мз</t>
  </si>
  <si>
    <t>ДМТ-Н-2 задочна(змнс)\СтФ\мз</t>
  </si>
  <si>
    <t>ДТЗБ(рм2 сем)\СтФ\мр</t>
  </si>
  <si>
    <t>DH(рм ч.ез.)\ИФ\мр</t>
  </si>
  <si>
    <t>ДигКомпЧЕОан(рм2 сем ч.ез.)\ФКНФ\мр</t>
  </si>
  <si>
    <t>ДигКомпЧЕОан(рм2 семл ч.ез.)\ФКНФ\мр</t>
  </si>
  <si>
    <t>ДигКомпЧЕОнем(рм2 сем ч.ез.)\ФКНФ\мр</t>
  </si>
  <si>
    <t>ДигКомпЧЕОнем(рм2 семл)\ФКНФ\мр</t>
  </si>
  <si>
    <t>ДМВ(зм)\ФЖМК\мз</t>
  </si>
  <si>
    <t>ДМК(рм ч.ез.)\ФЖМК\мр</t>
  </si>
  <si>
    <t>ДДУ(рм2 сем)\ФП\мр</t>
  </si>
  <si>
    <t>ДДУ(зм2 сем)\ФП\мз</t>
  </si>
  <si>
    <t>Дизайн за дигитално (зм2 семл)\ФП\мз</t>
  </si>
  <si>
    <t>ДДУ-АЕ(зм2 сем ч.ез.)\ФП\мз</t>
  </si>
  <si>
    <t>ДСиГ(рм)\ФМИ\мр</t>
  </si>
  <si>
    <t>ДСиТЧ - летен прием(рмл)\ФМИ\мр</t>
  </si>
  <si>
    <t>ДСиТЧ(рм)\ФМИ\мр</t>
  </si>
  <si>
    <t>ДиР(рмс)\ИФ\мр</t>
  </si>
  <si>
    <t>ДРБ(рм)\ИФ\мр</t>
  </si>
  <si>
    <t>ДАС(рм)\ФМИ\мр</t>
  </si>
  <si>
    <t>ДСХТ(рм)\ФХФ\мр</t>
  </si>
  <si>
    <t>ДСХТ(рм3 сем.)\ФХФ\мр</t>
  </si>
  <si>
    <t>ДСХТ (рм)(рм)\ФХФ\мр</t>
  </si>
  <si>
    <t>ДАМ(рмс)\ИФ\мр</t>
  </si>
  <si>
    <t>ДАМ(змс)\ИФ\мз</t>
  </si>
  <si>
    <t>ДАМ(рмнс)\ИФ\мр</t>
  </si>
  <si>
    <t>ДАМ(змнс)\ИФ\мз</t>
  </si>
  <si>
    <t>ДАР(рмнс)\ИФ\мр</t>
  </si>
  <si>
    <t>ДАР(рмс)\ИФ\мр</t>
  </si>
  <si>
    <t>Е-Европа(рм)\ФФ\мр</t>
  </si>
  <si>
    <t>Е-Е(рм2 сем)\ФФ\мр</t>
  </si>
  <si>
    <t>ЕРИЕ(рм)\ИФ\мр</t>
  </si>
  <si>
    <t>ИЕРИЕ(рмс)\ИФ\мр</t>
  </si>
  <si>
    <t>ИЕРИЕ~(рмс)\ИФ\мр</t>
  </si>
  <si>
    <t>Е&amp;А:КДГнаЕС(рм ч.ез.)\ФКНФ\мр</t>
  </si>
  <si>
    <t>Е&amp;А:КДГнаЕС(рмл ч.ез.)\ФКНФ\мр</t>
  </si>
  <si>
    <t>Евр.(рб)\ФФ\бр</t>
  </si>
  <si>
    <t>ЕСН(зм)\ФФ\мз</t>
  </si>
  <si>
    <t>ЕИ(рм)\ФФ\мр</t>
  </si>
  <si>
    <t>ЕИ(рмл)\ФФ\мр</t>
  </si>
  <si>
    <t>ЕИиД(рм)\ФФ\мр</t>
  </si>
  <si>
    <t>ЕИДЕС(рм2 сем)\ФФ\мр</t>
  </si>
  <si>
    <t>ЕИДЕСл(рм2 семл)\ФФ\мр</t>
  </si>
  <si>
    <t>ЕПА(рм)\ФФ\мр</t>
  </si>
  <si>
    <t>ЕПА(зм)\ФФ\мз</t>
  </si>
  <si>
    <t>ЕПА(рм2 сем)\ФФ\мр</t>
  </si>
  <si>
    <t>ЕЮ - 2 сем(рмс)\ИФ\мр</t>
  </si>
  <si>
    <t>ЕЮ(рмсл)\ИФ\мр</t>
  </si>
  <si>
    <t>ЕЮ(змсл)\ИФ\мз</t>
  </si>
  <si>
    <t>ЕЮ(рмс)\ИФ\мр</t>
  </si>
  <si>
    <t>ЕЮи(рм)\ИФ\мр</t>
  </si>
  <si>
    <t>ЕЮ - межд. прогр.(рмс)\ИФ\мр</t>
  </si>
  <si>
    <t>ЕЮ-межд.прогр. (рмнс)\ИФ\мр</t>
  </si>
  <si>
    <t>ЕЮ-межд.прогр.~(рмнс)\ИФ\мр</t>
  </si>
  <si>
    <t>Европейски Югоизток (рмнс)\ИФ\мр</t>
  </si>
  <si>
    <t>ЕЮ(зм)\ИФ\мз</t>
  </si>
  <si>
    <t>ЕЮ(змс)\ИФ\мз</t>
  </si>
  <si>
    <t>ЕЮ~(змс)\ИФ\мз</t>
  </si>
  <si>
    <t>ЕЮ(рмнс)\ИФ\мр</t>
  </si>
  <si>
    <t>ЕЮ(рмнсл)\ИФ\мр</t>
  </si>
  <si>
    <t>ЕЮ(змнс)\ИФ\мз</t>
  </si>
  <si>
    <t>ЕЮ(змнсл)\ИФ\мз</t>
  </si>
  <si>
    <t>ЕИз(рм)\ФФ\мр</t>
  </si>
  <si>
    <t>ЕО(рм3 сем.)\ЮФ\мр</t>
  </si>
  <si>
    <t>ЕО(рм3 сем.л)\ЮФ\мр</t>
  </si>
  <si>
    <t>ЕО(рм4 сем.)\ЮФ\мр</t>
  </si>
  <si>
    <t>Европейски проекти(рм)\ФФ\мр</t>
  </si>
  <si>
    <t>ЕП(рмл)\ФФ\мр</t>
  </si>
  <si>
    <t>Европейски проекти(рм2 сем)\ФФ\мр</t>
  </si>
  <si>
    <t>ЕС&amp;ЕИ(рб ч.ез.)\ФКНФ\бр</t>
  </si>
  <si>
    <t>ЕС&amp;ЕИ(рб)\ФКНФ\бр</t>
  </si>
  <si>
    <t>ЕзКуПр(рм)\ФКНФ\мр</t>
  </si>
  <si>
    <t>ЕКП(нфске)(рм)\ФКНФ\мр</t>
  </si>
  <si>
    <t>ЕиК-Англ(р\ФКНФ\мр</t>
  </si>
  <si>
    <t>ЕиК-Англ(рм)\ФКНФ\мр</t>
  </si>
  <si>
    <t>ЕиК-Англ(рмл)\ФКНФ\мр</t>
  </si>
  <si>
    <t>ЕиК-Англ(рмнс ч.ез.)\ФКНФ\мр</t>
  </si>
  <si>
    <t>ЕиК-Англ(рмнс)\ФКНФ\мр</t>
  </si>
  <si>
    <t>ЕиК-Англ(рмнсл)\ФКНФ\мр</t>
  </si>
  <si>
    <t>ЕиК-Англ(рмс ч.ез.)\ФКНФ\мр</t>
  </si>
  <si>
    <t>ЕиК-Англ(рмс)\ФКНФ\мр</t>
  </si>
  <si>
    <t>ЕКП(рм)\ФСлФ\мр</t>
  </si>
  <si>
    <t>ЕИК/несп(рмнс)\ФСлФ\мр</t>
  </si>
  <si>
    <t>АФ ЕО(рм)\ФКНФ\мр</t>
  </si>
  <si>
    <t>ЕЕН(рм)\ФКНФ\мр</t>
  </si>
  <si>
    <t>ЕКП(рм)\ФКНФ\мр</t>
  </si>
  <si>
    <t>ЕКП(рм2 сем)\ФКНФ\мр</t>
  </si>
  <si>
    <t>ЕКП(рм2 сем)\ФСлФ\мр</t>
  </si>
  <si>
    <t>ЕКПмп(рмнс)\ФСлФ\мр</t>
  </si>
  <si>
    <t>ЕП(рм)\ФКНФ\мр</t>
  </si>
  <si>
    <t>ЕБТ(рм)\БФ\мр</t>
  </si>
  <si>
    <t>Е(рм)\БФ\мр</t>
  </si>
  <si>
    <t>ЕКО(рмнсл)\БФ\мр</t>
  </si>
  <si>
    <t>Е(зм)\БФ\мз</t>
  </si>
  <si>
    <t>ЕООС(рб)\БФ\бр</t>
  </si>
  <si>
    <t>ЕООС(зб)\БФ\бз</t>
  </si>
  <si>
    <t>ЕММ(зм)\БФ\мз</t>
  </si>
  <si>
    <t>ЕМ(змл)\БФ\мз</t>
  </si>
  <si>
    <t>Е(зм)\ГГФ\мз</t>
  </si>
  <si>
    <t>ЕХ(рб)\ФХФ\бр</t>
  </si>
  <si>
    <t>ЕкоХ(рм)\ФХФ\мр</t>
  </si>
  <si>
    <t>ЕкоХ(зм)\ФХФ\мз</t>
  </si>
  <si>
    <t>ЕХ(р)(рм)\ФХФ\мр</t>
  </si>
  <si>
    <t>ЕХ(з)(зм)\ФХФ\мз</t>
  </si>
  <si>
    <t>ЕБ(м)\ФМИ\мр</t>
  </si>
  <si>
    <t>ЕБ(рм)\ФМИ\мр</t>
  </si>
  <si>
    <t>ЕлБи(рм)\ФМИ\мр</t>
  </si>
  <si>
    <t>ЕБ на англ.ез.-летен(рмл ч.ез.)\ФМИ\мр</t>
  </si>
  <si>
    <t>ЕБ на англ. ез.(рм ч.ез.)\ФМИ\мр</t>
  </si>
  <si>
    <t>ЕБ на англ. ез.(рм)\ФМИ\мр</t>
  </si>
  <si>
    <t>ЕБиЕУ(рм)\ФМИ\мр</t>
  </si>
  <si>
    <t>ЕМ(рм2 сем)\ФЖМК\мр</t>
  </si>
  <si>
    <t>ЕМ(зм)\ФЖМК\мз</t>
  </si>
  <si>
    <t>ЕМ(зм2 сем)\ФЖМК\мз</t>
  </si>
  <si>
    <t>ЕО(рм)\ФМИ\мр</t>
  </si>
  <si>
    <t>ЕлОб(рмс)\ФМИ\мр</t>
  </si>
  <si>
    <t>ЕО(зм)\ФМИ\мз</t>
  </si>
  <si>
    <t>ЕлОб(змнс)\ФМИ\мз</t>
  </si>
  <si>
    <t>ЕлОб(змс)\ФМИ\мз</t>
  </si>
  <si>
    <t>ЕО(рмс)\ФМИ\мр</t>
  </si>
  <si>
    <t>ЕлОб сп.\ФМИ\мр</t>
  </si>
  <si>
    <t>ЕО(рмнс)\ФМИ\мр</t>
  </si>
  <si>
    <t>ЕлОб несп.\ФМИ\мр</t>
  </si>
  <si>
    <t>ЕлОб(рмнс)\ФМИ\мр</t>
  </si>
  <si>
    <t>ЕПУ-ЗО 2 сем.(зм2 сем)\СтФ\мз</t>
  </si>
  <si>
    <t>ЕПУ-ЗО неиконом.(змнс)\СтФ\мз</t>
  </si>
  <si>
    <t>Енергийни пазари Усл(зм2 сем)\СтФ\мз</t>
  </si>
  <si>
    <t>Енергийни пазари и у(змнс)\СтФ\мз</t>
  </si>
  <si>
    <t>Ент(рм)\БФ\мр</t>
  </si>
  <si>
    <t>ЕргтерДВНром(рм)\ФНОИ\мр</t>
  </si>
  <si>
    <t>ЕргтерДВНром(рм3 сем.)\ФНОИ\мр</t>
  </si>
  <si>
    <t>ЕргтерДВНзом(зм)\ФНОИ\мз</t>
  </si>
  <si>
    <t>ЕргтерДВНзом(зм3 сем.)\ФНОИ\мз</t>
  </si>
  <si>
    <t>ЕргДВ2сем(рм2 сем)\ФНОИ\мр</t>
  </si>
  <si>
    <t>ЕргДВзад2(зм2 сем)\ФНОИ\мз</t>
  </si>
  <si>
    <t>Етн(рб)\ИФ\бр</t>
  </si>
  <si>
    <t>Етн(рм)\ИФ\мр</t>
  </si>
  <si>
    <t>ЕКА(рб)\ИФ\бр</t>
  </si>
  <si>
    <t>ЕКА(рмс)\ИФ\мр</t>
  </si>
  <si>
    <t>ЕКА(рмнс)\ИФ\мр</t>
  </si>
  <si>
    <t>ЕКА-2сем(рм2 сем)\ИФ\мр</t>
  </si>
  <si>
    <t>ЕКА(рм2 сем)\ИФ\мр</t>
  </si>
  <si>
    <t>ЕКА-4сем(рм4 сем.)\ИФ\мр</t>
  </si>
  <si>
    <t>ЖЕвО(рм2 сем)\ФНОИ\мр</t>
  </si>
  <si>
    <t>Ж(рб)\ФЖМК\бр</t>
  </si>
  <si>
    <t>Ж(зб)\ФЖМК\бз</t>
  </si>
  <si>
    <t>Ж(рм)\ФЖМК\мр</t>
  </si>
  <si>
    <t>Ж(зм4 сем.)\ФЖМК\мз</t>
  </si>
  <si>
    <t>Ж(зм)\ФЖМК\мз</t>
  </si>
  <si>
    <t>ЖМ(зм)\ФЖМК\мз</t>
  </si>
  <si>
    <t>ЖМмп(зм)\ФЖМК\мз</t>
  </si>
  <si>
    <t>ЗащДАР(рмл)\ИФ\мр</t>
  </si>
  <si>
    <t>Защита на документ.(рмс)\ИФ\мр</t>
  </si>
  <si>
    <t>ЗащДАР(змсл)\ИФ\мз</t>
  </si>
  <si>
    <t>Защита на документ.(змс)\ИФ\мз</t>
  </si>
  <si>
    <t>ЗащДАР(рмнсл)\ИФ\мр</t>
  </si>
  <si>
    <t>ЗащДАР(змнс)\ИФ\мз</t>
  </si>
  <si>
    <t>ЗащДАР(змнсл)\ИФ\мз</t>
  </si>
  <si>
    <t>Защита на докум. (рмнс)\ИФ\мр</t>
  </si>
  <si>
    <t>ЗИКСМ(рм)\ФМИ\мр</t>
  </si>
  <si>
    <t>ЗИКСМ(рмл)\ФМИ\мр</t>
  </si>
  <si>
    <t>ЗИвКСМ(рм)\ФМИ\мр</t>
  </si>
  <si>
    <t>Защита на инф.(рм)\ФМИ\мр</t>
  </si>
  <si>
    <t>ЗОП(рм)\ЮФ\мр</t>
  </si>
  <si>
    <t>Зоол(рм)\БФ\мр</t>
  </si>
  <si>
    <t>ИКТ в обр.(дистанц.)(дм2 сем)\ФП\мд</t>
  </si>
  <si>
    <t>ИА(рм)\ФКНФ\мр</t>
  </si>
  <si>
    <t>ИбАм(рм)\ФКНФ\мр</t>
  </si>
  <si>
    <t>ИбероАм(рм)\ФКНФ\мр</t>
  </si>
  <si>
    <t>ИбероАм(рмнсл)\ФКНФ\мр</t>
  </si>
  <si>
    <t>ИИОЗ(рм)\ФМИ\мр</t>
  </si>
  <si>
    <t>Извори и традиция(зм4 сем.)\БсФ\мз</t>
  </si>
  <si>
    <t>Извори и традиция(змнс)\БсФ\мз</t>
  </si>
  <si>
    <t>Извори и традиция/р/(рм2 сем)\БсФ\мр</t>
  </si>
  <si>
    <t>Извори 2 сем/задочно(зм2 сем)\БсФ\мз</t>
  </si>
  <si>
    <t>ИС(рм)\ФФ\мр</t>
  </si>
  <si>
    <t>ИзкС(рмл)\ФФ\мр</t>
  </si>
  <si>
    <t>ИИ спец(м)\ФМИ\мр</t>
  </si>
  <si>
    <t>ИИ(рм)\ФМИ\мр</t>
  </si>
  <si>
    <t>ИИ(рмс)\ФМИ\мр</t>
  </si>
  <si>
    <t>ИИ несп(м)\ФМИ\мр</t>
  </si>
  <si>
    <t>ИИ(м)\ФМИ\мр</t>
  </si>
  <si>
    <t>ИИ(рмнс)\ФМИ\мр</t>
  </si>
  <si>
    <t>Изкуствен интелект (рм2 сем)\СтФ\мр</t>
  </si>
  <si>
    <t>ИИБФ - 4 сем.(рм4 сем.)\СтФ\мр</t>
  </si>
  <si>
    <t>ИКУВ(змнсл)\ГГФ\мз</t>
  </si>
  <si>
    <t>ИКУВ(рмс)\ГГФ\мр</t>
  </si>
  <si>
    <t>ИКУВ(рмнс)\ГГФ\мр</t>
  </si>
  <si>
    <t>ИКУВ(рмнсл)\ГГФ\мр</t>
  </si>
  <si>
    <t>ИКУВ(змс)\ГГФ\мз</t>
  </si>
  <si>
    <t>ИКУВ(рм4 сем.л)\ГГФ\мр</t>
  </si>
  <si>
    <t>ИКУВ(змнс)\ГГФ\мз</t>
  </si>
  <si>
    <t>ПОИИз(рб)\ФНОИ\бр</t>
  </si>
  <si>
    <t>ИАК(рм)\ФКНФ\мр</t>
  </si>
  <si>
    <t>ИИнф(рмнс)\ФМИ\мр</t>
  </si>
  <si>
    <t>ИИнф(рмс)\ФМИ\мр</t>
  </si>
  <si>
    <t>ИзИн несп\ФМИ\мр</t>
  </si>
  <si>
    <t>ИзчИнф сп.\ФМИ\мр</t>
  </si>
  <si>
    <t>ИзчИнф(рм)\ФМИ\мр</t>
  </si>
  <si>
    <t>ИзчИнф(рмс)\ФМИ\мр</t>
  </si>
  <si>
    <t>ИМ сп.\ФМИ\мр</t>
  </si>
  <si>
    <t>ИМ(рмнс)\ФМИ\мр</t>
  </si>
  <si>
    <t>ИзчМ(м)\ФМИ\мр</t>
  </si>
  <si>
    <t>ИзчМ(рм)\ФМИ\мр</t>
  </si>
  <si>
    <t>ИМиММ(рм)\ФМИ\мр</t>
  </si>
  <si>
    <t>ИзХ(рм)\ФХФ\мр</t>
  </si>
  <si>
    <t>ИХ(рм)\ФХФ\мр</t>
  </si>
  <si>
    <t>И(рб)\СтФ\бр</t>
  </si>
  <si>
    <t>ИкФ(рб)\СтФ\бр</t>
  </si>
  <si>
    <t>И(рм)\СтФ\мр</t>
  </si>
  <si>
    <t>ИМТИН(рм5 сем.)\СтФ\мр</t>
  </si>
  <si>
    <t>Иконом. и право неик(рмнс)\СтФ\мр</t>
  </si>
  <si>
    <t>Икономика и право Л(рм2 семл)\СтФ\мр</t>
  </si>
  <si>
    <t>Икономика и право(рм2 сем)\СтФ\мр</t>
  </si>
  <si>
    <t>Икономика и право(рм2 семл)\СтФ\мр</t>
  </si>
  <si>
    <t>Икономика и право(рмнс)\СтФ\мр</t>
  </si>
  <si>
    <t>ИУЕИКУ(рм2\СтФ\мр</t>
  </si>
  <si>
    <t>ИУЕИКУ(рм2 сем)\СтФ\мр</t>
  </si>
  <si>
    <t>ИУЕИКУ(рм4 сем.)\СтФ\мр</t>
  </si>
  <si>
    <t>ИУЕИКУ-ПБ(рм4 сем.)\СтФ\мр</t>
  </si>
  <si>
    <t>ИЕИКУ(рм3 сем.)\СтФ\мр</t>
  </si>
  <si>
    <t>ИУЕИКУ(рм3 сем.)\СтФ\мр</t>
  </si>
  <si>
    <t>ИУЕИКУмн(рм5 сем.)\СтФ\мр</t>
  </si>
  <si>
    <t>ИУЕИКУ-ПБ(\СтФ\мр</t>
  </si>
  <si>
    <t>ИУАС(рм5 сем.)\СтФ\мр</t>
  </si>
  <si>
    <t>ИУЛВС(рм3 сем.)\СтФ\мр</t>
  </si>
  <si>
    <t>ИУЛВС/5(рм5 сем.)\СтФ\мр</t>
  </si>
  <si>
    <t>ИУОНИ(рм3 сем.)\СтФ\мр</t>
  </si>
  <si>
    <t>ИУОНИ(рм5 сем.)\СтФ\мр</t>
  </si>
  <si>
    <t>ИУПР - РО\СтФ\мр</t>
  </si>
  <si>
    <t>ИУПР-РО не\СтФ\мр</t>
  </si>
  <si>
    <t>ИУПР - ЗО (2 сем.)(зм2 сем)\СтФ\мз</t>
  </si>
  <si>
    <t>ИУПР-ЗО неиконом.(змнс)\СтФ\мз</t>
  </si>
  <si>
    <t>ИУПС(рм)\СтФ\мр</t>
  </si>
  <si>
    <t>ИУПС(рм3 сем.)\СтФ\мр</t>
  </si>
  <si>
    <t>ИУПСмп(рм5 сем.)\СтФ\мр</t>
  </si>
  <si>
    <t>ИУПСмп(рмнс)\СтФ\мр</t>
  </si>
  <si>
    <t>ИУПС(рм2 сем)\СтФ\мр</t>
  </si>
  <si>
    <t>ИУПС(рм4 сем.)\СтФ\мр</t>
  </si>
  <si>
    <t>ИУСС(рм3 сем.)\СтФ\мр</t>
  </si>
  <si>
    <t>ИУСС(рм5 сем.)\СтФ\мр</t>
  </si>
  <si>
    <t>ИУТ(рм)\СтФ\мр</t>
  </si>
  <si>
    <t>ИУТ(рм3 сем.)\СтФ\мр</t>
  </si>
  <si>
    <t>ИУТ(рм5 сем.)\СтФ\мр</t>
  </si>
  <si>
    <t>ИУТ-ПБ(рм5 сем.)\СтФ\мр</t>
  </si>
  <si>
    <t>ИУТмп(рм5 сем.)\СтФ\мр</t>
  </si>
  <si>
    <t>ИУТмп(рмнс)\СтФ\мр</t>
  </si>
  <si>
    <t>ИУТ(рм4 сем.)\СтФ\мр</t>
  </si>
  <si>
    <t>ИФ (френска)(рб)\СтФ\бр</t>
  </si>
  <si>
    <t>ИФ(френска)(рб)\СтФ\бр</t>
  </si>
  <si>
    <t>Икономика и финанси(рб)\СтФ\бр</t>
  </si>
  <si>
    <t>ИФ зимен 2 сем.(рм2 сем)\СтФ\мр</t>
  </si>
  <si>
    <t>ИФ(рм2 сем)\СтФ\мр</t>
  </si>
  <si>
    <t>ИФ(рмнс)\СтФ\мр</t>
  </si>
  <si>
    <t>ИФ(рмнсл)\СтФ\мр</t>
  </si>
  <si>
    <t>ИФ(зм2 сем)\СтФ\мз</t>
  </si>
  <si>
    <t>ИФ(зм2 семл)\СтФ\мз</t>
  </si>
  <si>
    <t>ИФ(змнс)\СтФ\мз</t>
  </si>
  <si>
    <t>ИФ(змнсл)\СтФ\мз</t>
  </si>
  <si>
    <t>ИФ-ЗО зимен(зм2 сем)\СтФ\мз</t>
  </si>
  <si>
    <t>ИФ-ЗО летен(зм2 семл)\СтФ\мз</t>
  </si>
  <si>
    <t>ИФ(рм3 сем.)\СтФ\мр</t>
  </si>
  <si>
    <t>ИФ(рм5 сем.)\СтФ\мр</t>
  </si>
  <si>
    <t>ИГмп(рмл)\ГГФ\мр</t>
  </si>
  <si>
    <t>ИИКО(рм)\ФКНФ\мр</t>
  </si>
  <si>
    <t>ИИКОинд(рмл)\ФКНФ\мр</t>
  </si>
  <si>
    <t>ИИКОинд(рмс)\ФКНФ\мр</t>
  </si>
  <si>
    <t>ИИКОир(рм3 сем.)\ФКНФ\мр</t>
  </si>
  <si>
    <t>ИИКО(рмнс)\ФКНФ\мр</t>
  </si>
  <si>
    <t>ИИКОинд(рмнс)\ФКНФ\мр</t>
  </si>
  <si>
    <t>ИИКОир(рмс)\ФКНФ\мр</t>
  </si>
  <si>
    <t>ИИКОир(рмнс)\ФКНФ\мр</t>
  </si>
  <si>
    <t>Инд КО(рм)\ФКНФ\мр</t>
  </si>
  <si>
    <t>Инд(рб)\ФКНФ\бр</t>
  </si>
  <si>
    <t>ИБ(рм)\БФ\мр</t>
  </si>
  <si>
    <t>ИФБ(рм)\БФ\мр</t>
  </si>
  <si>
    <t>ИФ(рб)\ФзФ\бр</t>
  </si>
  <si>
    <t>ИФ(зб)\ФзФ\бз</t>
  </si>
  <si>
    <t>ИФз.о.(зб)\ФзФ\бз</t>
  </si>
  <si>
    <t>ИФ(рм)\ФзФ\мр</t>
  </si>
  <si>
    <t>ИХСМ(рб)\ФХФ\бр</t>
  </si>
  <si>
    <t>ИУФВ(зм2 сем)\ФНОИ\мз</t>
  </si>
  <si>
    <t>ИДТА - нес\СтФ\мр</t>
  </si>
  <si>
    <t>Иновации и\СтФ\мр</t>
  </si>
  <si>
    <t>ИДТА - неспец.(змнс)\СтФ\мз</t>
  </si>
  <si>
    <t>Иновации и ДТА(зм2 сем)\СтФ\мз</t>
  </si>
  <si>
    <t>ИМЗПМКМИТ(рм)\ФМИ\мр</t>
  </si>
  <si>
    <t>ИБ(рм)\ФФ\мр</t>
  </si>
  <si>
    <t>ИБЕ(рм)\ФФ\мр</t>
  </si>
  <si>
    <t>ИБЕ(рмл)\ФФ\мр</t>
  </si>
  <si>
    <t>Интелигентна аналити(рмс)\ФХФ\мр</t>
  </si>
  <si>
    <t>ИА(рм)\ФСлФ\мр</t>
  </si>
  <si>
    <t>Интерпретативна антр(рмл)\ФСлФ\мр</t>
  </si>
  <si>
    <t>Интерпретативна/несп(рм)\ФСлФ\мр</t>
  </si>
  <si>
    <t>Интерпретативна/несп(рмнс)\ФСлФ\мр</t>
  </si>
  <si>
    <t>И\ФМИ\бр</t>
  </si>
  <si>
    <t>И(рб)\ФМИ\бр</t>
  </si>
  <si>
    <t>И(рм-97)\ФМИ\мр</t>
  </si>
  <si>
    <t>И-97\ФМИ\мр</t>
  </si>
  <si>
    <t>И(рм)\ФМИ\мр</t>
  </si>
  <si>
    <t>И-маг\ФМИ\мр</t>
  </si>
  <si>
    <t>ИКТО (рм 3 сем)(рмс)\ФП\мр</t>
  </si>
  <si>
    <t>ИКТ (зм 3 сем.)(змнс)\ФП\мз</t>
  </si>
  <si>
    <t>ИКТ в образованието(зм3 сем.)\ФП\мз</t>
  </si>
  <si>
    <t>ИКТ в образованието(рм2 сем)\ФП\мр</t>
  </si>
  <si>
    <t>ИКТ в образованието(зм2 сем)\ФП\мз</t>
  </si>
  <si>
    <t>ИС(рб)\ФМИ\бр</t>
  </si>
  <si>
    <t>ИС неспец.\ФМИ\мр</t>
  </si>
  <si>
    <t>ИС(рмнс)\ФМИ\мр</t>
  </si>
  <si>
    <t>ИС-мнс\ФМИ\мр</t>
  </si>
  <si>
    <t>ИС спец.\ФМИ\мр</t>
  </si>
  <si>
    <t>ИС(мс)\ФМИ\мр</t>
  </si>
  <si>
    <t>ИС(рм)\ФМИ\мр</t>
  </si>
  <si>
    <t>ИС(рмс)\ФМИ\мр</t>
  </si>
  <si>
    <t>ИТХ(зм)\ФХФ\мз</t>
  </si>
  <si>
    <t>ИТУ(рм)\ФМИ\мр</t>
  </si>
  <si>
    <t>ИТУ(рмс)\ФМИ\мр</t>
  </si>
  <si>
    <t>ИТУ(рмнс)\ФМИ\мр</t>
  </si>
  <si>
    <t>ИТУП(рм)\ФМИ\мр</t>
  </si>
  <si>
    <t>Ирн(рб)\ФКНФ\бр</t>
  </si>
  <si>
    <t>ИспФ(рб)\ФКНФ\бр</t>
  </si>
  <si>
    <t>Прев-Ред(рм)\ФКНФ\мр</t>
  </si>
  <si>
    <t>ИспФ(рм)\ФКНФ\мр</t>
  </si>
  <si>
    <t>Историко-етн. модели(рмс)\ИФ\мр</t>
  </si>
  <si>
    <t>Ист(рб)\ИФ\бр</t>
  </si>
  <si>
    <t>Ист(зб)\ИФ\бз</t>
  </si>
  <si>
    <t>Ист(рм)\ИФ\мр</t>
  </si>
  <si>
    <t>ИиГ(рб)\ИФ\бр</t>
  </si>
  <si>
    <t>ИГПБ(рб)\ИФ\бр</t>
  </si>
  <si>
    <t>ИСРС от Изт. Азия(рмс)\ИФ\мр</t>
  </si>
  <si>
    <t>ИСРС от ИзтАзия(рм)\ИФ\мр</t>
  </si>
  <si>
    <t>ИСРС от ИзтАзия(рмс)\ИФ\мр</t>
  </si>
  <si>
    <t>ИС на Р-я, ИА и Евр.(рмнс)\ИФ\мр</t>
  </si>
  <si>
    <t>ИС на Р-я, ИА и Евр.(рмс)\ИФ\мр</t>
  </si>
  <si>
    <t>ИСФ(рмс)\ФФ\мр</t>
  </si>
  <si>
    <t>ИСФ(рмнс)\ФФ\мр</t>
  </si>
  <si>
    <t>Ист. и философия(рб)\ИФ\бр</t>
  </si>
  <si>
    <t>История и чужд език(рб)\ИФ\бр</t>
  </si>
  <si>
    <t>ИЕРИ - 2 сем(рмнс)\ИФ\мр</t>
  </si>
  <si>
    <t>ИЕРИ - 2 сем(рмс)\ИФ\мр</t>
  </si>
  <si>
    <t>ИЖП(рм4 сем.)\ФФ\мр</t>
  </si>
  <si>
    <t>ИЖПл(рм4 сем.л)\ФФ\мр</t>
  </si>
  <si>
    <t>ИстЖПсем3(\ФФ\мр</t>
  </si>
  <si>
    <t>ИстЖПсем3(рм3 сем. ч.ез.)\ФФ\мр</t>
  </si>
  <si>
    <t>ИКЧ(рм2 сем)\ФФ\мр</t>
  </si>
  <si>
    <t>ИКЧ(зм)\ФФ\мз</t>
  </si>
  <si>
    <t>ИКЧ(змл)\ФФ\мз</t>
  </si>
  <si>
    <t>ИФ(рмс)\ФФ\мр</t>
  </si>
  <si>
    <t>ИФ(рмсл)\ФФ\мр</t>
  </si>
  <si>
    <t>История на философия(рмс)\ФФ\мр</t>
  </si>
  <si>
    <t>ИФ(рмнс)\ФФ\мр</t>
  </si>
  <si>
    <t>ИФ(рмнсл)\ФФ\мр</t>
  </si>
  <si>
    <t>История на философия(рмнс)\ФФ\мр</t>
  </si>
  <si>
    <t>ИтлФ(рб)\ФКНФ\бр</t>
  </si>
  <si>
    <t>КОИМНО(зм3 сем.)\ФП\мз</t>
  </si>
  <si>
    <t>КОИМО(змнс)\ФП\мз</t>
  </si>
  <si>
    <t>КБХ(рм)\БФ\мр</t>
  </si>
  <si>
    <t>КБХ з.о.(зм)\БФ\мз</t>
  </si>
  <si>
    <t>КПРС(зм2 сем)\ФП\мз</t>
  </si>
  <si>
    <t>КПРС(зм3 сем.)\ФП\мз</t>
  </si>
  <si>
    <t>КЕЛТ(рм)\ФзФ\мр</t>
  </si>
  <si>
    <t>КЕЛТ(рм3 сем.)\ФзФ\мр</t>
  </si>
  <si>
    <t>ККТФ(рб)\ФзФ\бр</t>
  </si>
  <si>
    <t>Кв.Инф.(рм3 сем.)\ФзФ\мр</t>
  </si>
  <si>
    <t>КинНСЗ(рмнс)\ФНОИ\мр</t>
  </si>
  <si>
    <t>КинНСЗ(рм)\ФНОИ\мр</t>
  </si>
  <si>
    <t>КинНСЗ(змнс)\ФНОИ\мз</t>
  </si>
  <si>
    <t>КинНСЗ(зм)\ФНОИ\мз</t>
  </si>
  <si>
    <t>Кит(рб)\ФКНФ\бр</t>
  </si>
  <si>
    <t>КлФ(рб)\ФКНФ\бр</t>
  </si>
  <si>
    <t>КлЕзИАнтЛит(рм2 сем)\ФКНФ\мр</t>
  </si>
  <si>
    <t>КлЕзИАнтЛит(рм4 сем.)\ФКНФ\мр</t>
  </si>
  <si>
    <t>КлБиП(рм)\БФ\мр</t>
  </si>
  <si>
    <t>ККП(рм)\ФФ\мр</t>
  </si>
  <si>
    <t>КЛК+ПР(рм5 сем.)\ФФ\мр</t>
  </si>
  <si>
    <t>КП(рм3 сем.)\ФФ\мр</t>
  </si>
  <si>
    <t>КлПсих5(рм5 сем.)\ФФ\мр</t>
  </si>
  <si>
    <t>КСР(зм2 сем)\ФП\мз</t>
  </si>
  <si>
    <t>КСР(зм3 сем.)\ФП\мз</t>
  </si>
  <si>
    <t>КИ(рб)\ФЖМК\бр</t>
  </si>
  <si>
    <t>КН21(зм)\ФЖМК\мз</t>
  </si>
  <si>
    <t>Козметика и битова х(рм)\ФХФ\мр</t>
  </si>
  <si>
    <t>Козметика и битова х(зм)\ФХФ\мз</t>
  </si>
  <si>
    <t>Козметика и битова х(зм4 сем.л)\ФХФ\мз</t>
  </si>
  <si>
    <t>КССНТ(рм)\ФХФ\мр</t>
  </si>
  <si>
    <t>КССНТ(зм)\ФХФ\мз</t>
  </si>
  <si>
    <t>КГ(рм)\ФМИ\мр</t>
  </si>
  <si>
    <t>КомпГраф(рм)\ФМИ\мр</t>
  </si>
  <si>
    <t>КомпГраф(рмс)\ФМИ\мр</t>
  </si>
  <si>
    <t>КомпГраф(рмнс)\ФМИ\мр</t>
  </si>
  <si>
    <t>КомпЛингв(рм)\ФМИ\мр</t>
  </si>
  <si>
    <t>КлИт(рм)\ФСлФ\мр</t>
  </si>
  <si>
    <t>КлИтХум(зм)\ФСлФ\мз</t>
  </si>
  <si>
    <t>КХ(рб)\ФХФ\бр</t>
  </si>
  <si>
    <t>КН(рб)\ФМИ\бр</t>
  </si>
  <si>
    <t>КИ(рб)\ФзФ\бр</t>
  </si>
  <si>
    <t>КФЕ(рб)\ФзФ\бр</t>
  </si>
  <si>
    <t>КФЕ~(рб)\ФзФ\бр</t>
  </si>
  <si>
    <t>КФЕ1(рб)\ФзФ\бр</t>
  </si>
  <si>
    <t>КФЕ(рм2 сем)\ФзФ\мр</t>
  </si>
  <si>
    <t>КМ(рб)\ФЖМК\бр</t>
  </si>
  <si>
    <t>ККТ(рм3 сем.)\ФзФ\мр</t>
  </si>
  <si>
    <t>КоЕзЛиМе(рмнс ч.ез.)\ФКНФ\мр</t>
  </si>
  <si>
    <t>КоЕзЛиМе(рмнс)\ФКНФ\мр</t>
  </si>
  <si>
    <t>КоЕзЛиМе-спец(рмс ч.ез.)\ФКНФ\мр</t>
  </si>
  <si>
    <t>КоЕзЛиМе(змнс ч.ез.)\ФКНФ\мз</t>
  </si>
  <si>
    <t>КоЕзЛиМе(змнс)\ФКНФ\мз</t>
  </si>
  <si>
    <t>КоЕзЛиМе(змнсл)\ФКНФ\мз</t>
  </si>
  <si>
    <t>КоЕзЛиМе-спец(змс ч.ез.)\ФКНФ\мз</t>
  </si>
  <si>
    <t>КоЕзЛиМе(рм)\ФКНФ\мр</t>
  </si>
  <si>
    <t>КоЕзЛиМе(рмс ч.ез.)\ФКНФ\мр</t>
  </si>
  <si>
    <t>КоЕзЛиМе(рмс)\ФКНФ\мр</t>
  </si>
  <si>
    <t>КЕУЛКМГ(зм)\ФКНФ\мз</t>
  </si>
  <si>
    <t>КоЕзЛиМе(зм)\ФКНФ\мз</t>
  </si>
  <si>
    <t>КоЕзЛиМе(змс ч.ез.)\ФКНФ\мз</t>
  </si>
  <si>
    <t>КоЕзЛиМе(змс)\ФКНФ\мз</t>
  </si>
  <si>
    <t>КСППСром(рм)\ФНОИ\мр</t>
  </si>
  <si>
    <t>КСППСзом(зм)\ФНОИ\мз</t>
  </si>
  <si>
    <t>КП(рм)\ФКНФ\мр</t>
  </si>
  <si>
    <t>КП-ан(рм)\ФКНФ\мр</t>
  </si>
  <si>
    <t>КП-не(рм)\ФКНФ\мр</t>
  </si>
  <si>
    <t>КП-фр(рм)\ФКНФ\мр</t>
  </si>
  <si>
    <t>КП-ис(рм)\ФКНФ\мр</t>
  </si>
  <si>
    <t>КП(нфске)(рм)\ФКНФ\мр</t>
  </si>
  <si>
    <t>КП(нфске)(рм2 сем)\ФКНФ\мр</t>
  </si>
  <si>
    <t>Кор(рб)\ФКНФ\бр</t>
  </si>
  <si>
    <t>КССС(рм2 сем)\СтФ\мр</t>
  </si>
  <si>
    <t>КССС-4(рм4 сем.)\СтФ\мр</t>
  </si>
  <si>
    <t>КИ(рм)\ФзФ\мр</t>
  </si>
  <si>
    <t>КИ(рм3 сем.)\ФзФ\мр</t>
  </si>
  <si>
    <t>КИз(рм5 сем.)\ФзФ\мр</t>
  </si>
  <si>
    <t>КК(зм)\ФЖМК\мз</t>
  </si>
  <si>
    <t>КК(змл)\ФЖМК\мз</t>
  </si>
  <si>
    <t>КК-л(змл)\ФЖМК\мз</t>
  </si>
  <si>
    <t>ККДСП(рм2 сем)\ИФ\мр</t>
  </si>
  <si>
    <t>ККДСП ХVІ - ХХІ(рмс)\ИФ\мр</t>
  </si>
  <si>
    <t>ККДСП ХVІ-ХХІ век(рмнс)\ИФ\мр</t>
  </si>
  <si>
    <t>ККДСП ХVІ-ХХІ(рмс)\ИФ\мр</t>
  </si>
  <si>
    <t>ККДСП(рмнс)\ИФ\мр</t>
  </si>
  <si>
    <t>ККДСП(змнс)\ИФ\мз</t>
  </si>
  <si>
    <t>ККДСП(рмс)\ИФ\мр</t>
  </si>
  <si>
    <t>ККДСП(змс)\ИФ\мз</t>
  </si>
  <si>
    <t>КултУнг(рм3 сем.)\ФКНФ\мр</t>
  </si>
  <si>
    <t>КТ(зм)\ГГФ\мз</t>
  </si>
  <si>
    <t>КА2(рм2 сем)\ФФ\мр</t>
  </si>
  <si>
    <t>КАнов(рм)\ФФ\мр</t>
  </si>
  <si>
    <t>КА(рм)\ФФ\мр</t>
  </si>
  <si>
    <t>КПГ(рм)\ГГФ\мр</t>
  </si>
  <si>
    <t>КВ(рм)\ФКНФ\мр</t>
  </si>
  <si>
    <t>КВиГЕС(рм ч.ез.)\ФКНФ\мр</t>
  </si>
  <si>
    <t>КВиГЕС(рм)\ФКНФ\мр</t>
  </si>
  <si>
    <t>КВиГЕС(зм)\ФКНФ\мз</t>
  </si>
  <si>
    <t>К.(рб)\ФФ\бр</t>
  </si>
  <si>
    <t>ЛЕПК(рмс)\ГГФ\мр</t>
  </si>
  <si>
    <t>ЛЕПК(змс)\ГГФ\мз</t>
  </si>
  <si>
    <t>ЛЖ(зм)\ФЖМК\мз</t>
  </si>
  <si>
    <t>ЛЖ-л(зм3 сем.л)\ФЖМК\мз</t>
  </si>
  <si>
    <t>ЛЖ-2(зм2 сем)\ФЖМК\мз</t>
  </si>
  <si>
    <t>ЛЕПК(рмнсл)\ГГФ\мр</t>
  </si>
  <si>
    <t>ЛЕПК(змнсл)\ГГФ\мз</t>
  </si>
  <si>
    <t>Лингвистика/Несп(рмнс)\ФСлФ\мр</t>
  </si>
  <si>
    <t>Лингвистика - езиков(рмл)\ФСлФ\мр</t>
  </si>
  <si>
    <t>Лингвистика езикова(рм)\ФСлФ\мр</t>
  </si>
  <si>
    <t>Лингвистика езикови(рм)\ФСлФ\мр</t>
  </si>
  <si>
    <t>ЛКВК(рмс)\ФСлФ\мр</t>
  </si>
  <si>
    <t>ЛКВК(рмнс)\ФСлФ\мр</t>
  </si>
  <si>
    <t>Л ТП(рм2 сем)\ФСлФ\мр</t>
  </si>
  <si>
    <t>ЛТПмп(рмнс)\ФСлФ\мр</t>
  </si>
  <si>
    <t>ЛЗ(рм)\ФСлФ\мр</t>
  </si>
  <si>
    <t>Литературознание(рмнс)\ФСлФ\мр</t>
  </si>
  <si>
    <t>Литургия и музика(зм2 сем)\БсФ\мз</t>
  </si>
  <si>
    <t>Литургия и музика(змс)\БсФ\мз</t>
  </si>
  <si>
    <t>ЛМ/задочно/4сем/(зм4 сем.)\БсФ\мз</t>
  </si>
  <si>
    <t>ЛМ/задочно/4сем/(змнс)\БсФ\мз</t>
  </si>
  <si>
    <t>ЛиА мат(м)\ФМИ\мр</t>
  </si>
  <si>
    <t>ЛиА(рм)\ФМИ\мр</t>
  </si>
  <si>
    <t>ЛиА-М(м)\ФМИ\мр</t>
  </si>
  <si>
    <t>ЛиА-мат(рм)\ФМИ\мр</t>
  </si>
  <si>
    <t>ЛиА инф(м)\ФМИ\мр</t>
  </si>
  <si>
    <t>ЛиА-И(м)\ФМИ\мр</t>
  </si>
  <si>
    <t>ЛиА-инф(рм)\ФМИ\мр</t>
  </si>
  <si>
    <t>ЛА(рм)\ФМИ\мр</t>
  </si>
  <si>
    <t>ЛА-на англ.(рм ч.ез.)\ФМИ\мр</t>
  </si>
  <si>
    <t>ЛА-на англ.(рм)\ФМИ\мр</t>
  </si>
  <si>
    <t>Логоп.(рб)\ФНОИ\бр</t>
  </si>
  <si>
    <t>Л(рм)\ФНОИ\мр</t>
  </si>
  <si>
    <t>Л(рмнс)\ФНОИ\мр</t>
  </si>
  <si>
    <t>Л(рмчс)(рм3 сем.)\ФНОИ\мр</t>
  </si>
  <si>
    <t>Логнесп(рмлп)(рмнсл)\ФНОИ\мр</t>
  </si>
  <si>
    <t>Логопнесп(рм3 сем.)\ФНОИ\мр</t>
  </si>
  <si>
    <t>ЛогМ лет.пр(рмл)\ФНОИ\мр</t>
  </si>
  <si>
    <t>Логбългари(рм4 сем.)\ФНОИ\мр</t>
  </si>
  <si>
    <t>Логдр.спец.(рм4 сем.)\ФНОИ\мр</t>
  </si>
  <si>
    <t>Л(змнс)\ФНОИ\мз</t>
  </si>
  <si>
    <t>Логбългаризо(зм4 сем.)\ФНОИ\мз</t>
  </si>
  <si>
    <t>Логопнесп(зм4 сем.)\ФНОИ\мз</t>
  </si>
  <si>
    <t>Лог-КНР(рм3 сем.)\ФНОИ\мр</t>
  </si>
  <si>
    <t>Лог-КНР3(рм3 сем.)\ФНОИ\мр</t>
  </si>
  <si>
    <t>Лог-КНР(зм3 сем.)\ФНОИ\мз</t>
  </si>
  <si>
    <t>МИ(рм3 сем.)\СтФ\мр</t>
  </si>
  <si>
    <t>МИ(рм5 сем.)\СтФ\мр</t>
  </si>
  <si>
    <t>М\ФМИ\бр</t>
  </si>
  <si>
    <t>М(рб)\ФМИ\бр</t>
  </si>
  <si>
    <t>МИ\ФМИ\бр</t>
  </si>
  <si>
    <t>МИ(рб)\ФМИ\бр</t>
  </si>
  <si>
    <t>МИ(з)\ФМИ\бз</t>
  </si>
  <si>
    <t>МИ(зб)\ФМИ\бз</t>
  </si>
  <si>
    <t>ММФ\ФМИ\мр</t>
  </si>
  <si>
    <t>ММФ(м)\ФМИ\мр</t>
  </si>
  <si>
    <t>ММФ(рм)\ФМИ\мр</t>
  </si>
  <si>
    <t>ММИ(м)\ФМИ\мр</t>
  </si>
  <si>
    <t>ММИ(рм)\ФМИ\мр</t>
  </si>
  <si>
    <t>ММИ-летен(рмл)\ФМИ\мр</t>
  </si>
  <si>
    <t>ММИ(рмл)\ФМИ\мр</t>
  </si>
  <si>
    <t>ММИ(зм)\ФМИ\мз</t>
  </si>
  <si>
    <t>ММИ(рм4 сем.)\ФМИ\мр</t>
  </si>
  <si>
    <t>ММИ_инф(рм)\ФМИ\мр</t>
  </si>
  <si>
    <t>ММиПМ\ФМИ\мр</t>
  </si>
  <si>
    <t>ММиПМ несп\ФМИ\мр</t>
  </si>
  <si>
    <t>ММиПМ(м)\ФМИ\мр</t>
  </si>
  <si>
    <t>ММиПМ(рм)\ФМИ\мр</t>
  </si>
  <si>
    <t>ММиПМ(рмнс)\ФМИ\мр</t>
  </si>
  <si>
    <t>ММиПМ(рмс)\ФМИ\мр</t>
  </si>
  <si>
    <t>Мат(рм)\ФХФ\мр</t>
  </si>
  <si>
    <t>МД(зм3 сем.)\ФЖМК\мз</t>
  </si>
  <si>
    <t>МИП(рмс)\ИФ\мр</t>
  </si>
  <si>
    <t>МКК(рм)\ФФ\мр</t>
  </si>
  <si>
    <t>Медии, комуникация, (рм2 сем)\ФФ\мр</t>
  </si>
  <si>
    <t>МПХК(рб)\ФНОИ\бр</t>
  </si>
  <si>
    <t>Мед(рм)\МФ\мр</t>
  </si>
  <si>
    <t>Мед (англ.)(рм ч.ез.)\МФ\мр</t>
  </si>
  <si>
    <t>МФБФХ(рм)\ФХФ\мр</t>
  </si>
  <si>
    <t>МРЕ(рб)\МФ\бр</t>
  </si>
  <si>
    <t>МедС(рб)\МФ\бр</t>
  </si>
  <si>
    <t>МФ(рб)\ФзФ\бр</t>
  </si>
  <si>
    <t>МФ(рм4 сем.)\ФзФ\мр</t>
  </si>
  <si>
    <t>МФ(рм2 сем)\ФзФ\мр</t>
  </si>
  <si>
    <t>МФ 2с(рм2 сем)\ФзФ\мр</t>
  </si>
  <si>
    <t>МФмп3ро(рм3 сем.)\ФзФ\мр</t>
  </si>
  <si>
    <t>МФ(рм3 сем.)\ФзФ\мр</t>
  </si>
  <si>
    <t>Медицинска физика(рм3 сем.)\ФзФ\мр</t>
  </si>
  <si>
    <t>МФ-Англ.ез.(рм3 сем. ч.ез.)\ФзФ\мр</t>
  </si>
  <si>
    <t>МХ(рм)\ФХФ\мр</t>
  </si>
  <si>
    <t>МКиПКиБЕ(рм2 сем)\ФКНФ\мр</t>
  </si>
  <si>
    <t>МКиПКиБЕ(рм4 сем.)\ФКНФ\мр</t>
  </si>
  <si>
    <t>МФМ на АЕ - неик.(рмнс ч.ез.)\СтФ\мр</t>
  </si>
  <si>
    <t>МФМ на АЕ(рм3 сем. ч.ез.)\СтФ\мр</t>
  </si>
  <si>
    <t>МЖ(рм)\ФЖМК\мр</t>
  </si>
  <si>
    <t>МЖ(зм2 сем)\ФЖМК\мз</t>
  </si>
  <si>
    <t>МЖ(зм3 сем.)\ФЖМК\мз</t>
  </si>
  <si>
    <t>МС(рм2 сем)\ЮФ\мр</t>
  </si>
  <si>
    <t>МС(рм3 сем.)\ЮФ\мр</t>
  </si>
  <si>
    <t>МС(рм3 сем.л)\ЮФ\мр</t>
  </si>
  <si>
    <t>МС(рм4 сем.)\ЮФ\мр</t>
  </si>
  <si>
    <t>МБО(рм2 сем)\ЮФ\мр</t>
  </si>
  <si>
    <t>МБО(рм3 сем.л)\ЮФ\мр</t>
  </si>
  <si>
    <t>МБОмп(рм3 сем.)\ЮФ\мр</t>
  </si>
  <si>
    <t>МБО(рм4 сем.)\ЮФ\мр</t>
  </si>
  <si>
    <t>МБОмп4сем(рм4 сем.)\ЮФ\мр</t>
  </si>
  <si>
    <t>МОМД(рм3 сем.)\ЮФ\мр</t>
  </si>
  <si>
    <t>МОМД(рм3 сем.л)\ЮФ\мр</t>
  </si>
  <si>
    <t>МОМД(рм4 сем.)\ЮФ\мр</t>
  </si>
  <si>
    <t>МО(рб)\ЮФ\бр</t>
  </si>
  <si>
    <t>МО(рм)\ЮФ\мр</t>
  </si>
  <si>
    <t>МОПС р 3сем.(рм3 сем.)\ФФ\мр</t>
  </si>
  <si>
    <t>МОПС(рмсл)\ФФ\мр</t>
  </si>
  <si>
    <t>МПОС(рмс)\ФФ\мр</t>
  </si>
  <si>
    <t>МПОС(рмнс)\ФФ\мр</t>
  </si>
  <si>
    <t>МОПС з 3сем(зм3 сем.)\ФФ\мз</t>
  </si>
  <si>
    <t>МОПС(змсл)\ФФ\мз</t>
  </si>
  <si>
    <t>МПОС(змс)\ФФ\мз</t>
  </si>
  <si>
    <t>МПОС(змнс)\ФФ\мз</t>
  </si>
  <si>
    <t>МСКН(рм)\ФФ\мр</t>
  </si>
  <si>
    <t>МСКНл(рмл)\ФФ\мр</t>
  </si>
  <si>
    <t>МСКН2(рм2 сем)\ФФ\мр</t>
  </si>
  <si>
    <t>МОПЗ(зм)\ФНОИ\мз</t>
  </si>
  <si>
    <t>МОПЗ(зм3 сем.)\ФНОИ\мз</t>
  </si>
  <si>
    <t>МОВ(рм3 сем.)\ФП\мр</t>
  </si>
  <si>
    <t>МОВ (зм 3 сем.)(зм3 сем.)\ФП\мз</t>
  </si>
  <si>
    <t>МОВ(зм3 сем.)\ФП\мз</t>
  </si>
  <si>
    <t>Мсд(рм)\ФНОИ\мр</t>
  </si>
  <si>
    <t>МСПД(рмнс)\ФНОИ\мр</t>
  </si>
  <si>
    <t>МСПД(змнс)\ФНОИ\мз</t>
  </si>
  <si>
    <t>Мсд(зм)\ФНОИ\мз</t>
  </si>
  <si>
    <t>Мениджмънт на услуги(зм3 сем.)\ФП\мз</t>
  </si>
  <si>
    <t>Мениджмънт на услуги(змнс)\ФП\мз</t>
  </si>
  <si>
    <t>Мениджмънт\ФП\мз</t>
  </si>
  <si>
    <t>Мениджмънт на услуги(змс)\ФП\мз</t>
  </si>
  <si>
    <t>Мениджмънт на услуги(зм2 сем)\ФП\мз</t>
  </si>
  <si>
    <t>М(рм)\ФзФ\мр</t>
  </si>
  <si>
    <t>М(рм3 сем.)\ФзФ\мр</t>
  </si>
  <si>
    <t>М(рм5 сем.)\ФзФ\мр</t>
  </si>
  <si>
    <t>М5(рм5 сем.)\ФзФ\мр</t>
  </si>
  <si>
    <t>М(зм)\ФзФ\мз</t>
  </si>
  <si>
    <t>М(зм3 сем.)\ФзФ\мз</t>
  </si>
  <si>
    <t>М(зм5 сем.)\ФзФ\мз</t>
  </si>
  <si>
    <t>М5(зм5 сем.)\ФзФ\мз</t>
  </si>
  <si>
    <t>МЧЕО(рм)\ФКНФ\мр</t>
  </si>
  <si>
    <t>МЧЕОан(рм)\ФКНФ\мр</t>
  </si>
  <si>
    <t>МЧЕОне(рм)\ФКНФ\мр</t>
  </si>
  <si>
    <t>МЧЕОфр(рм)\ФКНФ\мр</t>
  </si>
  <si>
    <t>МЧЕОис(рм)\ФКНФ\мр</t>
  </si>
  <si>
    <t>МЧЕОит(рм)\ФКНФ\мр</t>
  </si>
  <si>
    <t>МЧО(анг.)(рм)\ФКНФ\мр</t>
  </si>
  <si>
    <t>МЧО(исп.)(рм)\ФКНФ\мр</t>
  </si>
  <si>
    <t>МЧО(ит.)(рм)\ФКНФ\мр</t>
  </si>
  <si>
    <t>МЧО(нфске)(рм)\ФКНФ\мр</t>
  </si>
  <si>
    <t>МЧЕОпорт(рм)\ФКНФ\мр</t>
  </si>
  <si>
    <t>МЧО(фр.)(рм)\ФКНФ\мр</t>
  </si>
  <si>
    <t>МЧОвМС(тюрк.)(рм2 сем)\ФКНФ\мр</t>
  </si>
  <si>
    <t>МЧОвМС(анг.)(рм2 сем)\ФКНФ\мр</t>
  </si>
  <si>
    <t>МЧОвМС(анг.)(рм2 семл)\ФКНФ\мр</t>
  </si>
  <si>
    <t>МЧОвМС(исп.)(рм2 сем)\ФКНФ\мр</t>
  </si>
  <si>
    <t>МЧОвМС(итал.)(рм2 сем)\ФКНФ\мр</t>
  </si>
  <si>
    <t>МЧОвМС(нем.)(рм2 сем)\ФКНФ\мр</t>
  </si>
  <si>
    <t>МЧОвМС(фр.)(рм2 сем)\ФКНФ\мр</t>
  </si>
  <si>
    <t>МОФАр2(рм2 сем)\ФзФ\мр</t>
  </si>
  <si>
    <t>МетодологияОФА(рм3 сем.)\ФзФ\мр</t>
  </si>
  <si>
    <t>МОФАз3(зм3 сем.)\ФзФ\мз</t>
  </si>
  <si>
    <t>Мех&amp;роб(рм)\ФМИ\мр</t>
  </si>
  <si>
    <t>Мех&amp;роб(рмс)\ФМИ\мр</t>
  </si>
  <si>
    <t>МиР(рм)\ФМИ\мр</t>
  </si>
  <si>
    <t>МБМБК(рм)\БФ\мр</t>
  </si>
  <si>
    <t>МЕИТ(рм3 сем.)\ФзФ\мр</t>
  </si>
  <si>
    <t>МИТ(рм)\ФзФ\мр</t>
  </si>
  <si>
    <t>МИТ(рм3 сем.)\ФзФ\мр</t>
  </si>
  <si>
    <t>МЕИТ(зм3 сем.)\ФзФ\мз</t>
  </si>
  <si>
    <t>МЕИТЛП3(зм3 сем.л)\ФзФ\мз</t>
  </si>
  <si>
    <t>МИТ(зм3 се\ФзФ\мз</t>
  </si>
  <si>
    <t>МИТ(зм3 сем.)\ФзФ\мз</t>
  </si>
  <si>
    <t>МСЮЕ(рб)\ИФ\бр</t>
  </si>
  <si>
    <t>МППИ(рм)\ГГФ\мр</t>
  </si>
  <si>
    <t>МД контрол летен(зм2 семл)\СтФ\мз</t>
  </si>
  <si>
    <t>МД контрол неикон. л(змнсл)\СтФ\мз</t>
  </si>
  <si>
    <t>МД контрол неиконом.(змнс)\СтФ\мз</t>
  </si>
  <si>
    <t>МД контрол(зм2 сем)\СтФ\мз</t>
  </si>
  <si>
    <t>Минт Данч К(зм2 сем)\СтФ\мз</t>
  </si>
  <si>
    <t>МитДанъчен Кн(змнс)\СтФ\мз</t>
  </si>
  <si>
    <t>Митн Данч К лнс(змнсл)\СтФ\мз</t>
  </si>
  <si>
    <t>Митнически и ДКл(зм2 семл)\СтФ\мз</t>
  </si>
  <si>
    <t>Моб&amp;Миг(зм)\ИФ\мз</t>
  </si>
  <si>
    <t>МГДБФ-ЗО зимен неик.(змнс)\СтФ\мз</t>
  </si>
  <si>
    <t>МГДБФ-ЗО зимен(зм2 сем)\СтФ\мз</t>
  </si>
  <si>
    <t>МГДБФ-ЗО летен неик.(змнсл)\СтФ\мз</t>
  </si>
  <si>
    <t>МГДБФ-ЗО летен(зм2 семл)\СтФ\мз</t>
  </si>
  <si>
    <t>МГДБФ(рм2 семл)\СтФ\мр</t>
  </si>
  <si>
    <t>МГДБФ(рм2 сем)\СтФ\мр</t>
  </si>
  <si>
    <t>МГДБФ - 3(рм3 сем.)\СтФ\мр</t>
  </si>
  <si>
    <t>МГДБФ - 3(рм3 сем.л)\СтФ\мр</t>
  </si>
  <si>
    <t>Модерна България(рмс)\ИФ\мр</t>
  </si>
  <si>
    <t>Модерна България(змнс)\ИФ\мз</t>
  </si>
  <si>
    <t>Модерна България(змс)\ИФ\мз</t>
  </si>
  <si>
    <t>Модерна България(рмнс)\ИФ\мр</t>
  </si>
  <si>
    <t>МБ(рб)\БФ\бр</t>
  </si>
  <si>
    <t>МПДО(зм2 сем)\ФНОИ\мз</t>
  </si>
  <si>
    <t>М(рмнс)\ИФ\мр</t>
  </si>
  <si>
    <t>М(рмс)\ИФ\мр</t>
  </si>
  <si>
    <t>М(змс)\ИФ\мз</t>
  </si>
  <si>
    <t>М3(змнс)\ИФ\мз</t>
  </si>
  <si>
    <t>Муз.П(рб)\ФНОИ\бр</t>
  </si>
  <si>
    <t>МузП(рм)\ФНОИ\мр</t>
  </si>
  <si>
    <t>МузПед(рм)\ФНОИ\мр</t>
  </si>
  <si>
    <t>МузПед(рм2 сем)\ФНОИ\мр</t>
  </si>
  <si>
    <t>МАМ(рм2 сем)\ФНОИ\мр</t>
  </si>
  <si>
    <t>МП-РФФ(рм2 сем)\ФНОИ\мр</t>
  </si>
  <si>
    <t>ММТро(рм2 сем)\ФНОИ\мр</t>
  </si>
  <si>
    <t>МММТ(сп)(змс)\ФНОИ\мз</t>
  </si>
  <si>
    <t>МММТдр.спец.(рм3 сем.)\ФНОИ\мр</t>
  </si>
  <si>
    <t>МММТ(несп)(змнс)\ФНОИ\мз</t>
  </si>
  <si>
    <t>МКТ(рм)\ФНОИ\мр</t>
  </si>
  <si>
    <t>МКТТ(рм2 сем)\ФНОИ\мр</t>
  </si>
  <si>
    <t>ММТТ(рб)\ФНОИ\бр</t>
  </si>
  <si>
    <t>НОЕиИТ(рм)\ФМИ\мр</t>
  </si>
  <si>
    <t>НУП(рм4 сем.)\ФНОИ\мр</t>
  </si>
  <si>
    <t>ПНУПм(зм4 сем.)\ФНОИ\мз</t>
  </si>
  <si>
    <t>НУП (учит.прав.)(зм2 сем)\ФНОИ\мз</t>
  </si>
  <si>
    <t>НУП(зм2 сем)\ФНОИ\мз</t>
  </si>
  <si>
    <t>НУПучправо(зм2 сем)\ФНОИ\мз</t>
  </si>
  <si>
    <t>НУПЧЕ(рб)\ФНОИ\бр</t>
  </si>
  <si>
    <t>НФ(рб)\ФКНФ\бр</t>
  </si>
  <si>
    <t>НемФ(рб)\ФКНФ\бр</t>
  </si>
  <si>
    <t>НФСке(рб)\ФКНФ\бр</t>
  </si>
  <si>
    <t>НХМСТ(рм)\ФХФ\мр</t>
  </si>
  <si>
    <t>НО(рб)\ФП\бр</t>
  </si>
  <si>
    <t>НО(зб)\ФП\бз</t>
  </si>
  <si>
    <t>НСБИ(рм)\ИФ\мр</t>
  </si>
  <si>
    <t>НСБИ(рмс)\ИФ\мр</t>
  </si>
  <si>
    <t>НСБИ(зм)\ИФ\мз</t>
  </si>
  <si>
    <t>НСБИ(змс)\ИФ\мз</t>
  </si>
  <si>
    <t>НГФ(рб)\ФКНФ\бр</t>
  </si>
  <si>
    <t>НГФ(рм)\ФКНФ\мр</t>
  </si>
  <si>
    <t>Н(рм)\ФКНФ\мр</t>
  </si>
  <si>
    <t>Норд(рм)\ФКНФ\мр</t>
  </si>
  <si>
    <t>ОБЕЛ(рм)\ФСлФ\мр</t>
  </si>
  <si>
    <t>ОБЕЛСУмп(рмнс)\ФСлФ\мр</t>
  </si>
  <si>
    <t>ОБЕЛ(зм)\ФСлФ\мз</t>
  </si>
  <si>
    <t>ОБЕЛмп(змнс)\ФСлФ\мз</t>
  </si>
  <si>
    <t>ОИСУ(рм)\ИФ\мр</t>
  </si>
  <si>
    <t>ОИСУ(рмс)\ИФ\мр</t>
  </si>
  <si>
    <t>ОИСУ(змнс)\ИФ\мз</t>
  </si>
  <si>
    <t>ОИСУ(зм)\ИФ\мз</t>
  </si>
  <si>
    <t>ОИСУ(спец)(рм3 сем.)\ИФ\мр</t>
  </si>
  <si>
    <t>ОИУ(спец)(зм3 сем.)\ИФ\мз</t>
  </si>
  <si>
    <t>ОИСУ(змс)\ИФ\мз</t>
  </si>
  <si>
    <t>ОИСУ(рм5 сем.)\ИФ\мр</t>
  </si>
  <si>
    <t>ОИСУ(рмнс)\ИФ\мр</t>
  </si>
  <si>
    <t>ОИСУ(несп)(зм5 сем.)\ИФ\мз</t>
  </si>
  <si>
    <t>ОИУ(несп)(зм5 сем.)\ИФ\мз</t>
  </si>
  <si>
    <t>ОМ(рм2 сем)\ФП\мр</t>
  </si>
  <si>
    <t>МУПОМ(рм3 сем.)\ФП\мр</t>
  </si>
  <si>
    <t>ОМ(рм3 сем.)\ФП\мр</t>
  </si>
  <si>
    <t>ОМ(зм2 сем)\ФП\мз</t>
  </si>
  <si>
    <t>МУПОМ(зм3 сем.)\ФП\мз</t>
  </si>
  <si>
    <t>ОМ(зм3 сем.)\ФП\мз</t>
  </si>
  <si>
    <t>ОМ(рмс)\ФП\мр</t>
  </si>
  <si>
    <t>ОМ(змс)\ФП\мз</t>
  </si>
  <si>
    <t>ОМ-л-анг.(рм2 семл ч.ез.)\ФП\мр</t>
  </si>
  <si>
    <t>ОМ-а.е.-задочна-ЧЕ(зм2 семл ч.ез.)\ФП\мз</t>
  </si>
  <si>
    <t>ОНИВ(ае)(рм2 сем ч.ез.)\ФНОИ\мр</t>
  </si>
  <si>
    <t>ОНИВ(ае)(рм2 сем)\ФНОИ\мр</t>
  </si>
  <si>
    <t>ОНИВ/ае//рм//лп/(рм2 семл ч.ез.)\ФНОИ\мр</t>
  </si>
  <si>
    <t>ОНИВ/ае//рм//лп/(рм2 семл)\ФНОИ\мр</t>
  </si>
  <si>
    <t>ОГИОК(рм2 сем)\ИФ\мр</t>
  </si>
  <si>
    <t>ОАнтр(рм)\БФ\мр</t>
  </si>
  <si>
    <t>ОА(рмнсл)\БФ\мр</t>
  </si>
  <si>
    <t>ОПАЕ(зм ч.ез.)\ФФ\мз</t>
  </si>
  <si>
    <t>ОПАЕ(зм)\ФФ\мз</t>
  </si>
  <si>
    <t>ОКК(рм)\ФКНФ\мр</t>
  </si>
  <si>
    <t>ОКАСмп(рм)\ФКНФ\мр</t>
  </si>
  <si>
    <t>ТИК(рм)\ФФ\мр</t>
  </si>
  <si>
    <t>ОЖМ-л(змл)\ФЖМК\мз</t>
  </si>
  <si>
    <t>ОБКНмп(рм2 сем)\ФСлФ\мр</t>
  </si>
  <si>
    <t>ОБКултН(рмнс)\ФСлФ\мр</t>
  </si>
  <si>
    <t>ОБКултН(рмс)\ФСлФ\мр</t>
  </si>
  <si>
    <t>ОБКултН/2сем(рмс)\ФСлФ\мр</t>
  </si>
  <si>
    <t>Опазв. бълг. кул. н.(змнс)\ФСлФ\мз</t>
  </si>
  <si>
    <t>Опазв. бълг. кул. н.(змс)\ФСлФ\мз</t>
  </si>
  <si>
    <t>ОБКултН/3сем(рмнс)\ФСлФ\мр</t>
  </si>
  <si>
    <t>ОБКултН~(рмнс)\ФСлФ\мр</t>
  </si>
  <si>
    <t>ООС(рм)\БФ\мр</t>
  </si>
  <si>
    <t>ООС-НС(рмнсл)\БФ\мр</t>
  </si>
  <si>
    <t>ОПС(рм)\БФ\мр</t>
  </si>
  <si>
    <t>ОС(рм)\ФзФ\мр</t>
  </si>
  <si>
    <t>ОС(рм3 сем.)\ФзФ\мр</t>
  </si>
  <si>
    <t>Опт(рм)\ФМИ\мр</t>
  </si>
  <si>
    <t>Оптометрия(рб)\ФзФ\бр</t>
  </si>
  <si>
    <t>Оптометрия(зб)\ФзФ\бз</t>
  </si>
  <si>
    <t>Опт(рм2 сем)\ФзФ\мр</t>
  </si>
  <si>
    <t>Оптометрия(рм4 сем.л)\ФзФ\мр</t>
  </si>
  <si>
    <t>Оптометрия(рм5 сем.)\ФзФ\мр</t>
  </si>
  <si>
    <t>Оптометрия(зм6 сем.)\ФзФ\мз</t>
  </si>
  <si>
    <t>ОПКМ 4с(зм4 сем. ч.ез.)\ФФ\мз</t>
  </si>
  <si>
    <t>ОПКМангл(зм3 сем. ч.ез.)\ФФ\мз</t>
  </si>
  <si>
    <t>ОПКМангл(зм3 сем.)\ФФ\мз</t>
  </si>
  <si>
    <t>ОПКО(рм3 сем.)\ФФ\мр</t>
  </si>
  <si>
    <t>ОпКо(рм3 сем.)\ФФ\мр</t>
  </si>
  <si>
    <t>ОПКО (рмнс)\ФФ\мр</t>
  </si>
  <si>
    <t>ОПКО(рмнс)\ФФ\мр</t>
  </si>
  <si>
    <t>ОПУО(рмнс)\ФФ\мр</t>
  </si>
  <si>
    <t>ОР(рм)\СтФ\мр</t>
  </si>
  <si>
    <t>ОУУ - РО (\СтФ\мр</t>
  </si>
  <si>
    <t>ОУУ - РО н\СтФ\мр</t>
  </si>
  <si>
    <t>ОУУ - ЗО (2 сем.)(зм2 сем)\СтФ\мз</t>
  </si>
  <si>
    <t>ОУУ - ЗО неспец.(змнс)\СтФ\мз</t>
  </si>
  <si>
    <t>ОПОВ(рм2 сем)\ФФ\мр</t>
  </si>
  <si>
    <t>ПБмп(рм)\ГГФ\мр</t>
  </si>
  <si>
    <t>П(рм)\БФ\мр</t>
  </si>
  <si>
    <t>Пед(рб)\ФП\бр</t>
  </si>
  <si>
    <t>Пед(зб)\ФП\бз</t>
  </si>
  <si>
    <t>Пед(зм)(зм)\ФП\мз</t>
  </si>
  <si>
    <t>ПСИИз(рм)\ФНОИ\мр</t>
  </si>
  <si>
    <t>ПСИИз(рм2 сем)\ФНОИ\мр</t>
  </si>
  <si>
    <t>ПСИИзав.др.спец.(рм3 сем.)\ФНОИ\мр</t>
  </si>
  <si>
    <t>ПДП(рм3 сем.)\ФП\мр</t>
  </si>
  <si>
    <t>ПДП(рм2 сем)\ФП\мр</t>
  </si>
  <si>
    <t>ПДП(зм3 сем.)\ФП\мз</t>
  </si>
  <si>
    <t>ПДП(зм2 сем)\ФП\мз</t>
  </si>
  <si>
    <t>ПДУму(спец.)(рм2 сем)\ФНОИ\мр</t>
  </si>
  <si>
    <t>Пзз(рм)\ФНОИ\мр</t>
  </si>
  <si>
    <t>ПЗЗ(зав.др.сп.)(зм3 сем.)\ФНОИ\мз</t>
  </si>
  <si>
    <t>ПЗЗпедправосп(зм3 сем.)\ФНОИ\мз</t>
  </si>
  <si>
    <t>Пзз(зм)\ФНОИ\мз</t>
  </si>
  <si>
    <t>Пзз(зм4 сем.)\ФНОИ\мз</t>
  </si>
  <si>
    <t>Пззн(зм4 сем.)\ФНОИ\мз</t>
  </si>
  <si>
    <t>Пззн(змнс)\ФНОИ\мз</t>
  </si>
  <si>
    <t>ПЗЗ(пед.правоспособ)(зм3 сем.)\ФНОИ\мз</t>
  </si>
  <si>
    <t>ПЗЗзо(зм3 сем.)\ФНОИ\мз</t>
  </si>
  <si>
    <t>ПМХК(рб)\ФНОИ\бр</t>
  </si>
  <si>
    <t>ПМХК(рм)\ФНОИ\мр</t>
  </si>
  <si>
    <t>ПМХК(зм)\ФНОИ\мз</t>
  </si>
  <si>
    <t>ПМХК(зм3 сем.)\ФНОИ\мз</t>
  </si>
  <si>
    <t>ПМХК(ае)(рб ч.ез.)\ФНОИ\бр</t>
  </si>
  <si>
    <t>ПМХК/ае/(рб)\ФНОИ\бр</t>
  </si>
  <si>
    <t>ПОГИ (60)(рм)\ГГФ\мр</t>
  </si>
  <si>
    <t>ХФ(рб)\ФХФ\бр</t>
  </si>
  <si>
    <t>Хф1г(рм-97)\ФХФ\мр</t>
  </si>
  <si>
    <t>Педсъв(зм2 сем)\ФНОИ\мз</t>
  </si>
  <si>
    <t>ПМ(зм)\ФЖМК\мз</t>
  </si>
  <si>
    <t>ПМмп(зм)\ФЖМК\мз</t>
  </si>
  <si>
    <t>ПТТС(рм3 сем.)\ФзФ\мр</t>
  </si>
  <si>
    <t>ПУТС(рмс)\ГГФ\мр</t>
  </si>
  <si>
    <t>ПУТС(рмнсл)\ГГФ\мр</t>
  </si>
  <si>
    <t>ПУТС (за ОКС "ПБ")(рм4 сем.)\ГГФ\мр</t>
  </si>
  <si>
    <t>ПРУУсон(рм)\ФНОИ\мр</t>
  </si>
  <si>
    <t>ПруусС(зм)\ФНОИ\мз</t>
  </si>
  <si>
    <t>Пол.(рм)\ФХФ\мр</t>
  </si>
  <si>
    <t>Пзо(зм)\ФХФ\мз</t>
  </si>
  <si>
    <t>Пзо~(зм)\ФХФ\мз</t>
  </si>
  <si>
    <t>Полимери(зм3 сем.)\ФХФ\мз</t>
  </si>
  <si>
    <t>ПолимАЕ(рм3 сем. ч.ез.)\ФХФ\мр</t>
  </si>
  <si>
    <t>ПИПЕС(рм ч.ез.)\ФФ\мр</t>
  </si>
  <si>
    <t>ПИПЕСл(рм3 сем.л ч.ез.)\ФФ\мр</t>
  </si>
  <si>
    <t>ПС(рмл)\ФФ\мр</t>
  </si>
  <si>
    <t>Псоц(рм)\ФФ\мр</t>
  </si>
  <si>
    <t>ПолСоц2сем(рм2 сем)\ФФ\мр</t>
  </si>
  <si>
    <t>ПМ(рмс)\ФФ\мр</t>
  </si>
  <si>
    <t>ПМлрс(рмсл)\ФФ\мр</t>
  </si>
  <si>
    <t>ПМ(рмнс)\ФФ\мр</t>
  </si>
  <si>
    <t>ПМлрнесп(рмнсл)\ФФ\мр</t>
  </si>
  <si>
    <t>ПМ(змс)\ФФ\мз</t>
  </si>
  <si>
    <t>ПМ(змсл)\ФФ\мз</t>
  </si>
  <si>
    <t>ПМ(змнс)\ФФ\мз</t>
  </si>
  <si>
    <t>ПМ(змнсл)\ФФ\мз</t>
  </si>
  <si>
    <t>ПМК(рм)\ФФ\мр</t>
  </si>
  <si>
    <t>ППГСангл(дм2 сем ч.ез.)\ФФ\мд</t>
  </si>
  <si>
    <t>ППГСангл(дм2 семл ч.ез.)\ФФ\мд</t>
  </si>
  <si>
    <t>ПКрмс(рмс)\ФФ\мр</t>
  </si>
  <si>
    <t>Полконс(рм)\ФФ\мр</t>
  </si>
  <si>
    <t>ПК(рмнс)\ФФ\мр</t>
  </si>
  <si>
    <t>Пол.(рб)\ФФ\бр</t>
  </si>
  <si>
    <t>ПорФ(рб)\ФКНФ\бр</t>
  </si>
  <si>
    <t>ПФ(рм)\ФКНФ\мр</t>
  </si>
  <si>
    <t>Пр(рм)\ЮФ\мр</t>
  </si>
  <si>
    <t>Пр(зм)\ЮФ\мз</t>
  </si>
  <si>
    <t>Право 2014(зм)\ЮФ\мз</t>
  </si>
  <si>
    <t>ПЕС(рм2 сем)\ЮФ\мр</t>
  </si>
  <si>
    <t>ПЕСмп2сем(рм2 сем)\ЮФ\мр</t>
  </si>
  <si>
    <t>ПЕС(рм3 сем.л)\ЮФ\мр</t>
  </si>
  <si>
    <t>ПЕс(рм3 сем.)\ЮФ\мр</t>
  </si>
  <si>
    <t>Прев(рм)\ФКНФ\мр</t>
  </si>
  <si>
    <t>Прев-ан(рм)\ФКНФ\мр</t>
  </si>
  <si>
    <t>П(рм)\ФКНФ\мр</t>
  </si>
  <si>
    <t>Прев-фр(рм)\ФКНФ\мр</t>
  </si>
  <si>
    <t>Прев-ан&amp;фр(рм)\ФКНФ\мр</t>
  </si>
  <si>
    <t>Прев-фр&amp;ан(рм)\ФКНФ\мр</t>
  </si>
  <si>
    <t>ПИЕ (ар)(рм)\ФКНФ\мр</t>
  </si>
  <si>
    <t>ПИЕ (кит)(рм)\ФКНФ\мр</t>
  </si>
  <si>
    <t>П(рм)\ФСлФ\мр</t>
  </si>
  <si>
    <t>ПРмп(рмнс)\ФСлФ\мр</t>
  </si>
  <si>
    <t>Преводач-редактор-4(рмс)\ФСлФ\мр</t>
  </si>
  <si>
    <t>прм-италиански(рмс)\ФСлФ\мр</t>
  </si>
  <si>
    <t>Пр.-р. в чужд. у.(а)(рмс)\ФСлФ\мр</t>
  </si>
  <si>
    <t>Прев-ред. в чужд. у.(рмс)\ФСлФ\мр</t>
  </si>
  <si>
    <t>Перводач-редактор(А)(рмс)\ФСлФ\мр</t>
  </si>
  <si>
    <t>Перовадч-редактор(А)(рмс)\ФСлФ\мр</t>
  </si>
  <si>
    <t>ПРИтНс(рм)\ФСлФ\мр</t>
  </si>
  <si>
    <t>ПРИтНс(рмнс)\ФСлФ\мр</t>
  </si>
  <si>
    <t>ПНУП(рб)\ФНОИ\бр</t>
  </si>
  <si>
    <t>ПУНУП(рб)\ФНОИ\бр</t>
  </si>
  <si>
    <t>ПУНУП(зб)\ФНОИ\бз</t>
  </si>
  <si>
    <t>ПНУПпрбак(зм5 сем.)\ФНОИ\мз</t>
  </si>
  <si>
    <t>ПНУП 2014(зб)\ФНОИ\бз</t>
  </si>
  <si>
    <t>ПНУП(збсъкр.ср.-2г)\ФНОИ\бз</t>
  </si>
  <si>
    <t>ПП (уч.прав.)(зм2 сем)\ФНОИ\мз</t>
  </si>
  <si>
    <t>ПНУП(зм)\ФНОИ\мз</t>
  </si>
  <si>
    <t>ППдр.спец.(зм4 сем.)\ФНОИ\мз</t>
  </si>
  <si>
    <t>ППучителизо(зм2 сем)\ФНОИ\мз</t>
  </si>
  <si>
    <t>ПУПЧЕ(рб)\ФНОИ\бр</t>
  </si>
  <si>
    <t>ПиМ(зм)\ФЖМК\мз</t>
  </si>
  <si>
    <t>ПИИМ англ (рм3 сем. ч.ез.)\СтФ\мр</t>
  </si>
  <si>
    <t>ПИИМ англ (рм3 сем.)\СтФ\мр</t>
  </si>
  <si>
    <t>ПИИМ на англ. ез.(рм3 сем. ч.ез.)\СтФ\мр</t>
  </si>
  <si>
    <t>ПИИМангл.(рм3 сем. ч.ез.)\СтФ\мр</t>
  </si>
  <si>
    <t>ПИИМ на англ. ез.(рм4 сем.л ч.ез.)\СтФ\мр</t>
  </si>
  <si>
    <t>ПИИМангл(рм4 сем.л ч.ез.)\СтФ\мр</t>
  </si>
  <si>
    <t>Приложна и\СтФ\мр</t>
  </si>
  <si>
    <t>Приложна икономика(рм2 сем)\СтФ\мр</t>
  </si>
  <si>
    <t>Приложна икономика(рм3 сем.)\СтФ\мр</t>
  </si>
  <si>
    <t>ПИ-ПБ(рм5\СтФ\мр</t>
  </si>
  <si>
    <t>ПИ-ПБ(рм5 сем.)\СтФ\мр</t>
  </si>
  <si>
    <t>Приложна икономика(рм5 сем.)\СтФ\мр</t>
  </si>
  <si>
    <t>ПИ-ПБ(рм4 сем.)\СтФ\мр</t>
  </si>
  <si>
    <t>ПИ-ПБ/4 сем/(рм4 сем.)\СтФ\мр</t>
  </si>
  <si>
    <t>ПЛ(рм)\ФКНФ\мр</t>
  </si>
  <si>
    <t>ПЛ(рмс)\ФКНФ\мр</t>
  </si>
  <si>
    <t>ПрЛинг(порт.)(рмс)\ФКНФ\мр</t>
  </si>
  <si>
    <t>ПрЛинг(рмс)\ФКНФ\мр</t>
  </si>
  <si>
    <t>ПрЛинг(исп.)(рмс)\ФКНФ\мр</t>
  </si>
  <si>
    <t>ПрЛинг(исп.)(рмнс)\ФКНФ\мр</t>
  </si>
  <si>
    <t>ПрЛинг(рмнс)\ФКНФ\мр</t>
  </si>
  <si>
    <t>ПрЛинг(рмнсл)\ФКНФ\мр</t>
  </si>
  <si>
    <t>ПрЛинг(порт.)(рмнсл)\ФКНФ\мр</t>
  </si>
  <si>
    <t>ПЛИЕ(ар)(рм)\ФКНФ\мр</t>
  </si>
  <si>
    <t>ПЛИЕ(рм3 сем.)\ФКНФ\мр</t>
  </si>
  <si>
    <t>ПрМ\ФМИ\бр</t>
  </si>
  <si>
    <t>ПрМ(рб)\ФМИ\бр</t>
  </si>
  <si>
    <t>ПрМ(рм-97)\ФМИ\мр</t>
  </si>
  <si>
    <t>ПрМ-97\ФМИ\мр</t>
  </si>
  <si>
    <t>ПХА(рм)\БФ\мр</t>
  </si>
  <si>
    <t>ПХА-Нсп(рмнсл)\БФ\мр</t>
  </si>
  <si>
    <t>ПрЛиТур(рм)\ФКНФ\мр</t>
  </si>
  <si>
    <t>Т ПЛ(рм)\ФКНФ\мр</t>
  </si>
  <si>
    <t>ПОзо(зм2 сем)\ФНОИ\мз</t>
  </si>
  <si>
    <t>ПЕМ(зм)\ФЖМК\мз</t>
  </si>
  <si>
    <t>ПКИ2(зм2 сем)\ФЖМК\мз</t>
  </si>
  <si>
    <t>ПКИ3(зм3 сем.)\ФЖМК\мз</t>
  </si>
  <si>
    <t>Псих.(рб)\ФФ\бр</t>
  </si>
  <si>
    <t>ПЗсп(рмс)\ФФ\мр</t>
  </si>
  <si>
    <t>ПЗнесп(рмнс)\ФФ\мр</t>
  </si>
  <si>
    <t>ПМП(рм)\ФФ\мр</t>
  </si>
  <si>
    <t>ПМП(зм)\ФФ\мз</t>
  </si>
  <si>
    <t>ПМП(рм2 сем)\ФФ\мр</t>
  </si>
  <si>
    <t>ПА(рб)\ФФ\бр</t>
  </si>
  <si>
    <t>ПА(зб)\ФФ\бз</t>
  </si>
  <si>
    <t>ПА(рмс)\ФФ\мр</t>
  </si>
  <si>
    <t>ПА(зм)\ФФ\мз</t>
  </si>
  <si>
    <t>ПА(змнс)\ФФ\мз</t>
  </si>
  <si>
    <t>ПАр2(рм2 сем)\ФФ\мр</t>
  </si>
  <si>
    <t>ПАз2(зм2 сем)\ФФ\мз</t>
  </si>
  <si>
    <t>ПА(рм)\ФФ\мр</t>
  </si>
  <si>
    <t>ПА(рмнс)\ФФ\мр</t>
  </si>
  <si>
    <t>ПАл(рмл)\ФФ\мр</t>
  </si>
  <si>
    <t>ПА17z(зм3 сем.)\ФФ\мз</t>
  </si>
  <si>
    <t>ПАспец(змс)\ФФ\мз</t>
  </si>
  <si>
    <t>ПАангл(рм ч.ез.)\ФФ\мр</t>
  </si>
  <si>
    <t>ПАангл(рм)\ФФ\мр</t>
  </si>
  <si>
    <t>ПК(рм)\ФЖМК\мр</t>
  </si>
  <si>
    <t>ПК(зм)\ФЖМК\мз</t>
  </si>
  <si>
    <t>ПКмп(зм)\ФЖМК\мз</t>
  </si>
  <si>
    <t>ПИС(рб)\ФФ\бр</t>
  </si>
  <si>
    <t>ПП(зм)\ФФ\мз</t>
  </si>
  <si>
    <t>рх(зм)\ФХФ\мз</t>
  </si>
  <si>
    <t>РР(рм)\ФХФ\мр</t>
  </si>
  <si>
    <t>РХРЕ(рм)\ФХФ\мр</t>
  </si>
  <si>
    <t>РхРд(зм)\ФХФ\мз</t>
  </si>
  <si>
    <t>РХРЕ(зм)\ФХФ\мз</t>
  </si>
  <si>
    <t>РР (англ.)(зм ч.ез.)\ФХФ\мз</t>
  </si>
  <si>
    <t>РУСР(рм)\ГГФ\мр</t>
  </si>
  <si>
    <t>РУСР(рмнс)\ГГФ\мр</t>
  </si>
  <si>
    <t>РУСР(рмнсл)\ГГФ\мр</t>
  </si>
  <si>
    <t>РУСР(зм3 сем.)\ГГФ\мз</t>
  </si>
  <si>
    <t>РУСР (2 сем.)(рм2 сем)\ГГФ\мр</t>
  </si>
  <si>
    <t>РУСР(змнс)\ГГФ\мз</t>
  </si>
  <si>
    <t>РУСР(змнсл)\ГГФ\мз</t>
  </si>
  <si>
    <t>РУСР(зм)\ГГФ\мз</t>
  </si>
  <si>
    <t>РСиМТ(м)\ФМИ\мр</t>
  </si>
  <si>
    <t>РСиМТ(рм)\ФМИ\мр</t>
  </si>
  <si>
    <t>РСМТ-летен прием(рмл)\ФМИ\мр</t>
  </si>
  <si>
    <t>РЧО(зм3 сем.)\ФНОИ\мз</t>
  </si>
  <si>
    <t>РЧО/без че/(зм3 сем.)\ФНОИ\мз</t>
  </si>
  <si>
    <t>РЧО/с че/(зм2 сем)\ФНОИ\мз</t>
  </si>
  <si>
    <t>РБ(рм)\БФ\мр</t>
  </si>
  <si>
    <t>РБ з.о.(зм)\БФ\мз</t>
  </si>
  <si>
    <t>РиПГ(рм)\ГГФ\мр</t>
  </si>
  <si>
    <t>РПГ(зм)\ГГФ\мз</t>
  </si>
  <si>
    <t>РС(рмнс)\ГГФ\мр</t>
  </si>
  <si>
    <t>РС(рмс)\ГГФ\мр</t>
  </si>
  <si>
    <t>РС(змс)\ГГФ\мз</t>
  </si>
  <si>
    <t>РС - след ОКС"ПБ"(рм4 сем.)\ГГФ\мр</t>
  </si>
  <si>
    <t>РС(рм ОКС"ПБ")(рм4 сем.)\ГГФ\мр</t>
  </si>
  <si>
    <t>РС(рмнсл)\ГГФ\мр</t>
  </si>
  <si>
    <t>РС(след ОКС"ПБ")(рм4 сем.)\ГГФ\мр</t>
  </si>
  <si>
    <t>РС(змнс)\ГГФ\мз</t>
  </si>
  <si>
    <t>РС(змнсл)\ГГФ\мз</t>
  </si>
  <si>
    <t>РС - след ОКС"ПБ"(зм5 сем.)\ГГФ\мз</t>
  </si>
  <si>
    <t>РС (за ОКС "ПБ")(рм5 сем.)\ГГФ\мр</t>
  </si>
  <si>
    <t>РС(след ОКС"ПБ")(зм5 сем.)\ГГФ\мз</t>
  </si>
  <si>
    <t>РС(змнс)(зм3 сем.)\ГГФ\мз</t>
  </si>
  <si>
    <t>РС(рмс)(рм2 сем)\ГГФ\мр</t>
  </si>
  <si>
    <t>РГРС(рм2 сем)\ГГФ\мр</t>
  </si>
  <si>
    <t>РИУР (рб)(рмс)\ГГФ\мр</t>
  </si>
  <si>
    <t>РРП(рб)\ГГФ\бр</t>
  </si>
  <si>
    <t>РРиП(рб)\ГГФ\бр</t>
  </si>
  <si>
    <t>РРиУ(рм)\ГГФ\мр</t>
  </si>
  <si>
    <t>РРУ (спб)(рм5 сем.)\ГГФ\мр</t>
  </si>
  <si>
    <t>РРУмп(рм5 сем.)\ГГФ\мр</t>
  </si>
  <si>
    <t>РРУ(рмс)2сем.(рм2 сем)\ГГФ\мр</t>
  </si>
  <si>
    <t>РРУ/специалисти(рм2 сем)\ГГФ\мр</t>
  </si>
  <si>
    <t>РРУ(змс)3сем.(зм3 сем.)\ГГФ\мз</t>
  </si>
  <si>
    <t>РРУ/ специалисти(зм3 сем.)\ГГФ\мз</t>
  </si>
  <si>
    <t>РРУ(зм)\ГГФ\мз</t>
  </si>
  <si>
    <t>РРУ(нмз)(змнс)\ГГФ\мз</t>
  </si>
  <si>
    <t>РРУ(змнс)4сем.(зм4 сем.л)\ГГФ\мз</t>
  </si>
  <si>
    <t>РРУ/ неспециалисти(зм4 сем.л)\ГГФ\мз</t>
  </si>
  <si>
    <t>РПК2(зм2 сем)\ФЖМК\мз</t>
  </si>
  <si>
    <t>РПК(зм)\ФЖМК\мз</t>
  </si>
  <si>
    <t>РДП(рм2 сем)\ФНОИ\мр</t>
  </si>
  <si>
    <t>РДП (др.проф.напр.)(рм3 сем.)\ФНОИ\мр</t>
  </si>
  <si>
    <t>Рел. и образование(зм2 сем)\БсФ\мз</t>
  </si>
  <si>
    <t>Религия и образовани(зм4 сем.)\БсФ\мз</t>
  </si>
  <si>
    <t>Религията в Европа(рб)\БсФ\бр</t>
  </si>
  <si>
    <t>Религията в Европа(зб)\БсФ\бз</t>
  </si>
  <si>
    <t>Рет(рмс)\ФФ\мр</t>
  </si>
  <si>
    <t>Рет(рмсл)\ФФ\мр</t>
  </si>
  <si>
    <t>Рет з с(зм2 сем)\ФФ\мз</t>
  </si>
  <si>
    <t>рет(змсл)\ФФ\мз</t>
  </si>
  <si>
    <t>рит(змс)\ФФ\мз</t>
  </si>
  <si>
    <t>Р(рм)\ФФ\мр</t>
  </si>
  <si>
    <t>Р(рмнс)\ФФ\мр</t>
  </si>
  <si>
    <t>Рет(рмнс)\ФФ\мр</t>
  </si>
  <si>
    <t>Рет(рмнсл)\ФФ\мр</t>
  </si>
  <si>
    <t>Р(зм)\ФФ\мз</t>
  </si>
  <si>
    <t>Р(змс)\ФФ\мз</t>
  </si>
  <si>
    <t>Рет(змнс)\ФФ\мз</t>
  </si>
  <si>
    <t>Рет(змнсл)\ФФ\мз</t>
  </si>
  <si>
    <t>Рет(змс)\ФФ\мз</t>
  </si>
  <si>
    <t>рит(змнс)\ФФ\мз</t>
  </si>
  <si>
    <t>РФ(рб)\ФКНФ\бр</t>
  </si>
  <si>
    <t>РумФ(рб)\ФКНФ\бр</t>
  </si>
  <si>
    <t>Руска литература, ку(рм)\ФСлФ\мр</t>
  </si>
  <si>
    <t>Руска литература(рмнс)\ФСлФ\мр</t>
  </si>
  <si>
    <t>РФ(рб)\ФСлФ\бр</t>
  </si>
  <si>
    <t>РФ(зб)\ФСлФ\бз</t>
  </si>
  <si>
    <t>РФ(рм)\ФСлФ\мр</t>
  </si>
  <si>
    <t>СИИИД(зм)\ФНОИ\мз</t>
  </si>
  <si>
    <t>Стклу(рм)\ФНОИ\мр</t>
  </si>
  <si>
    <t>Стклу(рм2 сем)\ФНОИ\мр</t>
  </si>
  <si>
    <t>Стклу(зм)\ФНОИ\мз</t>
  </si>
  <si>
    <t>Стклу(рмнс)\ФНОИ\мр</t>
  </si>
  <si>
    <t>Стлу(рмчс)(рм3 сем.)\ФНОИ\мр</t>
  </si>
  <si>
    <t>СТКЛУ(зм3 сем.)\ФНОИ\мз</t>
  </si>
  <si>
    <t>СЕиР(рм ч.ез.)\ФКНФ\мр</t>
  </si>
  <si>
    <t>СЕиР(рм)\ФКНФ\мр</t>
  </si>
  <si>
    <t>СЕиР(рмнс ч.ез.)\ФКНФ\мр</t>
  </si>
  <si>
    <t>СЕиР(рмнс)\ФКНФ\мр</t>
  </si>
  <si>
    <t>СЕиР(рм2 сем ч.ез.)\ФКНФ\мр</t>
  </si>
  <si>
    <t>СЕиР(рмнсл ч.ез.)\ФКНФ\мр</t>
  </si>
  <si>
    <t>СЕиР(рмнсл)\ФКНФ\мр</t>
  </si>
  <si>
    <t>Ск(рб)\ФКНФ\бр</t>
  </si>
  <si>
    <t>Ск(рм)\ФКНФ\мр</t>
  </si>
  <si>
    <t>СлФ(рм)\ФСлФ\мр</t>
  </si>
  <si>
    <t>СРР(неспец.)(рм4 сем.)\ФНОИ\мр</t>
  </si>
  <si>
    <t>СРРнеспец.(зм4 сем.)\ФНОИ\мз</t>
  </si>
  <si>
    <t>СРР(специалисти)(зм2 сем)\ФНОИ\мз</t>
  </si>
  <si>
    <t>СРРзо(зм2 сем)\ФНОИ\мз</t>
  </si>
  <si>
    <t>СТ(рм)\ФМИ\мр</t>
  </si>
  <si>
    <t>СофТех\ФМИ\мр</t>
  </si>
  <si>
    <t>СофТех(рм)\ФМИ\мр</t>
  </si>
  <si>
    <t>СИ(рб)\ФМИ\бр</t>
  </si>
  <si>
    <t>СКрПсих(рм3 сем.)\ФФ\мр</t>
  </si>
  <si>
    <t>СКПсп(рм3 сем.)\ФФ\мр</t>
  </si>
  <si>
    <t>СКПнесп(рм5 сем.)\ФФ\мр</t>
  </si>
  <si>
    <t>СЮП(рм3 сем.)\ФФ\мр</t>
  </si>
  <si>
    <t>СЮП~(рм3 сем.)\ФФ\мр</t>
  </si>
  <si>
    <t>Соц.П (рб)\ФНОИ\бр</t>
  </si>
  <si>
    <t>Соц.П(зб)\ФНОИ\бз</t>
  </si>
  <si>
    <t>СП 2014(зб)\ФНОИ\бз</t>
  </si>
  <si>
    <t>СРОС(зм3 сем.)\ФП\мз</t>
  </si>
  <si>
    <t>СРБМ(зм2 сем)\ФП\мз</t>
  </si>
  <si>
    <t>СРБМ(зм3 сем.)\ФП\мз</t>
  </si>
  <si>
    <t>СРсД(зм2 сем)\ФП\мз</t>
  </si>
  <si>
    <t>СРсД(зм3 сем.)\ФП\мз</t>
  </si>
  <si>
    <t>СРДС(рм2 сем)\ФП\мр</t>
  </si>
  <si>
    <t>СРДС(рм3 сем.)\ФП\мр</t>
  </si>
  <si>
    <t>СРДС(зм2 сем)\ФП\мз</t>
  </si>
  <si>
    <t>СРДС(зм3 сем.)\ФП\мз</t>
  </si>
  <si>
    <t>СД(рб)\ФП\бр</t>
  </si>
  <si>
    <t>СД(зб)\ФП\бз</t>
  </si>
  <si>
    <t>СИП(рм)\ФФ\мр</t>
  </si>
  <si>
    <t>СИП(рмл)\ФФ\мр</t>
  </si>
  <si>
    <t>Социални изследвания(рмл)\ФФ\мр</t>
  </si>
  <si>
    <t>СИП (л)(змл)\ФФ\мз</t>
  </si>
  <si>
    <t>СИП(зм)\ФФ\мз</t>
  </si>
  <si>
    <t>Спдп(зм)\ФНОИ\мз</t>
  </si>
  <si>
    <t>Спс(рм)\ФНОИ\мр</t>
  </si>
  <si>
    <t>СДСмп(рм)\ФФ\мр</t>
  </si>
  <si>
    <t>Соц.(рб)\ФФ\бр</t>
  </si>
  <si>
    <t>Спец.П(рб)\ФНОИ\бр</t>
  </si>
  <si>
    <t>Спец.П(зб)\ФНОИ\бз</t>
  </si>
  <si>
    <t>СП(несп)(рмнс)\ФНОИ\мр</t>
  </si>
  <si>
    <t>Сп(рм)\ФНОИ\мр</t>
  </si>
  <si>
    <t>СПдр.пед.спец.(рм3 сем.)\ФНОИ\мр</t>
  </si>
  <si>
    <t>СП(несп)(зм)\ФНОИ\мз</t>
  </si>
  <si>
    <t>СП(несп)(змнс)\ФНОИ\мз</t>
  </si>
  <si>
    <t>СП(сп2)(рм2 сем)\ФНОИ\мр</t>
  </si>
  <si>
    <t>Спец. п-ка 2014(зб)\ФНОИ\бз</t>
  </si>
  <si>
    <t>СПзав.др.спец.ро(рм2 сем)\ФНОИ\мр</t>
  </si>
  <si>
    <t>СПзав.др.спец.(зм4 сем.)\ФНОИ\мз</t>
  </si>
  <si>
    <t>СПзо(зм4 сем.)\ФНОИ\мз</t>
  </si>
  <si>
    <t>СП(пед.спец. ае рм)(рм3 сем. ч.ез.)\ФНОИ\мр</t>
  </si>
  <si>
    <t>СПобае(рм3 сем. ч.ез.)\ФНОИ\мр</t>
  </si>
  <si>
    <t>СП(пс ае рм лп)(рм3 сем.л ч.ез.)\ФНОИ\мр</t>
  </si>
  <si>
    <t>СП(пс ае рм лп)(рмл ч.ез.)\ФНОИ\мр</t>
  </si>
  <si>
    <t>СЖ(зм3 сем.)\ФЖМК\мз</t>
  </si>
  <si>
    <t>СДТзав.пед.спец.(рм2 сем)\ФНОИ\мр</t>
  </si>
  <si>
    <t>Средиземном. КЦАС(рмнс)\ИФ\мр</t>
  </si>
  <si>
    <t>Средиземноморски КЦА(рм)\ИФ\мр</t>
  </si>
  <si>
    <t>СОИК(рм)\ИФ\мр</t>
  </si>
  <si>
    <t>СОИПК(рмс)\ИФ\мр</t>
  </si>
  <si>
    <t>СОИК(рмнс)\ИФ\мр</t>
  </si>
  <si>
    <t>СОИПК(рмнс)\ИФ\мр</t>
  </si>
  <si>
    <t>СОИК(зм)\ИФ\мз</t>
  </si>
  <si>
    <t>СОИПК(зм)\ИФ\мз</t>
  </si>
  <si>
    <t>СОИПК(змс)\ИФ\мз</t>
  </si>
  <si>
    <t>СОИК(змнс)\ИФ\мз</t>
  </si>
  <si>
    <t>Средн. общество(змнс)\ИФ\мз</t>
  </si>
  <si>
    <t>СтБ(рм)\ФСлФ\мр</t>
  </si>
  <si>
    <t>Старобългаристика(рмнс)\ФСлФ\мр</t>
  </si>
  <si>
    <t>Старобългаристика(змнс)\ФСлФ\мз</t>
  </si>
  <si>
    <t>Старобългаристика(змс)\ФСлФ\мз</t>
  </si>
  <si>
    <t>Старобългаристика~(рмнс)\ФСлФ\мр</t>
  </si>
  <si>
    <t>СКВКмп(рмс)\ФСлФ\мр</t>
  </si>
  <si>
    <t>Стат(рб)\ФМИ\бр</t>
  </si>
  <si>
    <t>СФИ(рм3 сем.)\СтФ\мр</t>
  </si>
  <si>
    <t>СФИ(рм5 сем.)\СтФ\мр</t>
  </si>
  <si>
    <t>СИА(рм2 се\СтФ\мр</t>
  </si>
  <si>
    <t>СИА(рм2 сем)\СтФ\мр</t>
  </si>
  <si>
    <t>СИА(рм3 сем.)\СтФ\мр</t>
  </si>
  <si>
    <t>СИА(4сем.)\СтФ\мр</t>
  </si>
  <si>
    <t>СИА(4сем.)(рм4 сем.)\СтФ\мр</t>
  </si>
  <si>
    <t>СИА(рм5 сем.)\СтФ\мр</t>
  </si>
  <si>
    <t>СИА-ПБ(рм5 сем.)\СтФ\мр</t>
  </si>
  <si>
    <t>СИА-ПБ(рм4\СтФ\мр</t>
  </si>
  <si>
    <t>СИА-ПБ(рм4 сем.)\СтФ\мр</t>
  </si>
  <si>
    <t>СУ (немска програма)(рб)\СтФ\бр</t>
  </si>
  <si>
    <t>СУ (рб)\СтФ\бр</t>
  </si>
  <si>
    <t>СУ англ.език(рб)\СтФ\бр</t>
  </si>
  <si>
    <t>СУ фр(рб)\СтФ\бр</t>
  </si>
  <si>
    <t>СУ френска програма(рб)\СтФ\бр</t>
  </si>
  <si>
    <t>СУ(рб)\СтФ\бр</t>
  </si>
  <si>
    <t>СтрУ(рм)\СтФ\мр</t>
  </si>
  <si>
    <t>СБот(рм)\БФ\мр</t>
  </si>
  <si>
    <t>СчАГД (2сем.)(рм2 сем)\СтФ\мр</t>
  </si>
  <si>
    <t>СчАГД(рм2 сем)\СтФ\мр</t>
  </si>
  <si>
    <t>Счетоводство и АГД(рмнс)\СтФ\мр</t>
  </si>
  <si>
    <t>СчАГД (4 сем.)(рм4 сем.)\СтФ\мр</t>
  </si>
  <si>
    <t>СчАГД(рм4 сем.)\СтФ\мр</t>
  </si>
  <si>
    <t>СчАГДЛ(рм4\СтФ\мр</t>
  </si>
  <si>
    <t>СиК(рм3 сем.)\СтФ\мр</t>
  </si>
  <si>
    <t>Счет. и одит неик.(рмнс)\СтФ\мр</t>
  </si>
  <si>
    <t>Счетоводство и От(рмнс)\СтФ\мр</t>
  </si>
  <si>
    <t>Счетоводство и одит(рм3 сем.)\СтФ\мр</t>
  </si>
  <si>
    <t>Счет. и одит зимен 4(рм4 сем.)\СтФ\мр</t>
  </si>
  <si>
    <t>Счетоводство и одит4(рм4 сем.л)\СтФ\мр</t>
  </si>
  <si>
    <t>Счетоводство и одит(рм5 сем.)\СтФ\мр</t>
  </si>
  <si>
    <t>СФДП АЕ(рб ч.ез.)\СтФ\бр</t>
  </si>
  <si>
    <t>СГЕК(рм2 сем)\ФКНФ\мр</t>
  </si>
  <si>
    <t>САБ(рм2 сем)\БсФ\мр</t>
  </si>
  <si>
    <t>САБ(рм4 сем.)\БсФ\мр</t>
  </si>
  <si>
    <t>САБМПзо2(зм2 сем)\БсФ\мз</t>
  </si>
  <si>
    <t>САБ(зм4 сем.)\БсФ\мз</t>
  </si>
  <si>
    <t>СМСАОС(рм)\ФХФ\мр</t>
  </si>
  <si>
    <t>Съвр.образ.техн.(рм2 сем)\ФП\мр</t>
  </si>
  <si>
    <t>Съв.образ.техн.(зм2 сем)\ФП\мз</t>
  </si>
  <si>
    <t>Съвр.образ.техн.(рм3 сем.)\ФП\мр</t>
  </si>
  <si>
    <t>Съвр.образ.техн.(зм3 сем.)\ФП\мз</t>
  </si>
  <si>
    <t>ССХМ(рм)\ФХФ\мр</t>
  </si>
  <si>
    <t>ССХМА(рм)\ФХФ\мр</t>
  </si>
  <si>
    <t>ТНТ(рм3 сем.)\ФзФ\мр</t>
  </si>
  <si>
    <t>ТНН(зм3 сем.)\ФзФ\мз</t>
  </si>
  <si>
    <t>ТНТ(зм3 сем.)\ФзФ\мз</t>
  </si>
  <si>
    <t>Бс(рб)\БсФ\бр</t>
  </si>
  <si>
    <t>Теология(рб)\БсФ\бр</t>
  </si>
  <si>
    <t>Теология 2013(зб)\БсФ\бз</t>
  </si>
  <si>
    <t>Бс(зб)\БсФ\бз</t>
  </si>
  <si>
    <t>Теология(зб)\БсФ\бз</t>
  </si>
  <si>
    <t>ТИФ(рм3 сем.)\ФзФ\мр</t>
  </si>
  <si>
    <t>ТМФ(рм2 сем)\ФзФ\мр</t>
  </si>
  <si>
    <t>ТМФмп(рм)\ФзФ\мр</t>
  </si>
  <si>
    <t>ТМФ(рм3 сем.)\ФзФ\мр</t>
  </si>
  <si>
    <t>ТСПТ(рм4 сем. ч.ез.)\ФзФ\мр</t>
  </si>
  <si>
    <t>ТСПТ(рм4 сем.)\ФзФ\мр</t>
  </si>
  <si>
    <t>ТСПТ(англ.ез.)(рм4 сем. ч.ез.)\ФзФ\мр</t>
  </si>
  <si>
    <t>ТСПТ(англ.ез.)(рм4 сем.)\ФзФ\мр</t>
  </si>
  <si>
    <t>ТОМИ(м)\ФМИ\мр</t>
  </si>
  <si>
    <t>ТОМИ(рм)\ФМИ\мр</t>
  </si>
  <si>
    <t>ТОМИ(зм)\ФМИ\мз</t>
  </si>
  <si>
    <t>ТЗИ(рм)\ФМИ\мр</t>
  </si>
  <si>
    <t>ТОППИТ(рм)\ФМИ\мр</t>
  </si>
  <si>
    <t>ТОМИ(змл)\ФМИ\мз</t>
  </si>
  <si>
    <t>ТОМИ(рмл)\ФМИ\мр</t>
  </si>
  <si>
    <t>ТПИ в ИТ(рм)\ФМИ\мр</t>
  </si>
  <si>
    <t>ТДП(зм)\ФЖМК\мз</t>
  </si>
  <si>
    <t>Трансгранична българ(рм)\ФСлФ\мр</t>
  </si>
  <si>
    <t>Тргран/ред/несп(рмнс)\ФСлФ\мр</t>
  </si>
  <si>
    <t>Трангранс/задочно/(змс)\ФСлФ\мз</t>
  </si>
  <si>
    <t>Тргран/зад/несп(змнс)\ФСлФ\мз</t>
  </si>
  <si>
    <t>ТОП(рм)\ФФ\мр</t>
  </si>
  <si>
    <t>ТОП (зм)\ФФ\мз</t>
  </si>
  <si>
    <t>ТОПрнесп(рм4 сем.)\ФФ\мр</t>
  </si>
  <si>
    <t>ТОПзнесп(зм4 сем.)\ФФ\мз</t>
  </si>
  <si>
    <t>ТОПрсп(рм2 сем)\ФФ\мр</t>
  </si>
  <si>
    <t>ТПРЧР(рм)\ФФ\мр</t>
  </si>
  <si>
    <t>Т(рб)\ГГФ\бр</t>
  </si>
  <si>
    <t>Т(рм)\ГГФ\мр</t>
  </si>
  <si>
    <t>Т(зм)\ГГФ\мз</t>
  </si>
  <si>
    <t>Туризъм/5 сем.(зм5 сем.)\ГГФ\мз</t>
  </si>
  <si>
    <t>Т/4 сем.(змнс)\ГГФ\мз</t>
  </si>
  <si>
    <t>Т- след ПБ(зм5 сем.)\ГГФ\мз</t>
  </si>
  <si>
    <t>Т-ПБ(зм5 сем.)\ГГФ\мз</t>
  </si>
  <si>
    <t>Тю(рб)\ФКНФ\бр</t>
  </si>
  <si>
    <t>Тюр(рб)\ФКНФ\бр</t>
  </si>
  <si>
    <t>УФ(рб)\ФКНФ\бр</t>
  </si>
  <si>
    <t>УнгФ(рб)\ФКНФ\бр</t>
  </si>
  <si>
    <t>УЕС(зм)\ФФ\мз</t>
  </si>
  <si>
    <t>УЕС(змл)\ФФ\мз</t>
  </si>
  <si>
    <t>УИПС(рм3 сем.)\СтФ\мр</t>
  </si>
  <si>
    <t>УИПС(рм5 сем.)\СтФ\мр</t>
  </si>
  <si>
    <t>УИПС-ПБ(рм\СтФ\мр</t>
  </si>
  <si>
    <t>УИПС-ПБ(рм5 сем.)\СтФ\мр</t>
  </si>
  <si>
    <t>УИСР(рм2 сем)\ФП\мр</t>
  </si>
  <si>
    <t>УИСР(рм3 сем.)\ФП\мр</t>
  </si>
  <si>
    <t>УИСР(зм2 сем)\ФП\мз</t>
  </si>
  <si>
    <t>УИСР(зм3 сем.)\ФП\мз</t>
  </si>
  <si>
    <t>УИН(рм)\ФФ\мр</t>
  </si>
  <si>
    <t>УИР(зм)\ФФ\мз</t>
  </si>
  <si>
    <t>УПСРП(змс)\ГГФ\мз</t>
  </si>
  <si>
    <t>УТД/2 сем.(змс)\ГГФ\мз</t>
  </si>
  <si>
    <t>УТД/4 сем.(зм4 сем.)\ГГФ\мз</t>
  </si>
  <si>
    <t>УХКР(рм)\ГГФ\мр</t>
  </si>
  <si>
    <t>УХКР(зм)\ГГФ\мз</t>
  </si>
  <si>
    <t>УХР(зм)\ГГФ\мз</t>
  </si>
  <si>
    <t>УЧР(рм)\ГГФ\мр</t>
  </si>
  <si>
    <t>УЧР(рмс)\ГГФ\мр</t>
  </si>
  <si>
    <t>УЧР~(рмс)\ГГФ\мр</t>
  </si>
  <si>
    <t>УЧР(рмнс)4сем.(рм4 сем.)\ГГФ\мр</t>
  </si>
  <si>
    <t>УЧР(рмс)2сем.(рм2 сем)\ГГФ\мр</t>
  </si>
  <si>
    <t>УЧР(зм)\ГГФ\мз</t>
  </si>
  <si>
    <t>УЧР(змс)\ГГФ\мз</t>
  </si>
  <si>
    <t>УЧР(змс)3сем.(зм3 сем.)\ГГФ\мз</t>
  </si>
  <si>
    <t>УЧР (за ОКС "ПБ")(рм5 сем.)\ГГФ\мр</t>
  </si>
  <si>
    <t>УЧР (след ОКС "ПБ")(рм5 сем.)\ГГФ\мр</t>
  </si>
  <si>
    <t>УЧР(рмнс)\ГГФ\мр</t>
  </si>
  <si>
    <t>УЧР(след ОКС "ПБ")(зм5 сем.)\ГГФ\мз</t>
  </si>
  <si>
    <t>УЧР - след ОКС"ПБ"(рм4 сем.)\ГГФ\мр</t>
  </si>
  <si>
    <t>УИС(рм5 сем.)\СтФ\мр</t>
  </si>
  <si>
    <t>УИС-ПБ(рм5 сем.)\СтФ\мр</t>
  </si>
  <si>
    <t>УИС(рм2 сем)\СтФ\мр</t>
  </si>
  <si>
    <t>УИС АЕ летен (3 сем)(рм3 сем.л ч.ез.)\СтФ\мр</t>
  </si>
  <si>
    <t>УИС на АЕ (3 сем)(рм3 сем. ч.ез.)\СтФ\мр</t>
  </si>
  <si>
    <t>УИС чужд ез. (3 сем)(рм3 сем. ч.ез.)\СтФ\мр</t>
  </si>
  <si>
    <t>УИС(рм3 сем.)\СтФ\мр</t>
  </si>
  <si>
    <t>УИС на АЕ (4 сем)(рм4 сем. ч.ез.)\СтФ\мр</t>
  </si>
  <si>
    <t>УИС чужд ез. (4 сем)(рм4 сем. ч.ез.)\СтФ\мр</t>
  </si>
  <si>
    <t>УИС/4 сем/(рм4 сем.)\СтФ\мр</t>
  </si>
  <si>
    <t>УМФ(м)\ФМИ\мр</t>
  </si>
  <si>
    <t>УМФ(рм)\ФМИ\мр</t>
  </si>
  <si>
    <t>УМФ&amp;пр.(рм)\ФМИ\мр</t>
  </si>
  <si>
    <t>УП(рм)\ФКНФ\мр</t>
  </si>
  <si>
    <t>УБАЕ(рм)\БФ\мр</t>
  </si>
  <si>
    <t>УБАЕзад(зм)\БФ\мз</t>
  </si>
  <si>
    <t>УБАЕ(зм)\БФ\мз</t>
  </si>
  <si>
    <t>УГСУ-60 кредита(рмс)\ГГФ\мр</t>
  </si>
  <si>
    <t>УГСУ-90 кредита(рмнс)\ГГФ\мр</t>
  </si>
  <si>
    <t>УГСУ (90 кредита)(рмнс)\ГГФ\мр</t>
  </si>
  <si>
    <t>УПНОСО(рб)\ФзФ\бр</t>
  </si>
  <si>
    <t>УХ(р)(рм)\ФХФ\мр</t>
  </si>
  <si>
    <t>УХ(рм)\ФХФ\мр</t>
  </si>
  <si>
    <t>УХ(з)(зм)\ФХФ\мз</t>
  </si>
  <si>
    <t>УХмп(зм)\ФХФ\мз</t>
  </si>
  <si>
    <t>Фармация(рм)\ФХФ\мр</t>
  </si>
  <si>
    <t>ФАЕ(рм ч.ез.)\ФХФ\мр</t>
  </si>
  <si>
    <t>Фасилити менидж неик(змнс)\СтФ\мз</t>
  </si>
  <si>
    <t>Фасилити менидж-ЗО(зм2 сем)\СтФ\мз</t>
  </si>
  <si>
    <t>Ф(рб)\ФзФ\бр</t>
  </si>
  <si>
    <t>Ф(зб)\ФзФ\бз</t>
  </si>
  <si>
    <t>ф(зб)\ФзФ\бз</t>
  </si>
  <si>
    <t>Ф(рм)\ФзФ\мр</t>
  </si>
  <si>
    <t>Ф(рм3 сем.)\ФзФ\мр</t>
  </si>
  <si>
    <t>Ф(зм)\ФзФ\мз</t>
  </si>
  <si>
    <t>ФИ(рб)\ФзФ\бр</t>
  </si>
  <si>
    <t>ФМ(рб)\ФзФ\бр</t>
  </si>
  <si>
    <t>ФиМ(рб)\ФзФ\бр</t>
  </si>
  <si>
    <t>ФМ(зб)\ФзФ\бз</t>
  </si>
  <si>
    <t>ФиМ(зб)\ФзФ\бз</t>
  </si>
  <si>
    <t>ФЗАО(зм4 сем.)\ФзФ\мз</t>
  </si>
  <si>
    <t>ФПрм(рм2 сем)\ФзФ\мр</t>
  </si>
  <si>
    <t>ФПзм(зм3 сем.)\ФзФ\мз</t>
  </si>
  <si>
    <t>ФПНСП(рм4 сем.)\ФзФ\мр</t>
  </si>
  <si>
    <t>ФПТЯС(рм2 сем)\ФзФ\мр</t>
  </si>
  <si>
    <t>ФТТроМП(рм)\ФзФ\мр</t>
  </si>
  <si>
    <t>ФТТроМП(рм3 сем.)\ФзФ\мр</t>
  </si>
  <si>
    <t>ФЯЕЧ(рб ч.ез.)\ФзФ\бр</t>
  </si>
  <si>
    <t>ФЯЕЧ(рм3 сем.)\ФзФ\мр</t>
  </si>
  <si>
    <t>ФЯЕЧ(рм5 сем.)\ФзФ\мр</t>
  </si>
  <si>
    <t>ФЯТЧ(рм5 сем.)\ФзФ\мр</t>
  </si>
  <si>
    <t>ФЖЧ(рм)\БФ\мр</t>
  </si>
  <si>
    <t>ФЖЧ зо(зм)\БФ\мз</t>
  </si>
  <si>
    <t>ФЖЧнсп(рмнсл)\БФ\мр</t>
  </si>
  <si>
    <t>ФР(рм)\БФ\мр</t>
  </si>
  <si>
    <t>ФГЛЕ(рм)\ГГФ\мр</t>
  </si>
  <si>
    <t>ФГЛЕ(зм)\ГГФ\мз</t>
  </si>
  <si>
    <t>ФГЛЕ~(зм)\ГГФ\мз</t>
  </si>
  <si>
    <t>ФВС(рб)\ФНОИ\бр</t>
  </si>
  <si>
    <t>Фил.(рб)\ФФ\бр</t>
  </si>
  <si>
    <t>Фил.(зб)\ФФ\бз</t>
  </si>
  <si>
    <t>Ф(рмс)\ФФ\мр</t>
  </si>
  <si>
    <t>Ф(рмсл)\ФФ\мр</t>
  </si>
  <si>
    <t>Филм2(рм2 сем)\ФФ\мр</t>
  </si>
  <si>
    <t>Философия(рмс)\ФФ\мр</t>
  </si>
  <si>
    <t>Философия(рмсл)\ФФ\мр</t>
  </si>
  <si>
    <t>Ф(рмнсл)\ФФ\мр</t>
  </si>
  <si>
    <t>Философия(рмнсл)\ФФ\мр</t>
  </si>
  <si>
    <t>ф(рм)\ФФ\мр</t>
  </si>
  <si>
    <t>ф(рмнс)\ФФ\мр</t>
  </si>
  <si>
    <t>ФНсп(змнс)\ФФ\мз</t>
  </si>
  <si>
    <t>ФИЛen(рб ч.ез.)\ФФ\бр</t>
  </si>
  <si>
    <t>ФКИ(рм)\ФФ\мр</t>
  </si>
  <si>
    <t>ФКИ(рмнс)\ФФ\мр</t>
  </si>
  <si>
    <t>Философия и култура (рмл)\ФФ\мр</t>
  </si>
  <si>
    <t>ФСУ(зм)\ФФ\мз</t>
  </si>
  <si>
    <t>ФСУл(зм2 семл)\ФФ\мз</t>
  </si>
  <si>
    <t>ФСЕ(зм)\ФФ\мз</t>
  </si>
  <si>
    <t>ФСЕ(змл)\ФФ\мз</t>
  </si>
  <si>
    <t>ФПА(рм ч.ез.)\ФФ\мр</t>
  </si>
  <si>
    <t>ФПА(рм)\ФФ\мр</t>
  </si>
  <si>
    <t>ФПА(рмл ч.ез.)\ФФ\мр</t>
  </si>
  <si>
    <t>ФПА(рмл)\ФФ\мр</t>
  </si>
  <si>
    <t>ФПАл(рмл)\ФФ\мр</t>
  </si>
  <si>
    <t>ФПА(зм ч.ез.)\ФФ\мз</t>
  </si>
  <si>
    <t>ФПА(зм)\ФФ\мз</t>
  </si>
  <si>
    <t>ФПА(змл ч.ез.)\ФФ\мз</t>
  </si>
  <si>
    <t>ФПА(змл)\ФФ\мз</t>
  </si>
  <si>
    <t>ФПАбак3 л.(рм4 сем.л ч.ез.)\ФФ\мр</t>
  </si>
  <si>
    <t>ФПАбак3(рм4 сем. ч.ез.)\ФФ\мр</t>
  </si>
  <si>
    <t>ФПАЕ 4с летен(зм4 сем.л ч.ез.)\ФФ\мз</t>
  </si>
  <si>
    <t>ФПАбак3 л.(зм4 сем.л ч.ез.)\ФФ\мз</t>
  </si>
  <si>
    <t>ФПАбак3(зм4 сем. ч.ез.)\ФФ\мз</t>
  </si>
  <si>
    <t>ФАНТР(рмл)\ФФ\мр</t>
  </si>
  <si>
    <t>ФАнтр(рм)\ФФ\мр</t>
  </si>
  <si>
    <t>ФБД(рм)\СтФ\мр</t>
  </si>
  <si>
    <t>ФБД(рм3 сем.)\СтФ\мр</t>
  </si>
  <si>
    <t>ФБД (неиконом.)(рмнс)\СтФ\мр</t>
  </si>
  <si>
    <t>Финанси и БД 3 сем.(рм3 сем.)\СтФ\мр</t>
  </si>
  <si>
    <t>Финанси и банково де(рм3 сем.)\СтФ\мр</t>
  </si>
  <si>
    <t>Финанси и банково де(рмнс)\СтФ\мр</t>
  </si>
  <si>
    <t>ФБД(рм5 сем.)\СтФ\мр</t>
  </si>
  <si>
    <t>ФБД (рм5 сем.)\СтФ\мр</t>
  </si>
  <si>
    <t>Финанси и инвест Н(рмнс)\СтФ\мр</t>
  </si>
  <si>
    <t>Финанси и инвестиции(рм2 сем)\СтФ\мр</t>
  </si>
  <si>
    <t>Финанси и инвестиции(рм4 сем.л)\СтФ\мр</t>
  </si>
  <si>
    <t>ФИФ иконом. 3 сем.(рм3 сем.)\СтФ\мр</t>
  </si>
  <si>
    <t>ФИФ неиконом. 3 сем.(рмнс)\СтФ\мр</t>
  </si>
  <si>
    <t>ФИФ 4 сем. зимен (рм4 сем.)\СтФ\мр</t>
  </si>
  <si>
    <t>ФИФ 4 сем. летен(рм4 сем.л)\СтФ\мр</t>
  </si>
  <si>
    <t>ФСч. и АГД (3 сем.)(рм3 сем.)\СтФ\мр</t>
  </si>
  <si>
    <t>ФСч. и АГД неик. 3(рмнс)\СтФ\мр</t>
  </si>
  <si>
    <t>ФМ - англ(рм3 сем. ч.ез.)\СтФ\мр</t>
  </si>
  <si>
    <t>ФМ-англ-неик(рм3 сем. ч.ез.)\СтФ\мр</t>
  </si>
  <si>
    <t>ФМ-англ-неик(рм3 сем.)\СтФ\мр</t>
  </si>
  <si>
    <t>ФМ - англ(рм3 сем.)\СтФ\мр</t>
  </si>
  <si>
    <t>ФМ - фр /англ(рм3 сем.)\СтФ\мр</t>
  </si>
  <si>
    <t>ФЛФ(рб)\ФзФ\бр</t>
  </si>
  <si>
    <t>ФМиММ(рм ч.ез.)\ФКНФ\мр</t>
  </si>
  <si>
    <t>ФМиММ(рм)\ФКНФ\мр</t>
  </si>
  <si>
    <t>ФИ(рм)\ФКНФ\мр</t>
  </si>
  <si>
    <t>ФрИзсл(рм)\ФКНФ\мр</t>
  </si>
  <si>
    <t>ФФ(рб)\ФКНФ\бр</t>
  </si>
  <si>
    <t>ФрФ(рб)\ФКНФ\бр</t>
  </si>
  <si>
    <t>ФМ(рм)\ФХФ\мр</t>
  </si>
  <si>
    <t>Хебра(рб)\ИФ\бр</t>
  </si>
  <si>
    <t>Х(рб)\ФХФ\бр</t>
  </si>
  <si>
    <t>Х(зб)\ФХФ\бз</t>
  </si>
  <si>
    <t>Химия за бъдещето(рмс)\ФХФ\мр</t>
  </si>
  <si>
    <t>Х-я и англ. език(рб)\ФХФ\бр</t>
  </si>
  <si>
    <t>ХИ(рб)\ФХФ\бр</t>
  </si>
  <si>
    <t>Християнско покл-во(зм4 сем.)\БсФ\мз</t>
  </si>
  <si>
    <t>Християнско поклонни(зм2 сем)\БсФ\мз</t>
  </si>
  <si>
    <t>ХИБ(рм2 сем)\ИФ\мр</t>
  </si>
  <si>
    <t>Църква и медии(зм2 сем)\БсФ\мз</t>
  </si>
  <si>
    <t>Църква и медии(зм4 сем.)\БсФ\мз</t>
  </si>
  <si>
    <t>Църковен мениджмънт(зм2 сем)\БсФ\мз</t>
  </si>
  <si>
    <t>Църковен мениджмънт(зм4 сем.)\БсФ\мз</t>
  </si>
  <si>
    <t>Църковно изкуство (змс)\БсФ\мз</t>
  </si>
  <si>
    <t>Църковно изкуство (змнс)\БсФ\мз</t>
  </si>
  <si>
    <t>ЦСДсп(змс)\БсФ\мз</t>
  </si>
  <si>
    <t>Църковно социално де(змс)\БсФ\мз</t>
  </si>
  <si>
    <t>Църковно социално де(зм4 сем.)\БсФ\мз</t>
  </si>
  <si>
    <t>Църковно социално де(змнс)\БсФ\мз</t>
  </si>
  <si>
    <t>ЦССмп(рмс)\БсФ\мр</t>
  </si>
  <si>
    <t>ЧОППЕС(рмл)\ЮФ\мр</t>
  </si>
  <si>
    <t>ЧОППЕСромп(рм)\ЮФ\мр</t>
  </si>
  <si>
    <t>ЧЕЛитМед(рм3 сем.л ч.ез.)\ФКНФ\мр</t>
  </si>
  <si>
    <t>ЮИиЮИ(рб)\ФКНФ\бр</t>
  </si>
  <si>
    <t>ЮИЮА(рм ч.ез.)\ФКНФ\мр</t>
  </si>
  <si>
    <t>ЯЕТ(рм4 сем.)\ФзФ\мр</t>
  </si>
  <si>
    <t>ЯЕТ(рм4 сем.л)\ФзФ\мр</t>
  </si>
  <si>
    <t>ЯЕТ(зм5 сем.)\ФзФ\мз</t>
  </si>
  <si>
    <t>ЯЕТНС(зм5 сем.л)\ФзФ\мз</t>
  </si>
  <si>
    <t>ЯЕТ(змс)\ФзФ\мз</t>
  </si>
  <si>
    <t>ЯЕТПБ(зм6 сем.л)\ФзФ\мз</t>
  </si>
  <si>
    <t>ЯЕТПБ(змл)\ФзФ\мз</t>
  </si>
  <si>
    <t>ЯЕТ(рм3 сем.)\ФзФ\мр</t>
  </si>
  <si>
    <t>ЯЕТ(рм3 сем.л)\ФзФ\мр</t>
  </si>
  <si>
    <t>ЯТЯЕ(рм)\ФзФ\мр</t>
  </si>
  <si>
    <t>ЯТЯТ(рм3 сем.л)\ФзФ\мр</t>
  </si>
  <si>
    <t>ЯТЯЕ(рб)\ФзФ\бр</t>
  </si>
  <si>
    <t>ЯТиЕ(рб)\ФзФ\бр</t>
  </si>
  <si>
    <t>ЯХ(рб)\ФХФ\бр</t>
  </si>
  <si>
    <t>Ядрена химия(рм)\ФХФ\мр</t>
  </si>
  <si>
    <t>ЯХ(рм)\ФХФ\мр</t>
  </si>
  <si>
    <t>Я(рб)\ФКНФ\бр</t>
  </si>
  <si>
    <t>Япо(рб)\ФКНФ\бр</t>
  </si>
  <si>
    <t>Я:ОиК(рмнс)\ФКНФ\мр</t>
  </si>
  <si>
    <t>ЯЕК(рм)\ФКНФ\мр</t>
  </si>
  <si>
    <t>ЯЕК(рмл)\ФКНФ\мр</t>
  </si>
  <si>
    <t>Буд.:ЕЛиК с кор.ез.(рм3 сем.)\ФКНФ\мр</t>
  </si>
  <si>
    <t>Буд.:ЕЛиК с яп. ез.(рм3 сем.)\ФКНФ\мр</t>
  </si>
  <si>
    <t>Буд.:ЕЛиК с инд.ез.(рм3 сем.)\ФКНФ\мр</t>
  </si>
  <si>
    <t>Буд.:ЕЛиК с кит. ез.(рм3 сем.)\ФКНФ\мр</t>
  </si>
  <si>
    <t>кодНАЦИД</t>
  </si>
  <si>
    <t>Агробиотехнологии\АБТХ(рб)\БФ\бр</t>
  </si>
  <si>
    <t>Административни практики\АП(зм)\ФФ\мз</t>
  </si>
  <si>
    <t>Административни практики\АП(змл)\ФФ\мз</t>
  </si>
  <si>
    <t>Администрация и управление\АУ(рм)\СтФ\мр</t>
  </si>
  <si>
    <t>Аерокосмическо инженерство и комуникации\AEC(рм3 сем. ч.ез.)\ФзФ\мр</t>
  </si>
  <si>
    <t>Аерокосмическо инженерство и комуникации (3 сем.)\АКИК(рм3 сем.)\ФзФ\мр</t>
  </si>
  <si>
    <t>Актюерство и управление на риска\АУР(рм3 сем.)\СтФ\мр</t>
  </si>
  <si>
    <t>Актюерство и управление на риска\АУР(рм5 сем.)\СтФ\мр</t>
  </si>
  <si>
    <t>Алгебра, геометрия и топология\АГТ(рм)\ФМИ\мр</t>
  </si>
  <si>
    <t>Алгология и Микология\АиМ(рм)\БФ\мр</t>
  </si>
  <si>
    <t>Американистика и трансатлантически отношения\АТО(рмс)\ИФ\мр</t>
  </si>
  <si>
    <t>Американистика и трансатлантически отношения\АТО(рмнс)\ИФ\мр</t>
  </si>
  <si>
    <t>Анализ на данни\АД(рб)\ФМИ\бр</t>
  </si>
  <si>
    <t>Английска филология\АнгФ(рб)\ФКНФ\бр</t>
  </si>
  <si>
    <t>Английският език в модерното общуване\АЕМО(рм)\ФКНФ\мр</t>
  </si>
  <si>
    <t>Антична история и тракология (3 семестъра)\АИТ(рмс)\ИФ\мр</t>
  </si>
  <si>
    <t>Антична история и тракология (5 семестъра)\АИТ(рмнс)\ИФ\мр</t>
  </si>
  <si>
    <t>Антична култура и литература\АЛК(рмнс)\ФКНФ\мр</t>
  </si>
  <si>
    <t>Антична култура и литература\АнтКуЛит(рмнс)\ФКНФ\мр</t>
  </si>
  <si>
    <t>Антична литература и култура\АнтКуЛит(рм)\ФКНФ\мр</t>
  </si>
  <si>
    <t>Антична литература и култура\АнтКуЛит(рмс)\ФКНФ\мр</t>
  </si>
  <si>
    <t>Антична литература и култура\КлФ(рм)\ФКНФ\мр</t>
  </si>
  <si>
    <t>Античност и Средновековие (неспециалисти)\АиС(рмнс)\ИФ\мр</t>
  </si>
  <si>
    <t>Античност и Средновековие (неспециалисти/летен прием) \АиС(рмнсл)\ИФ\мр</t>
  </si>
  <si>
    <t>Античност и Средновековие (специалисти)\АиС(рмс)\ИФ\мр</t>
  </si>
  <si>
    <t>Античност и Средновековие (специалисти/летен прием) \АиС(рмсл)\ИФ\мр</t>
  </si>
  <si>
    <t>Антропологически изследвания на Средиземноморието и Балканите: Италия-България\АИСБИБ(рм)\ФКНФ\мр</t>
  </si>
  <si>
    <t>Арабистика\Арб(рб)\ФКНФ\бр</t>
  </si>
  <si>
    <t>Арабско общество и култура\АОК(рм)\ФКНФ\мр</t>
  </si>
  <si>
    <t>Арменистика и кавказология\АрмКав(рб)\ФКНФ\бр</t>
  </si>
  <si>
    <t>Археология\Арх(рб)\ИФ\бр</t>
  </si>
  <si>
    <t>Археология\Арх(рм4 сем.)\ИФ\мр</t>
  </si>
  <si>
    <t>Археология\Арх4(рм4 сем.)\ИФ\мр</t>
  </si>
  <si>
    <t>Археология\А(рмнс)\ИФ\мр</t>
  </si>
  <si>
    <t>Археология\А(рмс)\ИФ\мр</t>
  </si>
  <si>
    <t>Археометрия\Ам(рм)\ИФ\мр</t>
  </si>
  <si>
    <t>Археометрия\А(рм)\ФХФ\мр</t>
  </si>
  <si>
    <t>Археометрия  (2 семестъра)\Aрхеометрия(рмсл)\ИФ\мр</t>
  </si>
  <si>
    <t>Архивистика и документалистика\АиДок(рб)\ИФ\бр</t>
  </si>
  <si>
    <t>Архивистика и документалистика\АиД(зб)\ИФ\бз</t>
  </si>
  <si>
    <t>Астрономия и астрофизика\АА(рм)\ФзФ\мр</t>
  </si>
  <si>
    <t>Астрономия и астрофизика\АА(рм2 сем)\ФзФ\мр</t>
  </si>
  <si>
    <t>Астрономия и астрофизика\ААФ(рм2 сем)\ФзФ\мр</t>
  </si>
  <si>
    <t>Астрономия и астрофизика\АА(рм3 сем.)\ФзФ\мр</t>
  </si>
  <si>
    <t>Астрономия и популяризация на астрономията\АПА(зм4 сем.)\ФзФ\мз</t>
  </si>
  <si>
    <t>Астрофизика, метеорология и геофизика\АМГ(рб)\ФзФ\бр</t>
  </si>
  <si>
    <t>Астрофизика, метеорология и геофизика\АМГ(зб)\ФзФ\бз</t>
  </si>
  <si>
    <t>Аудиовизуален дизайн (2 сем.)\АВД(рм2 сем)\ФНОИ\мр</t>
  </si>
  <si>
    <t>Аудиовизуален дизайн (2 сем.)\АД/челп/(рмл ч.ез.)\ФНОИ\мр</t>
  </si>
  <si>
    <t>Аудиопродукция и мастеринг\АПМ(рм3 сем.)\ФНОИ\мр</t>
  </si>
  <si>
    <t>Аутсорсинг проекти и компании (2 сем.)\АПК летен неик.(рмнсл)\СтФ\мр</t>
  </si>
  <si>
    <t>Аутсорсинг проекти и компании (2 сем.)\АПК летен прием(рм2 семл)\СтФ\мр</t>
  </si>
  <si>
    <t>Аутсорсинг проекти и компании (2 сем.)\Аутсорсинг ПК неик.(рмнс)\СтФ\мр</t>
  </si>
  <si>
    <t>Аутсорсинг проекти и компании (2 сем.)\Аутсорсинг проекти и(рм2 сем)\СтФ\мр</t>
  </si>
  <si>
    <t>Африканистика (на английски език)\Афр(рб ч.ез.)\ФКНФ\бр</t>
  </si>
  <si>
    <t>Балканистика\Б(рм)\ФСлФ\мр</t>
  </si>
  <si>
    <t>Балканите и Русия (история, култура, политика)\Балканите и Русия(рмс)\ИФ\мр</t>
  </si>
  <si>
    <t>Балканите и Русия (история, култура, политика) (неспециалисти)\Балканите и Русия (рмнс)\ИФ\мр</t>
  </si>
  <si>
    <t>Балканите между две цивилизации:християнство и ислям\БМ2ЦХИ(рмнс)\ИФ\мр</t>
  </si>
  <si>
    <t>Балканите между две цивилизации:християнство и ислям\ХриИсл(рмнс)\ИФ\мр</t>
  </si>
  <si>
    <t>Балканите между две цивилизации:християнство и ислям\БМ2ЦХИ(змнс)\ИФ\мз</t>
  </si>
  <si>
    <t>Безжични мрежи и устройства\WND_en_(рм3 сем. ч.ез.)\ФзФ\мр</t>
  </si>
  <si>
    <t>Безжични мрежи и устройства\WND_en_(рм3 сем.)\ФзФ\мр</t>
  </si>
  <si>
    <t>Безжични мрежи и устройства\БМУ(рм4 сем.)\ФзФ\мр</t>
  </si>
  <si>
    <t>Безжични мрежи и устройства\БМУ зм4л(зм4 сем.л)\ФзФ\мз</t>
  </si>
  <si>
    <t>Безжични мрежи и устройства\БМУ зм4л(змсл)\ФзФ\мз</t>
  </si>
  <si>
    <t>Безжични мрежи и устройства\БМУ(зм)\ФзФ\мз</t>
  </si>
  <si>
    <t>Безжични мрежи и устройства\БМУ(зм4 сем.)\ФзФ\мз</t>
  </si>
  <si>
    <t>Безжични мрежи и устройства\БМУ(пб)(зм4 сем.)\ФзФ\мз</t>
  </si>
  <si>
    <t>Безжични мрежи и устройства\БМУЛПЗ4(змл)\ФзФ\мз</t>
  </si>
  <si>
    <t>Безжични мрежи и устройства (3 сем.) \БМУ - р(рм3 сем.)\ФзФ\мр</t>
  </si>
  <si>
    <t>Безжични мрежи и устройства (4 сем.)\БМУ(зм4 сем.л)\ФзФ\мз</t>
  </si>
  <si>
    <t>Безжични мрежи и устройства-ПБ (4 сем.)\БМУ - прб-з(зм4 сем.)\ФзФ\мз</t>
  </si>
  <si>
    <t>Безжични мрежи и устройства-ПБ~ (4 сем.)\БМУ(рм4 сем.)\ФзФ\мр</t>
  </si>
  <si>
    <t>Безжични мрежи и устройства-ПБ~ (4 сем.)\БМУ(зм4 сем.)\ФзФ\мз</t>
  </si>
  <si>
    <t>Библиотечно-информационни дейности и културна политика\БИН(зм)\ФФ\мз</t>
  </si>
  <si>
    <t>Библиотечно-информационни дейности и културна политика\БИНКП(змл)\ФФ\мз</t>
  </si>
  <si>
    <t>Библиотечно-информационни дейности и културна политика\БИНКП(змнсл)\ФФ\мз</t>
  </si>
  <si>
    <t>Библиотечно-информационни науки\БИН(рб)\ФФ\бр</t>
  </si>
  <si>
    <t>Библиотечно-информационни науки\БИН(зб)\ФФ\бз</t>
  </si>
  <si>
    <t>Библиотечно-информационни науки и културна политика\БИНКП(зм)\ФФ\мз</t>
  </si>
  <si>
    <t>Библиотечно-информационни науки и културна политика\БИНКП(змнс)\ФФ\мз</t>
  </si>
  <si>
    <t>Библиотечно-информационни науки и културна политика\БИНКП(змс)\ФФ\мз</t>
  </si>
  <si>
    <t>Библиотечно-информационни науки и културна политика\БИНКП2л(зм2 семл)\ФФ\мз</t>
  </si>
  <si>
    <t>Библиотечно-информационни науки и културна политика (2 семестъра)\БИНКП(змсл)\ФФ\мз</t>
  </si>
  <si>
    <t>Библиотечно-информационни науки и културна политика (2 семестъра)\БИНКП2(зм2 сем)\ФФ\мз</t>
  </si>
  <si>
    <t>Библиотечно-информационни технологии\БИТ(зм)\ФФ\мз</t>
  </si>
  <si>
    <t>Библиотечно-информационни технологии\БИТ(змл)\ФФ\мз</t>
  </si>
  <si>
    <t>Библиотечно-информационные науки на русском языке \БИНКПр(рм)\ФФ\мр</t>
  </si>
  <si>
    <t>Библиотечно-информационные науки на русском языке \БИНКПр(рмл)\ФФ\мр</t>
  </si>
  <si>
    <t>Бизнес администрация (2 сем.)\БА (2 сем.) летен (рм2 семл)\СтФ\мр</t>
  </si>
  <si>
    <t>Бизнес администрация (2 сем.)\БА (2 сем.)(рм2 сем)\СтФ\мр</t>
  </si>
  <si>
    <t>Бизнес администрация (2 сем.)\БА(рм2 сем)\СтФ\мр</t>
  </si>
  <si>
    <t>Бизнес администрация (2 сем.)\БА(рм2 семл)\СтФ\мр</t>
  </si>
  <si>
    <t>Бизнес администрация (английска програма)\БА (англ програма)(рб)\СтФ\бр</t>
  </si>
  <si>
    <t>Бизнес администрация (на английски език)\БА англ.език(рм3 сем.)\СтФ\мр</t>
  </si>
  <si>
    <t>Бизнес администрация (на английски език) \БА (англ.език)(рм5 сем.)\СтФ\мр</t>
  </si>
  <si>
    <t>Бизнес администрация (немска програма)\БА немска програма(рб)\СтФ\бр</t>
  </si>
  <si>
    <t>Бизнес администрация (френска програма)\БА френска програма(рб)\СтФ\бр</t>
  </si>
  <si>
    <t>Бизнес администрация - Икономика и управление на здравеопазването (3 семестъра)\БА-ИУЗ(рм3 сем.)\СтФ\мр</t>
  </si>
  <si>
    <t>Бизнес администрация - Икономика и управление на здравеопазването (5 семестъра)\БА - ИУЗ 5(рм5 сем.)\СтФ\мр</t>
  </si>
  <si>
    <t>Бизнес администрация – управление и предприемачество\БА-УП ЗО зимен(зм2 сем)\СтФ\мз</t>
  </si>
  <si>
    <t>Бизнес администрация – управление и предприемачество\БА-УП ЗО летен(зм2 семл)\СтФ\мз</t>
  </si>
  <si>
    <t>Бизнес администрация – управление и предприемачество\БА-УП ЗО-Н зимен(змнс)\СтФ\мз</t>
  </si>
  <si>
    <t>Бизнес администрация – управление и предприемачество\БА-УП ЗО-Н летен(змнсл)\СтФ\мз</t>
  </si>
  <si>
    <t>Бизнес администрация – управление и предприемачество\БА-УП(зм2 сем)\СтФ\мз</t>
  </si>
  <si>
    <t>Бизнес администрация- стратегическо управление\БАСУ(рм3 сем.)\СтФ\мр</t>
  </si>
  <si>
    <t>Бизнес администрация- стратегическо управление\БА-СУ-ПБ(рм5 сем.)\СтФ\мр</t>
  </si>
  <si>
    <t>Бизнес администрация- стратегическо управление\БАСУ(рм5 сем.)\СтФ\мр</t>
  </si>
  <si>
    <t>Бизнес администрация- стратегическо управление (4 сем.)\БА-СУ(рм4 сем.)\СтФ\мр</t>
  </si>
  <si>
    <t>Бизнес администрация- управление на човешките ресурси\БАРЧР(рм3 сем.)\СтФ\мр</t>
  </si>
  <si>
    <t>Бизнес администрация- управление на човешките ресурси\БАУЧР(рм3 сем.)\СтФ\мр</t>
  </si>
  <si>
    <t>Бизнес администрация- управление на човешките ресурси\БА-РЧР-ПБ(рм5 сем.)\СтФ\мр</t>
  </si>
  <si>
    <t>Бизнес администрация- управление на човешките ресурси\БАРЧР(рм5 сем.)\СтФ\мр</t>
  </si>
  <si>
    <t>Бизнес администрация- управление на човешките ресурси\БАУЧР(рм5 сем.)\СтФ\мр</t>
  </si>
  <si>
    <t>Бизнес администрация-стратегическо управление (2 сем.)\БА-СУ (2 сем.)(рм2 сем)\СтФ\мр</t>
  </si>
  <si>
    <t>Бизнес администрация-стратегическо управление (2 сем.)\БА-СУ(рм2 сем)\СтФ\мр</t>
  </si>
  <si>
    <t>Бизнес администрация-стратегическо управление (2 сем.)\БА-СУ-Н(рмнс)\СтФ\мр</t>
  </si>
  <si>
    <t>Бизнес администрация-стратегическо управление (на английски език) (4 семестъра)\БА-СУ (на англ.ез.)(рм4 сем. ч.ез.)\СтФ\мр</t>
  </si>
  <si>
    <t>Бизнес администрация-стратегическо управление (на английски език) (4 семестъра)\БА-СУ (на англ.ез.)(рм4 сем.)\СтФ\мр</t>
  </si>
  <si>
    <t>Бизнес администрация-стратегическо управление (на английски език) (4 семестъра)\БА-СУ-АЕ (4 сем.)(рм4 сем. ч.ез.)\СтФ\мр</t>
  </si>
  <si>
    <t>Бизнес администрация-стратегическо управление (на английски език) (4 семестъра)\БА-СУ-АЕ-Л (4 сем.)(рм4 сем.л ч.ез.)\СтФ\мр</t>
  </si>
  <si>
    <t>Бизнес икономика (2 сем.)\БИ - неикономисти(рмнс)\СтФ\мр</t>
  </si>
  <si>
    <t>Бизнес икономика (2 сем.)\Бизнес икономика(рм2 сем)\СтФ\мр</t>
  </si>
  <si>
    <t>Био и медицинска информатика\БМИ(м)\ФМИ\мр</t>
  </si>
  <si>
    <t>Био и медицинска информатика\БМИ(рм)\ФМИ\мр</t>
  </si>
  <si>
    <t>Био и медицинска информатика\БМИ(рмс)\ФМИ\мр</t>
  </si>
  <si>
    <t>Био и медицинска информатика\БМИ(рмнс)\ФМИ\мр</t>
  </si>
  <si>
    <t>Биобизнес (3 семестъра) \ББ(рм)\БФ\мр</t>
  </si>
  <si>
    <t>Биобизнес и биопредпримачество (3 сем.)\ББП(рм)\БФ\мр</t>
  </si>
  <si>
    <t>Биоземеделие и биоконтрол (3 сем.)\БЗБ(рм)\БФ\мр</t>
  </si>
  <si>
    <t>Биология\Б(рб)\БФ\бр</t>
  </si>
  <si>
    <t>Биология\Б(зб)\БФ\бз</t>
  </si>
  <si>
    <t>Биология и английски език\БАЕ(рб)\БФ\бр</t>
  </si>
  <si>
    <t>Биология и химия\БиХ(рб)\БФ\бр</t>
  </si>
  <si>
    <t>Биология на развитието\БР(рм)\БФ\мр</t>
  </si>
  <si>
    <t>Биомениджмънт и устойчиво развитие\БУР(рб)\БФ\бр</t>
  </si>
  <si>
    <t>Биотехнологии\БТ(рб)\БФ\бр</t>
  </si>
  <si>
    <t>Биотехнологии\БТ(зб)\БФ\бз</t>
  </si>
  <si>
    <t>Биофизика\БФ(рм)\БФ\мр</t>
  </si>
  <si>
    <t>Биохимия\БХ(рм)\БФ\мр</t>
  </si>
  <si>
    <t>Биохимия (4 семестъра)\БХн.сп.(рмнсл)\БФ\мр</t>
  </si>
  <si>
    <t>Биохимия на английски език\БХАЕ(рм ч.ез.)\БФ\мр</t>
  </si>
  <si>
    <t>Биохимия на английски език\БХАЕ(рмс)\БФ\мр</t>
  </si>
  <si>
    <t>Близкоизточни изследвания с арабски език (за завършили Арабистика)\БИ_спец(рм2 сем)\ФКНФ\мр</t>
  </si>
  <si>
    <t>Близкоизточни изследвания с арабски език (за завършили други специалности)\БИ_неспец(рм3 сем.)\ФКНФ\мр</t>
  </si>
  <si>
    <t>Близкоизточни изследвания: Общество и култура на арабския свят/неспециалисти\БИ: ОКАС(рмнс)\ФКНФ\мр</t>
  </si>
  <si>
    <t>Близкоизточни изследвания: Общество и култура на арабския свят/специалисти\БИ: ОКАС(рмс)\ФКНФ\мр</t>
  </si>
  <si>
    <t>Ботаника\Б(рм)\БФ\мр</t>
  </si>
  <si>
    <t>Ботаника\БВР(рм)\БФ\мр</t>
  </si>
  <si>
    <t>Ботаника\БВР(рм3 сем.)\БФ\мр</t>
  </si>
  <si>
    <t>Ботаника\БВРмпзо(зм)\БФ\мз</t>
  </si>
  <si>
    <t>Британска и американска литература\БАЛ(рм)\ФКНФ\мр</t>
  </si>
  <si>
    <t>Българска филология\БФ(рб)\ФСлФ\бр</t>
  </si>
  <si>
    <t>Българска филология\БФ(зб)\ФСлФ\бз</t>
  </si>
  <si>
    <t>Българска филология\БФ(рм)\ФСлФ\мр</t>
  </si>
  <si>
    <t>Българска филология\БФ(зм)\ФСлФ\мз</t>
  </si>
  <si>
    <t>Българско Средновековие и Възраждане VІІ-XІX\БСВ(рм)\ИФ\мр</t>
  </si>
  <si>
    <t>Българско Средновековие и Възраждане VІІ-XІX\БиБ(рмс)\ИФ\мр</t>
  </si>
  <si>
    <t>Българско Средновековие и Възраждане VІІ-XІX\БСВ(рмнс)\ИФ\мр</t>
  </si>
  <si>
    <t>Българско Средновековие и Възраждане VІІ-XІX\БиБ(рмнс)\ИФ\мр</t>
  </si>
  <si>
    <t>Българско Средновековие и Възраждане VІІ-XІX\БСВ(зм)\ИФ\мз</t>
  </si>
  <si>
    <t>Българско Средновековие и Възраждане VІІ-XІX\БиБ(змс)\ИФ\мз</t>
  </si>
  <si>
    <t>Българско Средновековие и Възраждане VІІ-XІX\БСВ(змнс)\ИФ\мз</t>
  </si>
  <si>
    <t>Българско Средновековие и Възраждане VІІ-XІX\БиБ(змнс)\ИФ\мз</t>
  </si>
  <si>
    <t>Българско средновековие: държава, общество, култура (неспециалисти)\Бълг. средновековие(рмнс)\ИФ\мр</t>
  </si>
  <si>
    <t>Българско средновековие: държава, общество, култура (неспециалисти)\БСр(змнс)\ИФ\мз</t>
  </si>
  <si>
    <t>Българско средновековие: държава, общество, култура (специалисти)\БСр(рмс)\ИФ\мр</t>
  </si>
  <si>
    <t>Българско средновековие: държава, общество, култура (специалисти)\БСр(змс)\ИФ\мз</t>
  </si>
  <si>
    <t>Вградени системи\ВС(рм)\ФМИ\мр</t>
  </si>
  <si>
    <t>Вградени системи\ВС(рмл)\ФМИ\мр</t>
  </si>
  <si>
    <t>Вероятности и статистика\В&amp;С(рмнс)\ФМИ\мр</t>
  </si>
  <si>
    <t>Вероятности и статистика\В&amp;С\ФМИ\мр</t>
  </si>
  <si>
    <t>Вероятности и статистика\В&amp;С(рмс)\ФМИ\мр</t>
  </si>
  <si>
    <t>Вероятности и статистика\ВС(рм)\ФМИ\мр</t>
  </si>
  <si>
    <t>Вероятности, актюерство и статистика (3 семестъра)\ВАС(рмс)\ФМИ\мр</t>
  </si>
  <si>
    <t>Вероятности, актюерство и статистика (4 семестъра)\ВАС(рмнс)\ФМИ\мр</t>
  </si>
  <si>
    <t>Вероятности, актюерство и статистика (на английски език)\ВАС-на англ.(зм ч.ез.)\ФМИ\мз</t>
  </si>
  <si>
    <t>Вероятности, актюерство и статистика (на английски език)\ВАС-на англ.(зм)\ФМИ\мз</t>
  </si>
  <si>
    <t>Визуални изкуства и образователни практики (2 сем)-Модерна\ВИОП(рм2 сем)\ФНОИ\мр</t>
  </si>
  <si>
    <t>Виртуална култура\ВК(рм)\ФФ\мр</t>
  </si>
  <si>
    <t>Виртуална култура\ВК(рмл)\ФФ\мр</t>
  </si>
  <si>
    <t>Виртуални студийни техологии и тонрежисура (3 сем.)\ВСТТ(зм3 сем.)\ФНОИ\мз</t>
  </si>
  <si>
    <t>Вирусология\В(рм)\БФ\мр</t>
  </si>
  <si>
    <t>Вирусология\Вирусология(зм)\БФ\мз</t>
  </si>
  <si>
    <t>Високопроизводителни изчисления (на английски език)-4 сем.\ВПИ(рм4 сем. ч.ез.)\ФМИ\мр</t>
  </si>
  <si>
    <t>Връзки с обществеността\ВО(рб)\ФЖМК\бр</t>
  </si>
  <si>
    <t>Връзки с обществеността\ВО(зб)\ФЖМК\бз</t>
  </si>
  <si>
    <t>Връзки с обществеността\ВО(рм2 сем)\ФЖМК\мр</t>
  </si>
  <si>
    <t>Връзки с обществеността\ВО(зм3 сем.)\ФЖМК\мз</t>
  </si>
  <si>
    <t>Възраждане и памет\ВиП(рм)\ИФ\мр</t>
  </si>
  <si>
    <t>Възраждане и памет\ВиП(рмс)\ИФ\мр</t>
  </si>
  <si>
    <t>Възраждане и памет\Възраждане и памет(рмнс)\ИФ\мр</t>
  </si>
  <si>
    <t>Възраждане и памет\ВП(змнс)\ИФ\мз</t>
  </si>
  <si>
    <t>Възраждане и памет\ВиП(зм)\ИФ\мз</t>
  </si>
  <si>
    <t>Възраждане и памет (2 сем.)\ВиП 2 сем.(рмнс)\ИФ\мр</t>
  </si>
  <si>
    <t>Възраждане и памет (2 сем.)\ВиП 2 сем.(рмс)\ИФ\мр</t>
  </si>
  <si>
    <t>Възраждане и памет (2 сем.)\ВиП 2 сем.(змнс)\ИФ\мз</t>
  </si>
  <si>
    <t>Възраждане и памет (2 сем.)\ВиП 2 сем.(змс)\ИФ\мз</t>
  </si>
  <si>
    <t>Вътрешно-политическа журналистика\ВПЖ(рм)\ФЖМК\мр</t>
  </si>
  <si>
    <t>Вътрешно-политическа журналистика\ВП(зм3 сем.)\ФЖМК\мз</t>
  </si>
  <si>
    <t>Вяра и живот\ВЖМПро2(рм2 сем)\БсФ\мр</t>
  </si>
  <si>
    <t>Вяра и живот\ВЖМП(рм4 сем.)\БсФ\мр</t>
  </si>
  <si>
    <t>Вяра и живот\ВЖ2МПзо(зм2 сем)\БсФ\мз</t>
  </si>
  <si>
    <t>Вяра и живот\ВЖМП(зм4 сем.)\БсФ\мз</t>
  </si>
  <si>
    <t>Геймификация в бизнеса, публичния и неправителствения сектор (2 сем.)\Геймификация в БПНпС(рм2 сем)\СтФ\мр</t>
  </si>
  <si>
    <t>Геймификация в бизнеса, публичния и неправителствения сектор (2 сем.)\Геймификация в БПНпС(рмнс)\СтФ\мр</t>
  </si>
  <si>
    <t>Гемология\ГМмп(рм)\ГГФ\мр</t>
  </si>
  <si>
    <t>Генетика\Г(рм)\БФ\мр</t>
  </si>
  <si>
    <t>Генетика\Генетика (рм)\БФ\мр</t>
  </si>
  <si>
    <t>Генетика и геномика\ГиГ(рм)\БФ\мр</t>
  </si>
  <si>
    <t>Генетика и геномика\ГиГ ЗО(зм)\БФ\мз</t>
  </si>
  <si>
    <t>Генетика и геномика (4 сем. ЧЕ)\ГиГА(рмнсл ч.ез.)\БФ\мр</t>
  </si>
  <si>
    <t>Генетика и геномика (4 сем. ЧЕ)\ГиГА(рмнсл)\БФ\мр</t>
  </si>
  <si>
    <t>Генетика и геномика - летен прием\ГиГНСп(рмнсл)\БФ\мр</t>
  </si>
  <si>
    <t>Генетика и геномика на английски език\ГИГАЕ(рм ч.ез.)\БФ\мр</t>
  </si>
  <si>
    <t>Генетика и геномика на английски език\ГИГАЕ(рмс)\БФ\мр</t>
  </si>
  <si>
    <t>Генно и клетъчно инженерство\ГКлИнж(рм)\БФ\мр</t>
  </si>
  <si>
    <t>Генно и клетъчно инженерство\ГКИ з.о.(зм)\БФ\мз</t>
  </si>
  <si>
    <t>Генно и клетъчно инженерство (4 сем.)\ГКИнсп(рмнсл)\БФ\мр</t>
  </si>
  <si>
    <t>География\Г(рб)\ГГФ\бр</t>
  </si>
  <si>
    <t>География\Г(зб)\ГГФ\бз</t>
  </si>
  <si>
    <t>География  \География(рм-97)\ГГФ\мр</t>
  </si>
  <si>
    <t>География и английски език\ГАЕ(рб)\ГГФ\бр</t>
  </si>
  <si>
    <t>География и биология\ГБ(рб)\БФ\бр</t>
  </si>
  <si>
    <t>География и биология\ГБ(зб)\БФ\бз</t>
  </si>
  <si>
    <t>Географски информационни системи и картография\ГИСК(рм)\ГГФ\мр</t>
  </si>
  <si>
    <t>Географски информационни системи и картография\ГИСК(зм)\ГГФ\мз</t>
  </si>
  <si>
    <t>Географски информационни системи и картография (2 семестъра)\ГИСК(рм2 сем)\ГГФ\мр</t>
  </si>
  <si>
    <t>Географски информационни системи и картография (2 семестъра)\ГИСК(зм2 сем)\ГГФ\мз</t>
  </si>
  <si>
    <t>Географски информационни системи и картография (3 семестъра) неспециалисти\ГИСК(рмнс)\ГГФ\мр</t>
  </si>
  <si>
    <t>Географски информационни системи и картография (3 семестъра) неспециалисти\ГИСК(рмнсл)\ГГФ\мр</t>
  </si>
  <si>
    <t>Географски информационни системи и картография (3 семестъра) неспециалисти\ГИСК(змнс)\ГГФ\мз</t>
  </si>
  <si>
    <t>Географски информационни системи и картография (3 семестъра) неспециалисти\ГИСК(змнсл)\ГГФ\мз</t>
  </si>
  <si>
    <t>Географско образование\ГО(рм)\ГГФ\мр</t>
  </si>
  <si>
    <t>Географско образование\ГО(зм)\ГГФ\мз</t>
  </si>
  <si>
    <t>Географско образование\ГО(змс)\ГГФ\мз</t>
  </si>
  <si>
    <t>Геология\Геол(рб)\ГГФ\бр</t>
  </si>
  <si>
    <t>Геология и палеонтология\ГПмп(рм)\ГГФ\мр</t>
  </si>
  <si>
    <t>Геология и проучване на природни ресурси\ГеолППР (рб)(рб)\ГГФ\бр</t>
  </si>
  <si>
    <t>Геоморфология\ГМ(рм)\ГГФ\мр</t>
  </si>
  <si>
    <t>Геоморфология\ГМ/ 2 сем.(рм2 сем)\ГГФ\мр</t>
  </si>
  <si>
    <t>Геоморфология\ГМ(змнсл)\ГГФ\мз</t>
  </si>
  <si>
    <t>Геоморфология\Гмф(зм)\ГГФ\мз</t>
  </si>
  <si>
    <t>Геоморфология (3 сем.)\ГМ/ 3 сем.(зм3 сем.)\ГГФ\мз</t>
  </si>
  <si>
    <t>Геоморфология (3 сем.)\Геом(зм3с.)(зм3 сем.)\ГГФ\мз</t>
  </si>
  <si>
    <t>Геопространствени системи и технологии\ГПСТ(рб)\ГГФ\бр</t>
  </si>
  <si>
    <t>Геофизика\Г(рм)\ФзФ\мр</t>
  </si>
  <si>
    <t>Геофизика\ГФ(рм3 сем.)\ФзФ\мр</t>
  </si>
  <si>
    <t>Геофизика\ГФ(зм3 сем.)\ФзФ\мз</t>
  </si>
  <si>
    <t>Геофизика\ГФмп(зм)\ФзФ\мз</t>
  </si>
  <si>
    <t>Геофизика (2 семестъра) \ГФ(рм2 сем)\ФзФ\мр</t>
  </si>
  <si>
    <t>Геофизика (2 семестъра) \Геофизика(рм2 сем)\ФзФ\мр</t>
  </si>
  <si>
    <t>Геофизика (2 семестъра) \ГЕОФИЗИКА(зм2 сем)\ФзФ\мз</t>
  </si>
  <si>
    <t>Геофизика (2 семестъра) \Геофизика(зм2 сем)\ФзФ\мз</t>
  </si>
  <si>
    <t>Геофизика (4 семестъра) \ГФ(рм4 сем.)\ФзФ\мр</t>
  </si>
  <si>
    <t>Геохимия\ГХмп(рм)\ГГФ\мр</t>
  </si>
  <si>
    <t>Геохимия (5 семестъра) \ГХнс(рм)(рм5 сем.)\ГГФ\мр</t>
  </si>
  <si>
    <t>Германски изследвания\ГИ(рм)\СтФ\мр</t>
  </si>
  <si>
    <t>Германски изследвания\ГИ(рм4 сем.)\СтФ\мр</t>
  </si>
  <si>
    <t>Глобалистика\Г(рм)\ФФ\мр</t>
  </si>
  <si>
    <t>Глобалистика\Глобалистика(рмл)\ФФ\мр</t>
  </si>
  <si>
    <t>Градски изследвания\ГИ(рм)\ФФ\мр</t>
  </si>
  <si>
    <t>Градски изследвания\Градски изследвания(рм)\ФФ\мр</t>
  </si>
  <si>
    <t>Гражданска регистрация и административно обслужване\ГРАО(рм)\ГГФ\мр</t>
  </si>
  <si>
    <t>Гражданска регистрация и административно обслужване\ГРиАО(рм)\ГГФ\мр</t>
  </si>
  <si>
    <t>Гражданска регистрация и административно обслужване\ГРАО(зм)\ГГФ\мз</t>
  </si>
  <si>
    <t>Гражданско образование чрез обучението по история и цивилизация\ГрОбрОбИстЦив(рм)\ИФ\мр</t>
  </si>
  <si>
    <t>Гражданско образование чрез обучението по история и цивилизация\ГрОбрОбИстЦив(зм)\ИФ\мз</t>
  </si>
  <si>
    <t>Графичен дизайн\Графдизайн(рб)\ФНОИ\бр</t>
  </si>
  <si>
    <t>Графичен дизайн  (2 сем.)\ГрД(рм2 сем)\ФНОИ\мр</t>
  </si>
  <si>
    <t>Графичен дизайн (3 сем.) \ГД3(рм3 сем.)\ФНОИ\мр</t>
  </si>
  <si>
    <t>Детска и юношеска психология(диагностика и консултиране)\ДЮп(рм)\ФФ\мр</t>
  </si>
  <si>
    <t>Детско-юношеска и училищна психология (диагностика и консултиране)\ДЮУП(рмс)\ФФ\мр</t>
  </si>
  <si>
    <t>Детско-юношеска и училищна психология (диагностика и консултиране)\ДЮУП(рмнс)\ФФ\мр</t>
  </si>
  <si>
    <t>Диагностика и терапия на тежки комуникативни нарушения в развитието\Дтткнр(рм)\ФНОИ\мр</t>
  </si>
  <si>
    <t>Диагностика и терапия на тежки комуникативни нарушения в развитието\Дтткнр(зм)\ФНОИ\мз</t>
  </si>
  <si>
    <t>Дигитален маркетинг (2 сем.)\Дигитален МГ/несп/(рмнс)\СтФ\мр</t>
  </si>
  <si>
    <t>Дигитален маркетинг (2 сем.)\Дигитален Мг /несп./(рмнс)\СтФ\мр</t>
  </si>
  <si>
    <t>Дигитален маркетинг (2 сем.)\Дигитален маркетинг(рм2 сем)\СтФ\мр</t>
  </si>
  <si>
    <t>Дигитален маркетинг (4 сем.)\Дигитален маркетинг(рм4 сем.)\СтФ\мр</t>
  </si>
  <si>
    <t>Дигитален мениджмънт в туризма (2 сем.)\ДМТ - 2 задочно(зм2 сем)\СтФ\мз</t>
  </si>
  <si>
    <t>Дигитален мениджмънт в туризма (2 сем.)\ДМТ - задочно 2 сем.(зм2 сем)\СтФ\мз</t>
  </si>
  <si>
    <t>Дигитален мениджмънт в туризма (2 сем.)\ДМТ-ЗО-Н (2 сем.)(змнс)\СтФ\мз</t>
  </si>
  <si>
    <t>Дигитален мениджмънт в туризма (2 сем.)\ДМТ-Н-2 задочна(змнс)\СтФ\мз</t>
  </si>
  <si>
    <t>Дигитална трансформация на застрахователния бизнес (2сем.)\ДТЗБ(рм2 сем)\СтФ\мр</t>
  </si>
  <si>
    <t>Дигитална хуманитаристика (Digital Humanities) (2 сем.)\DH(рм ч.ез.)\ИФ\мр</t>
  </si>
  <si>
    <t>Дигитални медии и видеоигри (3 сем.)\ДМВ(зм)\ФЖМК\мз</t>
  </si>
  <si>
    <t>Дигитални медии и комуникация /на английски език/\ДМК(рм ч.ез.)\ФЖМК\мр</t>
  </si>
  <si>
    <t>Динамични системи и геометрия\ДСиГ(рм)\ФМИ\мр</t>
  </si>
  <si>
    <t>Динамични системи и теория на числата\ДСиТЧ - летен прием(рмл)\ФМИ\мр</t>
  </si>
  <si>
    <t>Динамични системи и теория на числата (3 семестъра)\ДСиТЧ(рм)\ФМИ\мр</t>
  </si>
  <si>
    <t>Дипломация и разузнаване на Балканите\ДиР(рмс)\ИФ\мр</t>
  </si>
  <si>
    <t>Дипломация и разузнаване на Балканите (2 сем.)\ДРБ(рм)\ИФ\мр</t>
  </si>
  <si>
    <t>Дискретни и алгебрични структури\ДАС(рм)\ФМИ\мр</t>
  </si>
  <si>
    <t>Дисперсни системи в химичните технологии\ДСХТ(рм)\ФХФ\мр</t>
  </si>
  <si>
    <t>Дисперсни системи в химичните технологии\ДСХТ(рм3 сем.)\ФХФ\мр</t>
  </si>
  <si>
    <t>Дисперсни системи в химичните технологии\ДСХТ (рм)(рм)\ФХФ\мр</t>
  </si>
  <si>
    <t>Документален и архивен мениджмънт (2 семестъра) \ДАМ(рмс)\ИФ\мр</t>
  </si>
  <si>
    <t>Документален и архивен мениджмънт (2 семестъра) \ДАМ(змс)\ИФ\мз</t>
  </si>
  <si>
    <t>Документален и архивен мениджмънт (4 семестъра) \ДАМ(рмнс)\ИФ\мр</t>
  </si>
  <si>
    <t>Документален и архивен мениджмънт (4 семестъра) \ДАМ(змнс)\ИФ\мз</t>
  </si>
  <si>
    <t>Документални и архивни ресурси\ДАР(рмнс)\ИФ\мр</t>
  </si>
  <si>
    <t>Документални и архивни ресурси\ДАР(рмс)\ИФ\мр</t>
  </si>
  <si>
    <t>Е-Европа\Е-Европа(рм)\ФФ\мр</t>
  </si>
  <si>
    <t>Е-Европа (2 сем.)\Е-Е(рм2 сем)\ФФ\мр</t>
  </si>
  <si>
    <t>Евразия, Русия и Източна Европа\ЕРИЕ(рм)\ИФ\мр</t>
  </si>
  <si>
    <t>Евразия, Русия и Източна Европа\ИЕРИЕ(рмс)\ИФ\мр</t>
  </si>
  <si>
    <t>Евразия, Русия и Източна Европа\ИЕРИЕ~(рмс)\ИФ\мр</t>
  </si>
  <si>
    <t>Европа и Азия: Културна дипломация и геополитика на Европейския съюз (3 сем.)\Е&amp;А:КДГнаЕС(рм ч.ез.)\ФКНФ\мр</t>
  </si>
  <si>
    <t>Европа и Азия: Културна дипломация и геополитика на Европейския съюз (3 сем.)\Е&amp;А:КДГнаЕС(рмл ч.ез.)\ФКНФ\мр</t>
  </si>
  <si>
    <t>Европеистика\Евр.(рб)\ФФ\бр</t>
  </si>
  <si>
    <t>Европеистика и социални науки\ЕСН(зм)\ФФ\мз</t>
  </si>
  <si>
    <t>Европейска интеграция (3 семестъра)\ЕИ(рм)\ФФ\мр</t>
  </si>
  <si>
    <t>Европейска интеграция (3 семестъра)\ЕИ(рмл)\ФФ\мр</t>
  </si>
  <si>
    <t>Европейска интеграция и дипломация на ЕС\ЕИиД(рм)\ФФ\мр</t>
  </si>
  <si>
    <t>Европейска интеграция и дипломация на ЕС (2 сем.)\ЕИДЕС(рм2 сем)\ФФ\мр</t>
  </si>
  <si>
    <t>Европейска интеграция и дипломация на ЕС (2 сем.)\ЕИДЕСл(рм2 семл)\ФФ\мр</t>
  </si>
  <si>
    <t>Европейска публична администрация\ЕПА(рм)\ФФ\мр</t>
  </si>
  <si>
    <t>Европейска публична администрация\ЕПА(зм)\ФФ\мз</t>
  </si>
  <si>
    <t>Европейска публична администрация (2 сем.)\ЕПА(рм2 сем)\ФФ\мр</t>
  </si>
  <si>
    <t>Европейски Югоизток (2 сем.)\ЕЮ - 2 сем(рмс)\ИФ\мр</t>
  </si>
  <si>
    <t>Европейски Югоизток (3 семестъра)\ЕЮ(рмсл)\ИФ\мр</t>
  </si>
  <si>
    <t>Европейски Югоизток (3 семестъра)\ЕЮ(змсл)\ИФ\мз</t>
  </si>
  <si>
    <t>Европейски Югоизток (4 семестъра)\ЕЮ(рмс)\ИФ\мр</t>
  </si>
  <si>
    <t>Европейски Югоизток (4 семестъра)\ЕЮи(рм)\ИФ\мр</t>
  </si>
  <si>
    <t>Европейски Югоизток (4 семестъра)\ЕЮ - межд. прогр.(рмс)\ИФ\мр</t>
  </si>
  <si>
    <t>Европейски Югоизток (4 семестъра)\ЕЮ-межд.прогр. (рмнс)\ИФ\мр</t>
  </si>
  <si>
    <t>Европейски Югоизток (4 семестъра)\ЕЮ-межд.прогр.~(рмнс)\ИФ\мр</t>
  </si>
  <si>
    <t>Европейски Югоизток (4 семестъра)\Европейски Югоизток (рмнс)\ИФ\мр</t>
  </si>
  <si>
    <t>Европейски Югоизток (4 семестъра)\ЕЮ(зм)\ИФ\мз</t>
  </si>
  <si>
    <t>Европейски Югоизток (4 семестъра)\ЕЮ(змс)\ИФ\мз</t>
  </si>
  <si>
    <t>Европейски Югоизток (4 семестъра)\ЕЮ~(змс)\ИФ\мз</t>
  </si>
  <si>
    <t>Европейски Югоизток (5 семестъра)\ЕЮ(рмнс)\ИФ\мр</t>
  </si>
  <si>
    <t>Европейски Югоизток (5 семестъра)\ЕЮ(рмнсл)\ИФ\мр</t>
  </si>
  <si>
    <t>Европейски Югоизток (5 семестъра)\ЕЮ(змнс)\ИФ\мз</t>
  </si>
  <si>
    <t>Европейски Югоизток (5 семестъра)\ЕЮ(змнсл)\ИФ\мз</t>
  </si>
  <si>
    <t>Европейски иследвания\ЕИз(рм)\ФФ\мр</t>
  </si>
  <si>
    <t>Европейски отношения (3 семестъра)\ЕО(рм3 сем.)\ЮФ\мр</t>
  </si>
  <si>
    <t>Европейски отношения (3 семестъра)\ЕО(рм3 сем.л)\ЮФ\мр</t>
  </si>
  <si>
    <t>Европейски отношения (4 семестъра) \ЕО(рм4 сем.)\ЮФ\мр</t>
  </si>
  <si>
    <t>Европейски проекти\Европейски проекти(рм)\ФФ\мр</t>
  </si>
  <si>
    <t>Европейски проекти\ЕП(рмл)\ФФ\мр</t>
  </si>
  <si>
    <t>Европейски проекти (2 сем.)\Европейски проекти(рм2 сем)\ФФ\мр</t>
  </si>
  <si>
    <t>Европейски съюз и европейска интеграция\ЕС&amp;ЕИ(рб ч.ез.)\ФКНФ\бр</t>
  </si>
  <si>
    <t>Европейски съюз и европейска интеграция\ЕС&amp;ЕИ(рб)\ФКНФ\бр</t>
  </si>
  <si>
    <t>Език - култура - превод\ЕзКуПр(рм)\ФКНФ\мр</t>
  </si>
  <si>
    <t>Език - култура - превод (3 сем.)\ЕКП(нфске)(рм)\ФКНФ\мр</t>
  </si>
  <si>
    <t>Език и култура (Английски език)\ЕиК-Англ(р\ФКНФ\мр</t>
  </si>
  <si>
    <t>Език и култура (Английски език)\ЕиК-Англ(рм)\ФКНФ\мр</t>
  </si>
  <si>
    <t>Език и култура (Английски език)\ЕиК-Англ(рмл)\ФКНФ\мр</t>
  </si>
  <si>
    <t>Език и култура (Английски език)\ЕиК-Англ(рмнс ч.ез.)\ФКНФ\мр</t>
  </si>
  <si>
    <t>Език и култура (Английски език)\ЕиК-Англ(рмнс)\ФКНФ\мр</t>
  </si>
  <si>
    <t>Език и култура (Английски език)\ЕиК-Англ(рмнсл)\ФКНФ\мр</t>
  </si>
  <si>
    <t>Език и култура (Английски език)\ЕиК-Англ(рмс ч.ез.)\ФКНФ\мр</t>
  </si>
  <si>
    <t>Език и култура (Английски език)\ЕиК-Англ(рмс)\ФКНФ\мр</t>
  </si>
  <si>
    <t>Език и културно пространство (приложна лингвистика - български език като чужд)\ЕКП(рм)\ФСлФ\мр</t>
  </si>
  <si>
    <t>Език и културно пространство (приложна лингвистика - български език като чужд)\ЕИК/несп(рмнс)\ФСлФ\мр</t>
  </si>
  <si>
    <t>Език и общуване\АФ ЕО(рм)\ФКНФ\мр</t>
  </si>
  <si>
    <t>Език, езици и народи\ЕЕН(рм)\ФКНФ\мр</t>
  </si>
  <si>
    <t>Език, култура, превод\ЕКП(рм)\ФКНФ\мр</t>
  </si>
  <si>
    <t>Език, култура, превод (2 сем.)\ЕКП(рм2 сем)\ФКНФ\мр</t>
  </si>
  <si>
    <t>Език.Култура.Превод\ЕКП(рм2 сем)\ФСлФ\мр</t>
  </si>
  <si>
    <t>Език.Култура.Превод\ЕКПмп(рмнс)\ФСлФ\мр</t>
  </si>
  <si>
    <t>Езикознание и превод\ЕП(рм)\ФКНФ\мр</t>
  </si>
  <si>
    <t>Екологична биотехнология\ЕБТ(рм)\БФ\мр</t>
  </si>
  <si>
    <t>Екология\Е(рм)\БФ\мр</t>
  </si>
  <si>
    <t>Екология\ЕКО(рмнсл)\БФ\мр</t>
  </si>
  <si>
    <t>Екология  (3 семестъра)\Е(зм)\БФ\мз</t>
  </si>
  <si>
    <t>Екология и опазване на околната среда\ЕООС(рб)\БФ\бр</t>
  </si>
  <si>
    <t>Екология и опазване на околната среда\ЕООС(зб)\БФ\бз</t>
  </si>
  <si>
    <t>Екомениджмънт\ЕММ(зм)\БФ\мз</t>
  </si>
  <si>
    <t>Екомениджмънт\ЕМ(змл)\БФ\мз</t>
  </si>
  <si>
    <t>Екотуризъм\Е(зм)\ГГФ\мз</t>
  </si>
  <si>
    <t>Екохимия\ЕХ(рб)\ФХФ\бр</t>
  </si>
  <si>
    <t>Екохимия\ЕкоХ(рм)\ФХФ\мр</t>
  </si>
  <si>
    <t>Екохимия\ЕкоХ(зм)\ФХФ\мз</t>
  </si>
  <si>
    <t>Екохимия (3 семестъра)\ЕХ(р)(рм)\ФХФ\мр</t>
  </si>
  <si>
    <t>Екохимия (3 семестъра)\ЕХ(з)(зм)\ФХФ\мз</t>
  </si>
  <si>
    <t>Електронен бизнес\ЕБ(м)\ФМИ\мр</t>
  </si>
  <si>
    <t>Електронен бизнес\ЕБ(рм)\ФМИ\мр</t>
  </si>
  <si>
    <t>Електронен бизнес\ЕлБи(рм)\ФМИ\мр</t>
  </si>
  <si>
    <t>Електронен бизнес\ЕБ на англ.ез.-летен(рмл ч.ез.)\ФМИ\мр</t>
  </si>
  <si>
    <t>Електронен бизнес - на английски език\ЕБ на англ. ез.(рм ч.ез.)\ФМИ\мр</t>
  </si>
  <si>
    <t>Електронен бизнес - на английски език\ЕБ на англ. ез.(рм)\ФМИ\мр</t>
  </si>
  <si>
    <t>Електронен бизнес и електронно управление\ЕБ(м)\ФМИ\мр</t>
  </si>
  <si>
    <t>Електронен бизнес и електронно управление\ЕБиЕУ(рм)\ФМИ\мр</t>
  </si>
  <si>
    <t>Електронни медии\ЕМ(рм2 сем)\ФЖМК\мр</t>
  </si>
  <si>
    <t>Електронни медии\ЕМ(зм)\ФЖМК\мз</t>
  </si>
  <si>
    <t>Електронни медии (2 семестъра)\ЕМ(зм2 сем)\ФЖМК\мз</t>
  </si>
  <si>
    <t>Електронно обучение (3 семестъра) \ЕО(рм)\ФМИ\мр</t>
  </si>
  <si>
    <t>Електронно обучение (3 семестъра) \ЕлОб(рмс)\ФМИ\мр</t>
  </si>
  <si>
    <t>Електронно обучение (5 семестъра)\ЕО(зм)\ФМИ\мз</t>
  </si>
  <si>
    <t>Електронно обучение (5 семестъра)\ЕлОб(змнс)\ФМИ\мз</t>
  </si>
  <si>
    <t>Електронно обучение (5 семестъра)\ЕлОб(змс)\ФМИ\мз</t>
  </si>
  <si>
    <t>Електронно обучение(3 семестъра)\ЕО(рмс)\ФМИ\мр</t>
  </si>
  <si>
    <t>Електронно обучение(3 семестъра)\ЕлОб сп.\ФМИ\мр</t>
  </si>
  <si>
    <t>Електронно обучение(3 семестъра)\ЕлОб(рмс)\ФМИ\мр</t>
  </si>
  <si>
    <t>Електронно обучение(4 семестъра)\ЕО(рмнс)\ФМИ\мр</t>
  </si>
  <si>
    <t>Електронно обучение(4 семестъра)\ЕлОб несп.\ФМИ\мр</t>
  </si>
  <si>
    <t>Електронно обучение(4 семестъра)\ЕлОб(рмнс)\ФМИ\мр</t>
  </si>
  <si>
    <t>Енергийни пазари и услуги (2 сем.)\ЕПУ-ЗО 2 сем.(зм2 сем)\СтФ\мз</t>
  </si>
  <si>
    <t>Енергийни пазари и услуги (2 сем.)\ЕПУ-ЗО неиконом.(змнс)\СтФ\мз</t>
  </si>
  <si>
    <t>Енергийни пазари и услуги (2 сем.)\Енергийни пазари Усл(зм2 сем)\СтФ\мз</t>
  </si>
  <si>
    <t>Енергийни пазари и услуги (2 сем.)\Енергийни пазари и у(змнс)\СтФ\мз</t>
  </si>
  <si>
    <t>Ентомология\Ент(рм)\БФ\мр</t>
  </si>
  <si>
    <t>Ерготерапия за деца и възрастни с нарушения\ЕргтерДВНром(рм)\ФНОИ\мр</t>
  </si>
  <si>
    <t>Ерготерапия за деца и възрастни с нарушения\ЕргтерДВНром(рм3 сем.)\ФНОИ\мр</t>
  </si>
  <si>
    <t>Ерготерапия за деца и възрастни с нарушения\ЕргтерДВНзом(зм)\ФНОИ\мз</t>
  </si>
  <si>
    <t>Ерготерапия за деца и възрастни с нарушения\ЕргтерДВНзом(зм3 сем.)\ФНОИ\мз</t>
  </si>
  <si>
    <t>Ерготерапия за деца и възрастни с нарушения(2 семестъра)\ЕргДВ2сем(рм2 сем)\ФНОИ\мр</t>
  </si>
  <si>
    <t>Ерготерапия за деца и възрастни с нарушения(2 семестъра)\ЕргДВзад2(зм2 сем)\ФНОИ\мз</t>
  </si>
  <si>
    <t>Етнология\Етн(рб)\ИФ\бр</t>
  </si>
  <si>
    <t>Етнология\Етн(рм)\ИФ\мр</t>
  </si>
  <si>
    <t>Етнология и културна антропология\ЕКА(рб)\ИФ\бр</t>
  </si>
  <si>
    <t>Етнология и културна антропология \ЕКА(рмс)\ИФ\мр</t>
  </si>
  <si>
    <t>Етнология и културна антропология \ЕКА(рмнс)\ИФ\мр</t>
  </si>
  <si>
    <t>Етнология и културна антропология (2 сем.)\ЕКА-2сем(рм2 сем)\ИФ\мр</t>
  </si>
  <si>
    <t>Етнология и културна антропология (2 сем.) \ЕКА(рм2 сем)\ИФ\мр</t>
  </si>
  <si>
    <t>Етнология и културна антропология (4 сем.)\ЕКА-4сем(рм4 сем.)\ИФ\мр</t>
  </si>
  <si>
    <t>Жестов език в образованието\ЖЕвО(рм2 сем)\ФНОИ\мр</t>
  </si>
  <si>
    <t>Журналистика\Ж(рб)\ФЖМК\бр</t>
  </si>
  <si>
    <t>Журналистика\Ж(зб)\ФЖМК\бз</t>
  </si>
  <si>
    <t>Журналистика\Ж(рм)\ФЖМК\мр</t>
  </si>
  <si>
    <t>Журналистика\Ж(зм4 сем.)\ФЖМК\мз</t>
  </si>
  <si>
    <t>Журналистика\Ж(зм)\ФЖМК\мз</t>
  </si>
  <si>
    <t>Журналистика и медии\ЖМ(зм)\ФЖМК\мз</t>
  </si>
  <si>
    <t>Журналистика и медии\ЖМмп(зм)\ФЖМК\мз</t>
  </si>
  <si>
    <t>Защита на документални и архивни ресурси (2 семестъра)\ЗащДАР(рмл)\ИФ\мр</t>
  </si>
  <si>
    <t>Защита на документални и архивни ресурси (2 семестъра)\Защита на документ.(рмс)\ИФ\мр</t>
  </si>
  <si>
    <t>Защита на документални и архивни ресурси (2 семестъра)\ЗащДАР(змсл)\ИФ\мз</t>
  </si>
  <si>
    <t>Защита на документални и архивни ресурси (2 семестъра)\Защита на документ.(змс)\ИФ\мз</t>
  </si>
  <si>
    <t>Защита на документални и архивни ресурси (4 семестъра)\ЗащДАР(рмнсл)\ИФ\мр</t>
  </si>
  <si>
    <t>Защита на документални и архивни ресурси (4 семестъра)\ЗащДАР(змнс)\ИФ\мз</t>
  </si>
  <si>
    <t>Защита на документални и архивни ресурси (4 семестъра)\ЗащДАР(змнсл)\ИФ\мз</t>
  </si>
  <si>
    <t>Защита на документални и архивни ресурси (неспециалисти) \Защита на докум. (рмнс)\ИФ\мр</t>
  </si>
  <si>
    <t>Защита на информацията в компютърните системи и мрежи\ЗИКСМ(рм)\ФМИ\мр</t>
  </si>
  <si>
    <t>Защита на информацията в компютърните системи и мрежи\ЗИКСМ(рмл)\ФМИ\мр</t>
  </si>
  <si>
    <t>Защита на информацията в компютърните системи и мрежи\ЗИвКСМ(рм)\ФМИ\мр</t>
  </si>
  <si>
    <t>Защита на информацията в компютърните системи и мрежи\Защита на инф.(рм)\ФМИ\мр</t>
  </si>
  <si>
    <t>Защита на основните права (2 сем.)\ЗОП(рм)\ЮФ\мр</t>
  </si>
  <si>
    <t>Зоология\Зоол(рм)\БФ\мр</t>
  </si>
  <si>
    <t>ИКТ в образованието (дист.)\ИКТ в обр.(дистанц.)(дм2 сем)\ФП\мд</t>
  </si>
  <si>
    <t>Ибероамериканистика (2 семестъра)\ИА(рм)\ФКНФ\мр</t>
  </si>
  <si>
    <t>Ибероамериканистика (2 семестъра)\ИбАм(рм)\ФКНФ\мр</t>
  </si>
  <si>
    <t>Ибероамериканистика (2 семестъра)\ИбероАм(рм)\ФКНФ\мр</t>
  </si>
  <si>
    <t>Ибероамериканистика-летен прием\ИбероАм(рмнсл)\ФКНФ\мр</t>
  </si>
  <si>
    <t>Извличане на информация и откриване на знания\ИИОЗ(рм)\ФМИ\мр</t>
  </si>
  <si>
    <t>Извори и традиция на богословието\Извори и традиция(зм4 сем.)\БсФ\мз</t>
  </si>
  <si>
    <t>Извори и традиция на богословието\Извори и традиция(змнс)\БсФ\мз</t>
  </si>
  <si>
    <t>Извори и традиция на богословието \Извори и традиция/р/(рм2 сем)\БсФ\мр</t>
  </si>
  <si>
    <t>Извори и традиция на богословието \Извори 2 сем/задочно(зм2 сем)\БсФ\мз</t>
  </si>
  <si>
    <t>Изкуства и съвременност (ХХ-ХХІ век)\ИС(рм)\ФФ\мр</t>
  </si>
  <si>
    <t>Изкуства и съвременност (ХХ-ХХІ век)\ИзкС(рмл)\ФФ\мр</t>
  </si>
  <si>
    <t>Изкуствен интелект\ИИ спец(м)\ФМИ\мр</t>
  </si>
  <si>
    <t>Изкуствен интелект\ИИ(рм)\ФМИ\мр</t>
  </si>
  <si>
    <t>Изкуствен интелект\ИИ(рмс)\ФМИ\мр</t>
  </si>
  <si>
    <t>Изкуствен интелект\ИИ несп(м)\ФМИ\мр</t>
  </si>
  <si>
    <t>Изкуствен интелект\ИИ(м)\ФМИ\мр</t>
  </si>
  <si>
    <t>Изкуствен интелект\ИИ(рмнс)\ФМИ\мр</t>
  </si>
  <si>
    <t>Изменения на климата и управление на водите\ИКУВ(змнсл)\ГГФ\мз</t>
  </si>
  <si>
    <t>Изменения на климата и управление на водите (2 семестъра)\ИКУВ(рмс)\ГГФ\мр</t>
  </si>
  <si>
    <t>Изменения на климата и управление на водите (3 семестъра)\ИКУВ(рмнс)\ГГФ\мр</t>
  </si>
  <si>
    <t>Изменения на климата и управление на водите (3 семестъра)\ИКУВ(рмнсл)\ГГФ\мр</t>
  </si>
  <si>
    <t>Изменения на климата и управление на водите (3 семестъра)\ИКУВ(змс)\ГГФ\мз</t>
  </si>
  <si>
    <t>Изменения на климата и управление на водите (4 семестъра)\ИКУВ(рм4 сем.л)\ГГФ\мр</t>
  </si>
  <si>
    <t>Изменения на климата и управление на водите (4 семестъра)\ИКУВ(змнс)\ГГФ\мз</t>
  </si>
  <si>
    <t>Изобразително изкуство\ПОИИз(рб)\ФНОИ\бр</t>
  </si>
  <si>
    <t>Източноазиатски култури\ИАК(рм)\ФКНФ\мр</t>
  </si>
  <si>
    <t>Изчислителна информатика\ИИнф(рмнс)\ФМИ\мр</t>
  </si>
  <si>
    <t>Изчислителна информатика\ИИнф(рмс)\ФМИ\мр</t>
  </si>
  <si>
    <t>Изчислителна информатика\ИзИн несп\ФМИ\мр</t>
  </si>
  <si>
    <t>Изчислителна информатика\ИзчИнф сп.\ФМИ\мр</t>
  </si>
  <si>
    <t>Изчислителна информатика\ИзчИнф(рм)\ФМИ\мр</t>
  </si>
  <si>
    <t>Изчислителна информатика\ИзчИнф(рмс)\ФМИ\мр</t>
  </si>
  <si>
    <t>Изчислителна математика\ИМ сп.\ФМИ\мр</t>
  </si>
  <si>
    <t>Изчислителна математика\ИМ(рмнс)\ФМИ\мр</t>
  </si>
  <si>
    <t>Изчислителна математика\ИзчМ(м)\ФМИ\мр</t>
  </si>
  <si>
    <t>Изчислителна математика\ИзчМ(рм)\ФМИ\мр</t>
  </si>
  <si>
    <t>Изчислителна математика и математическо моделиране\ИМиММ(рм)\ФМИ\мр</t>
  </si>
  <si>
    <t>Изчислителна химия\ИзХ(рм)\ФХФ\мр</t>
  </si>
  <si>
    <t>Изчислителна химия (3 семестъра)\ИХ(рм)\ФХФ\мр</t>
  </si>
  <si>
    <t>Икономика\И(рб)\СтФ\бр</t>
  </si>
  <si>
    <t>Икономика\ИкФ(рб)\СтФ\бр</t>
  </si>
  <si>
    <t>Икономика\И(рм)\СтФ\мр</t>
  </si>
  <si>
    <t>Икономика и мениджмънт на туризма на историческото наследство\ИМТИН(рм5 сем.)\СтФ\мр</t>
  </si>
  <si>
    <t>Икономика и право (2 сем.)\Иконом. и право неик(рмнс)\СтФ\мр</t>
  </si>
  <si>
    <t>Икономика и право (2 сем.)\Икономика и право Л(рм2 семл)\СтФ\мр</t>
  </si>
  <si>
    <t>Икономика и право (2 сем.)\Икономика и право(рм2 сем)\СтФ\мр</t>
  </si>
  <si>
    <t>Икономика и право (2 сем.)\Икономика и право(рм2 семл)\СтФ\мр</t>
  </si>
  <si>
    <t>Икономика и право (2 сем.)\Икономика и право(рмнс)\СтФ\мр</t>
  </si>
  <si>
    <t>Икономика и управление в енергетиката, инфраструктурата и комуналните услуги (2 сем.)\ИУЕИКУ(рм2\СтФ\мр</t>
  </si>
  <si>
    <t>Икономика и управление в енергетиката, инфраструктурата и комуналните услуги (2 сем.)\ИУЕИКУ(рм2 сем)\СтФ\мр</t>
  </si>
  <si>
    <t>Икономика и управление в енергетиката, инфраструктурата и комуналните услуги (4 сем.) \ИУЕИКУ(рм4 сем.)\СтФ\мр</t>
  </si>
  <si>
    <t>Икономика и управление в енергетиката, инфраструктурата и комуналните услуги (ПБ)\ИУЕИКУ-ПБ(рм4 сем.)\СтФ\мр</t>
  </si>
  <si>
    <t>Икономика и управление в енергетиката,инфраструктурата и комуналните услуги\ИЕИКУ(рм3 сем.)\СтФ\мр</t>
  </si>
  <si>
    <t>Икономика и управление в енергетиката,инфраструктурата и комуналните услуги\ИУЕИКУ(рм3 сем.)\СтФ\мр</t>
  </si>
  <si>
    <t>Икономика и управление в енергетиката,инфраструктурата и комуналните услуги \ИУЕИКУмн(рм5 сем.)\СтФ\мр</t>
  </si>
  <si>
    <t>Икономика и управление в енергетиката,инфраструктурата и комуналните услуги  (2 семестъра)\ИУЕИКУ(рм2 сем)\СтФ\мр</t>
  </si>
  <si>
    <t>Икономика и управление в енергетиката,инфраструктурата и комуналните услуги (4 семестъра)\ИУЕИКУ(рм4 сем.)\СтФ\мр</t>
  </si>
  <si>
    <t>Икономика и управление в енергетиката,инфраструктурата и комуналните услуги (4 семестъра)\ИУЕИКУ-ПБ(\СтФ\мр</t>
  </si>
  <si>
    <t>Икономика и управление в енергетиката,инфраструктурата и комуналните услуги (4 семестъра)\ИУЕИКУ-ПБ(рм4 сем.)\СтФ\мр</t>
  </si>
  <si>
    <t>Икономика и управление на аграрния сектор\ИУАС(рм5 сем.)\СтФ\мр</t>
  </si>
  <si>
    <t>Икономика и управление на логистиката и веригите за снабдяване (3 семестъра) \ИУЛВС(рм3 сем.)\СтФ\мр</t>
  </si>
  <si>
    <t>Икономика и управление на логистиката и веригите за снабдяване (5 семестъра)\ИУЛВС/5(рм5 сем.)\СтФ\мр</t>
  </si>
  <si>
    <t>Икономика и управление на образованието,науката и иновациите\ИУОНИ(рм3 сем.)\СтФ\мр</t>
  </si>
  <si>
    <t>Икономика и управление на образованието,науката и иновациите\ИУОНИ(рм5 сем.)\СтФ\мр</t>
  </si>
  <si>
    <t>Икономика и управление на публични ресурси (2 сем.)\ИУПР - РО\СтФ\мр</t>
  </si>
  <si>
    <t>Икономика и управление на публични ресурси (2 сем.)\ИУПР-РО не\СтФ\мр</t>
  </si>
  <si>
    <t>Икономика и управление на публични ресурси (2 сем.)\ИУПР - ЗО (2 сем.)(зм2 сем)\СтФ\мз</t>
  </si>
  <si>
    <t>Икономика и управление на публични ресурси (2 сем.)\ИУПР-ЗО неиконом.(змнс)\СтФ\мз</t>
  </si>
  <si>
    <t>Икономика и управление на публичния сектор\ИУПС(рм)\СтФ\мр</t>
  </si>
  <si>
    <t>Икономика и управление на публичния сектор\ИУПС(рм3 сем.)\СтФ\мр</t>
  </si>
  <si>
    <t>Икономика и управление на публичния сектор\ИУПСмп(рм5 сем.)\СтФ\мр</t>
  </si>
  <si>
    <t>Икономика и управление на публичния сектор\ИУПСмп(рмнс)\СтФ\мр</t>
  </si>
  <si>
    <t>Икономика и управление на публичния сектор (2 сем.)\ИУПС(рм2 сем)\СтФ\мр</t>
  </si>
  <si>
    <t>Икономика и управление на публичния сектор (4 сем.) \ИУПС(рм4 сем.)\СтФ\мр</t>
  </si>
  <si>
    <t>Икономика и управление на сгради и съоръжения\ИУСС(рм3 сем.)\СтФ\мр</t>
  </si>
  <si>
    <t>Икономика и управление на сгради и съоръжения\ИУСС(рм5 сем.)\СтФ\мр</t>
  </si>
  <si>
    <t>Икономика и управление на туризма\ИУТ(рм)\СтФ\мр</t>
  </si>
  <si>
    <t>Икономика и управление на туризма\ИУТ(рм3 сем.)\СтФ\мр</t>
  </si>
  <si>
    <t>Икономика и управление на туризма\ИУТ(рм5 сем.)\СтФ\мр</t>
  </si>
  <si>
    <t>Икономика и управление на туризма\ИУТ-ПБ(рм5 сем.)\СтФ\мр</t>
  </si>
  <si>
    <t>Икономика и управление на туризма\ИУТмп(рм5 сем.)\СтФ\мр</t>
  </si>
  <si>
    <t>Икономика и управление на туризма\ИУТмп(рмнс)\СтФ\мр</t>
  </si>
  <si>
    <t>Икономика и управление на туризма (4 сем.)\ИУТ(рм4 сем.)\СтФ\мр</t>
  </si>
  <si>
    <t>Икономика и финанси\ИФ (френска)(рб)\СтФ\бр</t>
  </si>
  <si>
    <t>Икономика и финанси\ИФ(френска)(рб)\СтФ\бр</t>
  </si>
  <si>
    <t>Икономика и финанси\Икономика и финанси(рб)\СтФ\бр</t>
  </si>
  <si>
    <t>Икономика и финанси (2 сем)\ИФ зимен 2 сем.(рм2 сем)\СтФ\мр</t>
  </si>
  <si>
    <t>Икономика и финанси (2 сем)\ИФ(рм2 сем)\СтФ\мр</t>
  </si>
  <si>
    <t>Икономика и финанси (2 сем)\ИФ(рмнс)\СтФ\мр</t>
  </si>
  <si>
    <t>Икономика и финанси (2 сем)\ИФ(рмнсл)\СтФ\мр</t>
  </si>
  <si>
    <t>Икономика на фирмата\ИФ(рм3 сем.)\СтФ\мр</t>
  </si>
  <si>
    <t>Икономика на фирмата\ИФ(рм5 сем.)\СтФ\мр</t>
  </si>
  <si>
    <t>Икономическа геология (2 сем.)\ИГмп(рмл)\ГГФ\мр</t>
  </si>
  <si>
    <t>Индийско и иранско културознание и обществознание (Ин.-3 сем.)\ИИКО(рм)\ФКНФ\мр</t>
  </si>
  <si>
    <t>Индийско и иранско културознание и обществознание (Ин.-3 сем.)\ИИКОинд(рмл)\ФКНФ\мр</t>
  </si>
  <si>
    <t>Индийско и иранско културознание и обществознание (Ин.-3 сем.)\ИИКОинд(рмс)\ФКНФ\мр</t>
  </si>
  <si>
    <t>Индийско и иранско културознание и обществознание (Ин.-3 сем.)\ИИКОир(рм3 сем.)\ФКНФ\мр</t>
  </si>
  <si>
    <t>Индийско и иранско културознание и обществознание (Ин.-5 сем.)\ИИКО(рмнс)\ФКНФ\мр</t>
  </si>
  <si>
    <t>Индийско и иранско културознание и обществознание (Ин.-5 сем.)\ИИКОинд(рмнс)\ФКНФ\мр</t>
  </si>
  <si>
    <t>Индийско и иранско културознание и обществознание (Ир.-3 сем.)\ИИКОир(рм3 сем.)\ФКНФ\мр</t>
  </si>
  <si>
    <t>Индийско и иранско културознание и обществознание (Ир.-3 сем.)\ИИКОир(рмс)\ФКНФ\мр</t>
  </si>
  <si>
    <t>Индийско и иранско културознание и обществознание (Ир.-5 сем.)\ИИКОир(рмнс)\ФКНФ\мр</t>
  </si>
  <si>
    <t>Индийско културознание и обществознание\Инд КО(рм)\ФКНФ\мр</t>
  </si>
  <si>
    <t>Индология\Инд(рб)\ФКНФ\бр</t>
  </si>
  <si>
    <t>Индустриални биотехнологии\ИБ(рм)\БФ\мр</t>
  </si>
  <si>
    <t>Индустриални и фармацевтични биотехнологии (2 сем)-Модерна\ИФБ(рм)\БФ\мр</t>
  </si>
  <si>
    <t>Инженерна физика\ИФ(рб)\ФзФ\бр</t>
  </si>
  <si>
    <t>Инженерна физика\ИФ(зб)\ФзФ\бз</t>
  </si>
  <si>
    <t>Инженерна физика\ИФз.о.(зб)\ФзФ\бз</t>
  </si>
  <si>
    <t>Инженерна физика\ИФ(рм)\ФзФ\мр</t>
  </si>
  <si>
    <t>Инженерна химия и съвременни материали\ИХСМ(рб)\ФХФ\бр</t>
  </si>
  <si>
    <t>Иновации и дигитална трансформация на агробизнеса\ИДТА - нес\СтФ\мр</t>
  </si>
  <si>
    <t>Иновации и дигитална трансформация на агробизнеса\Иновации и\СтФ\мр</t>
  </si>
  <si>
    <t>Иновации и дигитална трансформация на агробизнеса\ИДТА - неспец.(змнс)\СтФ\мз</t>
  </si>
  <si>
    <t>Иновации и дигитална трансформация на агробизнеса\Иновации и ДТА(зм2 сем)\СтФ\мз</t>
  </si>
  <si>
    <t>Иновации и мултидисциплинарност в задължителната подготовка по математика, компютърно моделиране и информационни технологии (2 сен.)\ИМЗПМКМИТ(рм)\ФМИ\мр</t>
  </si>
  <si>
    <t>Интегративна биоетика (3 семестъра)\ИБ(рм)\ФФ\мр</t>
  </si>
  <si>
    <t>Интегративна биоетика (3 семестъра)\ИБЕ(рм)\ФФ\мр</t>
  </si>
  <si>
    <t>Интегративна биоетика (3 семестъра)\ИБЕ(рмл)\ФФ\мр</t>
  </si>
  <si>
    <t>Интерпретативна антропология (2 семестъра)\ИА(рм)\ФСлФ\мр</t>
  </si>
  <si>
    <t>Интерпретативна антропология (3 семестъра)\Интерпретативна антр(рмл)\ФСлФ\мр</t>
  </si>
  <si>
    <t>Интерпретативна антропология (3 семестъра)\Интерпретативна/несп(рм)\ФСлФ\мр</t>
  </si>
  <si>
    <t>Интерпретативна антропология (3 семестъра)\Интерпретативна/несп(рмнс)\ФСлФ\мр</t>
  </si>
  <si>
    <t>Информатика\И\ФМИ\бр</t>
  </si>
  <si>
    <t>Информатика\И(рб)\ФМИ\бр</t>
  </si>
  <si>
    <t>Информатика\И(рм-97)\ФМИ\мр</t>
  </si>
  <si>
    <t>Информатика\И-97\ФМИ\мр</t>
  </si>
  <si>
    <t>Информатика\И(рм)\ФМИ\мр</t>
  </si>
  <si>
    <t>Информатика\И-маг\ФМИ\мр</t>
  </si>
  <si>
    <t>Информационни и комуникационни технологии в образованието\ИКТО (рм 3 сем)(рмс)\ФП\мр</t>
  </si>
  <si>
    <t>Информационни и комуникационни технологии в образованието\ИКТ (зм 3 сем.)(змнс)\ФП\мз</t>
  </si>
  <si>
    <t>Информационни и комуникационни технологии в образованието\ИКТ в образованието(зм3 сем.)\ФП\мз</t>
  </si>
  <si>
    <t>Информационни и комуникационни технологии в образованието (2 семестъра) \ИКТ в образованието(рм2 сем)\ФП\мр</t>
  </si>
  <si>
    <t>Информационни и комуникационни технологии в образованието (2 семестъра) \ИКТ в образованието(зм2 сем)\ФП\мз</t>
  </si>
  <si>
    <t>Информационни системи\ИС(рб)\ФМИ\бр</t>
  </si>
  <si>
    <t>Информационни системи\ИС неспец.\ФМИ\мр</t>
  </si>
  <si>
    <t>Информационни системи\ИС(рмнс)\ФМИ\мр</t>
  </si>
  <si>
    <t>Информационни системи\ИС-мнс\ФМИ\мр</t>
  </si>
  <si>
    <t>Информационни системи\ИС спец.\ФМИ\мр</t>
  </si>
  <si>
    <t>Информационни системи\ИС(мс)\ФМИ\мр</t>
  </si>
  <si>
    <t>Информационни системи\ИС(рм)\ФМИ\мр</t>
  </si>
  <si>
    <t>Информационни системи\ИС(рмс)\ФМИ\мр</t>
  </si>
  <si>
    <t>Информационни технологии в химията\ИТХ(зм)\ФХФ\мз</t>
  </si>
  <si>
    <t>Информационно-технологични услуги\ИТУ(рм)\ФМИ\мр</t>
  </si>
  <si>
    <t>Информационно-технологични услуги\ИТУ(рмс)\ФМИ\мр</t>
  </si>
  <si>
    <t>Информационно-технологични услуги (5 семестъра)\ИТУ(рмнс)\ФМИ\мр</t>
  </si>
  <si>
    <t>Информационно-технологични услуги и проекти\ИТУП(рм)\ФМИ\мр</t>
  </si>
  <si>
    <t>Иранистика\Ирн(рб)\ФКНФ\бр</t>
  </si>
  <si>
    <t>Испанска филология\ИспФ(рб)\ФКНФ\бр</t>
  </si>
  <si>
    <t>Испанска филология\Прев-Ред(рм)\ФКНФ\мр</t>
  </si>
  <si>
    <t>Испанска филология \ИспФ(рм)\ФКНФ\мр</t>
  </si>
  <si>
    <t>Историко-етнически модели на националната сигурност\Историко-етн. модели(рмс)\ИФ\мр</t>
  </si>
  <si>
    <t>История\Ист(рб)\ИФ\бр</t>
  </si>
  <si>
    <t>История\Ист(зб)\ИФ\бз</t>
  </si>
  <si>
    <t>История\Ист(рм)\ИФ\мр</t>
  </si>
  <si>
    <t>История и география\ИиГ(рб)\ИФ\бр</t>
  </si>
  <si>
    <t>История и геополитика на Балканите\ИГПБ(рб)\ИФ\бр</t>
  </si>
  <si>
    <t>История и съвременно развитие на страните от Източна Азия(Япония,Китай,Корея)\ИСРС от Изт. Азия(рмс)\ИФ\мр</t>
  </si>
  <si>
    <t>История и съвременно развитие на страните от Източна Азия(Япония,Китай,Корея)\ИСРС от ИзтАзия(рм)\ИФ\мр</t>
  </si>
  <si>
    <t>История и съвременно развитие на страните от Източна Азия(Япония,Китай,Корея)\ИСРС от ИзтАзия(рмс)\ИФ\мр</t>
  </si>
  <si>
    <t>История и съвременност на Русия, Източна Азия и Евразия (2 сем.)\ИС на Р-я, ИА и Евр.(рмнс)\ИФ\мр</t>
  </si>
  <si>
    <t>История и съвременност на Русия, Източна Азия и Евразия (2 сем.)\ИС на Р-я, ИА и Евр.(рмс)\ИФ\мр</t>
  </si>
  <si>
    <t>История и съвременност на философията (2 сем.)\ИСФ(рмс)\ФФ\мр</t>
  </si>
  <si>
    <t>История и съвременност на философията (3 сем.)\ИСФ(рмнс)\ФФ\мр</t>
  </si>
  <si>
    <t>История и философия\Ист. и философия(рб)\ИФ\бр</t>
  </si>
  <si>
    <t>История и чужд език (английски език-френски език)\История и чужд език(рб)\ИФ\бр</t>
  </si>
  <si>
    <t>История на Евразия, Русия и Източна Европа (2 сем.)\ИЕРИ - 2 сем(рмнс)\ИФ\мр</t>
  </si>
  <si>
    <t>История на Евразия, Русия и Източна Европа (2 сем.)\ИЕРИ - 2 сем(рмс)\ИФ\мр</t>
  </si>
  <si>
    <t>История на жените и половете\ИЖП(рм4 сем.)\ФФ\мр</t>
  </si>
  <si>
    <t>История на жените и половете\ИЖПл(рм4 сем.л)\ФФ\мр</t>
  </si>
  <si>
    <t>История на жените и половете /Матилда/\ИстЖПсем3(\ФФ\мр</t>
  </si>
  <si>
    <t>История на жените и половете /Матилда/\ИстЖПсем3(рм3 сем. ч.ез.)\ФФ\мр</t>
  </si>
  <si>
    <t>История на книгата и четенето\ИКЧ(рм2 сем)\ФФ\мр</t>
  </si>
  <si>
    <t>История на книгата и четенето\ИКЧ(зм)\ФФ\мз</t>
  </si>
  <si>
    <t>История на книгата и четенето\ИКЧ(змл)\ФФ\мз</t>
  </si>
  <si>
    <t>История на философията (2 семестъра)\ИФ(рмс)\ФФ\мр</t>
  </si>
  <si>
    <t>История на философията (2 семестъра)\ИФ(рмсл)\ФФ\мр</t>
  </si>
  <si>
    <t>История на философията (2 семестъра)\История на философия(рмс)\ФФ\мр</t>
  </si>
  <si>
    <t>История на философията (3 семестъра)\ИФ(рмнс)\ФФ\мр</t>
  </si>
  <si>
    <t>История на философията (3 семестъра)\ИФ(рмнсл)\ФФ\мр</t>
  </si>
  <si>
    <t>История на философията (3 семестъра)\История на философия(рмнс)\ФФ\мр</t>
  </si>
  <si>
    <t>Италианска филология\ИтлФ(рб)\ФКНФ\бр</t>
  </si>
  <si>
    <t>Кариерно образование в институции и мрежи за неформално образование\КОИМНО(зм3 сем.)\ФП\мз</t>
  </si>
  <si>
    <t>Кариерно образование в институции и мрежи за неформално образование\КОИМО(змнс)\ФП\мз</t>
  </si>
  <si>
    <t>Качество и безопасност на храните\КБХ(рм)\БФ\мр</t>
  </si>
  <si>
    <t>Качество и безопасност на храните\КБХ з.о.(зм)\БФ\мз</t>
  </si>
  <si>
    <t>Квалификация и пренасочване на работната сила\КПРС(зм2 сем)\ФП\мз</t>
  </si>
  <si>
    <t>Квалификация и пренасочване на работната сила\КПРС(зм3 сем.)\ФП\мз</t>
  </si>
  <si>
    <t>Квантова електроника и лазарна техника \КЕЛТ(рм)\ФзФ\мр</t>
  </si>
  <si>
    <t>Квантова електроника и лазарна техника \КЕЛТ(рм3 сем.)\ФзФ\мр</t>
  </si>
  <si>
    <t>Квантова и космическа теоретична физика\ККТФ(рб)\ФзФ\бр</t>
  </si>
  <si>
    <t>Квантова информатика \Кв.Инф.(рм3 сем.)\ФзФ\мр</t>
  </si>
  <si>
    <t>Кинезитерапия на лица с невросомотични заболявания\КинНСЗ(рмнс)\ФНОИ\мр</t>
  </si>
  <si>
    <t>Кинезитерапия на лица с невросомотични заболявания\КинНСЗ(рм)\ФНОИ\мр</t>
  </si>
  <si>
    <t>Кинезитерапия на лица с невросомотични заболявания\КинНСЗ(змнс)\ФНОИ\мз</t>
  </si>
  <si>
    <t>Кинезитерапия на лица с невросомотични заболявания\КинНСЗ(зм)\ФНОИ\мз</t>
  </si>
  <si>
    <t>Китаистика\Кит(рб)\ФКНФ\бр</t>
  </si>
  <si>
    <t>Класическа филология\КлФ(рб)\ФКНФ\бр</t>
  </si>
  <si>
    <t>Класически езици и антична литература (2 сем.)\КлЕзИАнтЛит(рм2 сем)\ФКНФ\мр</t>
  </si>
  <si>
    <t>Класически езици и антична литература (4 сем.) \КлЕзИАнтЛит(рм4 сем.)\ФКНФ\мр</t>
  </si>
  <si>
    <t>Клетъчна биология и патология\КлБиП(рм)\БФ\мр</t>
  </si>
  <si>
    <t>Клинична и консултативна психология\ККП(рм)\ФФ\мр</t>
  </si>
  <si>
    <t>Клинична и консултативна психология\КЛК+ПР(рм5 сем.)\ФФ\мр</t>
  </si>
  <si>
    <t>Клинична психология\КП(рм3 сем.)\ФФ\мр</t>
  </si>
  <si>
    <t>Клинична психология (5 сем.)\КлПсих5(рм5 сем.)\ФФ\мр</t>
  </si>
  <si>
    <t>Клинична социална работа\КСР(зм2 сем)\ФП\мз</t>
  </si>
  <si>
    <t>Клинична социална работа\КСР(зм3 сем.)\ФП\мз</t>
  </si>
  <si>
    <t>Книгоиздаване\КИ(рб)\ФЖМК\бр</t>
  </si>
  <si>
    <t>Книгоиздаване през 21 век\КН21(зм)\ФЖМК\мз</t>
  </si>
  <si>
    <t>Козметика и битова химия\Козметика и битова х(рм)\ФХФ\мр</t>
  </si>
  <si>
    <t>Козметика и битова химия\Козметика и битова х(зм)\ФХФ\мз</t>
  </si>
  <si>
    <t>Козметика и битова химия (4 сем.)\Козметика и битова х(зм4 сем.л)\ФХФ\мз</t>
  </si>
  <si>
    <t>Колоидни системи в съвременната наука и технологии\КССНТ(рм)\ФХФ\мр</t>
  </si>
  <si>
    <t>Колоидни системи в съвременната наука и технологии\КССНТ(зм)\ФХФ\мз</t>
  </si>
  <si>
    <t>Компютърна графика\КГ(рм)\ФМИ\мр</t>
  </si>
  <si>
    <t>Компютърна графика\КомпГраф(рм)\ФМИ\мр</t>
  </si>
  <si>
    <t>Компютърна графика\КомпГраф(рмс)\ФМИ\мр</t>
  </si>
  <si>
    <t>Компютърна графика\КомпГраф(рмнс)\ФМИ\мр</t>
  </si>
  <si>
    <t>Компютърна лингвистика\КомпЛингв(рм)\ФМИ\мр</t>
  </si>
  <si>
    <t>Компютърна лингвистика. Интернет технологии в хуманитаристиката\КлИт(рм)\ФСлФ\мр</t>
  </si>
  <si>
    <t>Компютърна лингвистика. Интернет технологии в хуманитаристиката\КлИтХум(зм)\ФСлФ\мз</t>
  </si>
  <si>
    <t>Компютърна химия\КХ(рб)\ФХФ\бр</t>
  </si>
  <si>
    <t>Компютърни науки\КН(рб)\ФМИ\бр</t>
  </si>
  <si>
    <t>Компютърно инженерство\КИ(рб)\ФзФ\бр</t>
  </si>
  <si>
    <t>Комуникации и физична електроника\КФЕ(рб)\ФзФ\бр</t>
  </si>
  <si>
    <t>Комуникации и физична електроника\КФЕ~(рб)\ФзФ\бр</t>
  </si>
  <si>
    <t>Комуникации и физична електроника\КФЕ1(рб)\ФзФ\бр</t>
  </si>
  <si>
    <t>Комуникации и физична електроника\КФЕ(рм2 сем)\ФзФ\мр</t>
  </si>
  <si>
    <t>Комуникации и физична електроника (2 сем.)\КФЕ(рм2 сем)\ФзФ\мр</t>
  </si>
  <si>
    <t>Комуникационен мениджмънт\КМ(рб)\ФЖМК\бр</t>
  </si>
  <si>
    <t>Комуникационна и компютърна техника (3 сем.)\ККТ(рм3 сем.)\ФзФ\мр</t>
  </si>
  <si>
    <t>Комуникация: езикови умения, литературна компетентност, медийна грамотност\КоЕзЛиМе(рм)\ФКНФ\мр</t>
  </si>
  <si>
    <t>Комуникация: езикови умения, литературна компетентност, медийна грамотност\КоЕзЛиМе(рмс ч.ез.)\ФКНФ\мр</t>
  </si>
  <si>
    <t>Комуникация: езикови умения, литературна компетентност, медийна грамотност\КоЕзЛиМе(рмс)\ФКНФ\мр</t>
  </si>
  <si>
    <t>Комуникация: езикови умения, литературна компетентност, медийна грамотност\КЕУЛКМГ(зм)\ФКНФ\мз</t>
  </si>
  <si>
    <t>Комуникация: езикови умения, литературна компетентност, медийна грамотност\КоЕзЛиМе(зм)\ФКНФ\мз</t>
  </si>
  <si>
    <t>Комуникация: езикови умения, литературна компетентност, медийна грамотност\КоЕзЛиМе(змс ч.ез.)\ФКНФ\мз</t>
  </si>
  <si>
    <t>Комуникация: езикови умения, литературна компетентност, медийна грамотност\КоЕзЛиМе(змс)\ФКНФ\мз</t>
  </si>
  <si>
    <t>Консултиране и социално-педагогическа помощ за семейства (2 семестъра)\КСППСром(рм)\ФНОИ\мр</t>
  </si>
  <si>
    <t>Консултиране и социално-педагогическа помощ за семейства (3 семестъра)\КСППСзом(зм)\ФНОИ\мз</t>
  </si>
  <si>
    <t>Конферентен превод\КП(рм)\ФКНФ\мр</t>
  </si>
  <si>
    <t>Конферентен превод\КП-ан(рм)\ФКНФ\мр</t>
  </si>
  <si>
    <t>Конферентен превод\КП-не(рм)\ФКНФ\мр</t>
  </si>
  <si>
    <t>Конферентен превод\КП-фр(рм)\ФКНФ\мр</t>
  </si>
  <si>
    <t>Конферентен превод\КП-ис(рм)\ФКНФ\мр</t>
  </si>
  <si>
    <t>Конферентен превод\КП(нфске)(рм)\ФКНФ\мр</t>
  </si>
  <si>
    <t>Конферентен превод\КП(нфске)(рм2 сем)\ФКНФ\мр</t>
  </si>
  <si>
    <t>Кореистика\Кор(рб)\ФКНФ\бр</t>
  </si>
  <si>
    <t>Корпоративно счетоводство със секторна специализация (2 сем.)\КССС(рм2 сем)\СтФ\мр</t>
  </si>
  <si>
    <t>Корпоративно счетоводство със секторна специализация (2сем.)\КССС(рм2 сем)\СтФ\мр</t>
  </si>
  <si>
    <t>Корпоративно счетоводство със секторна специализация (4сем.)\КССС-4(рм4 сем.)\СтФ\мр</t>
  </si>
  <si>
    <t>Космически изследвания\КИ(рм)\ФзФ\мр</t>
  </si>
  <si>
    <t>Космически изследвания\КИ(рм3 сем.)\ФзФ\мр</t>
  </si>
  <si>
    <t>Космически изследвания \КИз(рм5 сем.)\ФзФ\мр</t>
  </si>
  <si>
    <t>Креативна комуникация\КК(зм)\ФЖМК\мз</t>
  </si>
  <si>
    <t>Креативна комуникация\КК(змл)\ФЖМК\мз</t>
  </si>
  <si>
    <t>Креативна комуникация\КК-л(змл)\ФЖМК\мз</t>
  </si>
  <si>
    <t>Кризи, конфликти и дипломация в световната политика (2 сем.)\ККДСП(рм2 сем)\ИФ\мр</t>
  </si>
  <si>
    <t>Кризи, конфликти и дипломация в световната политика XVI-XXІ век\ККДСП ХVІ - ХХІ(рмс)\ИФ\мр</t>
  </si>
  <si>
    <t>Кризи, конфликти и дипломация в световната политика XVI-XXІ век\ККДСП ХVІ-ХХІ век(рмнс)\ИФ\мр</t>
  </si>
  <si>
    <t>Кризи, конфликти и дипломация в световната политика XVI-XXІ век\ККДСП ХVІ-ХХІ(рмс)\ИФ\мр</t>
  </si>
  <si>
    <t>Кризи, конфликти и дипломация в световната политика-XVII-XXвек\ККДСП(рмнс)\ИФ\мр</t>
  </si>
  <si>
    <t>Кризи, конфликти и дипломация в световната политика-XVII-XXвек\ККДСП(змнс)\ИФ\мз</t>
  </si>
  <si>
    <t>Кризи,конфликти и дипломация в световната политика-XVII-XXвек\ККДСП(рмс)\ИФ\мр</t>
  </si>
  <si>
    <t>Кризи,конфликти и дипломация в световната политика-XVII-XXвек\ККДСП(змс)\ИФ\мз</t>
  </si>
  <si>
    <t>Култура на Унгария и превод(3 семестъра) \КултУнг(рм3 сем.)\ФКНФ\мр</t>
  </si>
  <si>
    <t>Културен туризъм\КТ(зм)\ГГФ\мз</t>
  </si>
  <si>
    <t>Културна антропология (2 сем.)\КА2(рм2 сем)\ФФ\мр</t>
  </si>
  <si>
    <t>Културна антропология (3 сем.)\КАнов(рм)\ФФ\мр</t>
  </si>
  <si>
    <t>Културна антропология (5 семестъра)\КА(рм)\ФФ\мр</t>
  </si>
  <si>
    <t>Културна и политическа география\КПГ(рм)\ГГФ\мр</t>
  </si>
  <si>
    <t>Културни взаимодействия: Англо-американски перспективи\КВ(рм)\ФКНФ\мр</t>
  </si>
  <si>
    <t>Културни връзки и геополитика на Европейския съюз\КВиГЕС(рм ч.ез.)\ФКНФ\мр</t>
  </si>
  <si>
    <t>Културни връзки и геополитика на Европейския съюз\КВиГЕС(рм)\ФКНФ\мр</t>
  </si>
  <si>
    <t>Културни връзки и геополитика на Европейския съюз\КВиГЕС(зм)\ФКНФ\мз</t>
  </si>
  <si>
    <t>Културология\К.(рб)\ФФ\бр</t>
  </si>
  <si>
    <t>Ладшафтна екология и природен капитал (2 сем.)\ЛЕПК(рмс)\ГГФ\мр</t>
  </si>
  <si>
    <t>Ладшафтна екология и природен капитал (2 сем.)\ЛЕПК(змс)\ГГФ\мз</t>
  </si>
  <si>
    <t>Лайфстайл журналистика\ЛЖ(зм)\ФЖМК\мз</t>
  </si>
  <si>
    <t>Лайфстайл журналистика\ЛЖ-л(зм3 сем.л)\ФЖМК\мз</t>
  </si>
  <si>
    <t>Лайфстайл журналистика (2 семестъра)\ЛЖ-2(зм2 сем)\ФЖМК\мз</t>
  </si>
  <si>
    <t>Ландшафтна екология и природен капитал (3 сем.)\ЛЕПК(рмнсл)\ГГФ\мр</t>
  </si>
  <si>
    <t>Ландшафтна екология и природен капитал (3 сем.)\ЛЕПК(змнсл)\ГГФ\мз</t>
  </si>
  <si>
    <t>Лингвистика - езикова система и речеви практики (3 сем.)\Лингвистика/Несп(рмнс)\ФСлФ\мр</t>
  </si>
  <si>
    <t>Лингвистика - езикови системи и речеви практики (2 семестъра) \Лингвистика - езиков(рмл)\ФСлФ\мр</t>
  </si>
  <si>
    <t>Лингвистика - езикови системи и речеви практики (2 семестъра) \Лингвистика езикова(рм)\ФСлФ\мр</t>
  </si>
  <si>
    <t>Лингвистика - езикови системи и речеви практики (2 семестъра) \Лингвистика езикови(рм)\ФСлФ\мр</t>
  </si>
  <si>
    <t>Литература, кино и визуална култура\ЛКВК(рмс)\ФСлФ\мр</t>
  </si>
  <si>
    <t>Литература, кино и визуална култура\ЛКВК(рмнс)\ФСлФ\мр</t>
  </si>
  <si>
    <t>Литературата-творческо писане\Л ТП(рм2 сем)\ФСлФ\мр</t>
  </si>
  <si>
    <t>Литературата-творческо писане\ЛТПмп(рмнс)\ФСлФ\мр</t>
  </si>
  <si>
    <t>Литературознание\ЛЗ(рм)\ФСлФ\мр</t>
  </si>
  <si>
    <t>Литературознание (3 семестъра)\Литературознание(рмнс)\ФСлФ\мр</t>
  </si>
  <si>
    <t>Литургия и музика (2 семестъра)\Литургия и музика(зм2 сем)\БсФ\мз</t>
  </si>
  <si>
    <t>Литургия и музика (2 семестъра)\Литургия и музика(змс)\БсФ\мз</t>
  </si>
  <si>
    <t>Литургия и музика (4 семестъра)\ЛМ/задочно/4сем/(зм4 сем.)\БсФ\мз</t>
  </si>
  <si>
    <t>Литургия и музика (4 семестъра)\ЛМ/задочно/4сем/(змнс)\БсФ\мз</t>
  </si>
  <si>
    <t>Логика и алгоритми\ЛиА мат(м)\ФМИ\мр</t>
  </si>
  <si>
    <t>Логика и алгоритми\ЛиА(рм)\ФМИ\мр</t>
  </si>
  <si>
    <t>Логика и алгоритми\ЛиА-М(м)\ФМИ\мр</t>
  </si>
  <si>
    <t>Логика и алгоритми\ЛиА-мат(рм)\ФМИ\мр</t>
  </si>
  <si>
    <t>Логика и алгоритми\ЛиА инф(м)\ФМИ\мр</t>
  </si>
  <si>
    <t>Логика и алгоритми\ЛиА-И(м)\ФМИ\мр</t>
  </si>
  <si>
    <t>Логика и алгоритми\ЛиА-инф(рм)\ФМИ\мр</t>
  </si>
  <si>
    <t>Логика и алгоритми - на английски език\ЛА(рм)\ФМИ\мр</t>
  </si>
  <si>
    <t>Логика и алгоритми - на английски език\ЛА-на англ.(рм ч.ез.)\ФМИ\мр</t>
  </si>
  <si>
    <t>Логика и алгоритми - на английски език\ЛА-на англ.(рм)\ФМИ\мр</t>
  </si>
  <si>
    <t>Логопедия\Логоп.(рб)\ФНОИ\бр</t>
  </si>
  <si>
    <t>Логопедия\Л(рм)\ФНОИ\мр</t>
  </si>
  <si>
    <t>Логопедия\Л(рмнс)\ФНОИ\мр</t>
  </si>
  <si>
    <t>Логопедия\Л(рмчс)(рм3 сем.)\ФНОИ\мр</t>
  </si>
  <si>
    <t>Логопедия\Логнесп(рмлп)(рмнсл)\ФНОИ\мр</t>
  </si>
  <si>
    <t>Логопедия\Логопнесп(рм3 сем.)\ФНОИ\мр</t>
  </si>
  <si>
    <t>Логопедия (4 сем.)\ЛогМ лет.пр(рмл)\ФНОИ\мр</t>
  </si>
  <si>
    <t>Логопедия (4 сем.)\Логбългари(рм4 сем.)\ФНОИ\мр</t>
  </si>
  <si>
    <t>Логопедия (4 сем.)\Логдр.спец.(рм4 сем.)\ФНОИ\мр</t>
  </si>
  <si>
    <t>Логопедия (4 сем.)\Л(змнс)\ФНОИ\мз</t>
  </si>
  <si>
    <t>Логопедия (4 сем.)\Логбългаризо(зм4 сем.)\ФНОИ\мз</t>
  </si>
  <si>
    <t>Логопедия (4 сем.)\Логопнесп(зм4 сем.)\ФНОИ\мз</t>
  </si>
  <si>
    <t>Логопедия - Комуникативни нарушения ня развитието (3 сем.)\Лог-КНР(рм3 сем.)\ФНОИ\мр</t>
  </si>
  <si>
    <t>Логопедия - Комуникативни нарушения ня развитието (3 сем.)\Лог-КНР3(рм3 сем.)\ФНОИ\мр</t>
  </si>
  <si>
    <t>Логопедия - Комуникативни нарушения ня развитието (3 сем.)\Лог-КНР(зм3 сем.)\ФНОИ\мз</t>
  </si>
  <si>
    <t>Макроикономика\МИ(рм3 сем.)\СтФ\мр</t>
  </si>
  <si>
    <t>Макроикономика\МИ(рм5 сем.)\СтФ\мр</t>
  </si>
  <si>
    <t>Математика\М\ФМИ\бр</t>
  </si>
  <si>
    <t>Математика\М(рб)\ФМИ\бр</t>
  </si>
  <si>
    <t>Математика и информатика\МИ\ФМИ\бр</t>
  </si>
  <si>
    <t>Математика и информатика\МИ(рб)\ФМИ\бр</t>
  </si>
  <si>
    <t>Математика и информатика\МИ(з)\ФМИ\бз</t>
  </si>
  <si>
    <t>Математика и информатика\МИ(зб)\ФМИ\бз</t>
  </si>
  <si>
    <t>Математика и математическа физика\ММФ\ФМИ\мр</t>
  </si>
  <si>
    <t>Математика и математическа физика\ММФ(м)\ФМИ\мр</t>
  </si>
  <si>
    <t>Математика и математическа физика\ММФ(рм)\ФМИ\мр</t>
  </si>
  <si>
    <t>Математическо моделиране в икономиката\ММИ(м)\ФМИ\мр</t>
  </si>
  <si>
    <t>Математическо моделиране в икономиката\ММИ(рм)\ФМИ\мр</t>
  </si>
  <si>
    <t>Математическо моделиране в икономиката\ММИ-летен(рмл)\ФМИ\мр</t>
  </si>
  <si>
    <t>Математическо моделиране в икономиката\ММИ(рмл)\ФМИ\мр</t>
  </si>
  <si>
    <t>Математическо моделиране в икономиката\ММИ(зм)\ФМИ\мз</t>
  </si>
  <si>
    <t>Математическо моделиране в икономиката (4 сем.)\ММИ(рм4 сем.)\ФМИ\мр</t>
  </si>
  <si>
    <t>Математическо моделиране в икономиката( 3 семестъра) \ММИ_инф(рм)\ФМИ\мр</t>
  </si>
  <si>
    <t>Математическо моделиране и приложение на математиката\ММиПМ\ФМИ\мр</t>
  </si>
  <si>
    <t>Математическо моделиране и приложение на математиката\ММиПМ несп\ФМИ\мр</t>
  </si>
  <si>
    <t>Математическо моделиране и приложение на математиката\ММиПМ(м)\ФМИ\мр</t>
  </si>
  <si>
    <t>Математическо моделиране и приложение на математиката\ММиПМ(рм)\ФМИ\мр</t>
  </si>
  <si>
    <t>Математическо моделиране и приложение на математиката\ММиПМ(рмнс)\ФМИ\мр</t>
  </si>
  <si>
    <t>Математическо моделиране и приложение на математиката\ММиПМ(рмс)\ФМИ\мр</t>
  </si>
  <si>
    <t>Материалознание\Мат(рм)\ФХФ\мр</t>
  </si>
  <si>
    <t>Медиен дизайн\МД(зм3 сем.)\ФЖМК\мз</t>
  </si>
  <si>
    <t>Медии и историческа памет\МИП(рмс)\ИФ\мр</t>
  </si>
  <si>
    <t>Медии, комуникация, култура\МКК(рм)\ФФ\мр</t>
  </si>
  <si>
    <t>Медии, комуникация, култура (2 сем.)\Медии, комуникация, (рм2 сем)\ФФ\мр</t>
  </si>
  <si>
    <t>Медийна педагогика и художествена комуникация\МПХК(рб)\ФНОИ\бр</t>
  </si>
  <si>
    <t>Медицина\Мед(рм)\МФ\мр</t>
  </si>
  <si>
    <t>Медицина (на английски език)\Мед (англ.)(рм ч.ез.)\МФ\мр</t>
  </si>
  <si>
    <t>Медицинска и фармакологична биофизикохимия\МФБФХ(рм)\ФХФ\мр</t>
  </si>
  <si>
    <t>Медицинска и фармакологична биофизикохимия (3 семестъра)\МФБФХ(рм)\ФХФ\мр</t>
  </si>
  <si>
    <t>Медицинска рехабилитация и ерготерапия\МРЕ(рб)\МФ\бр</t>
  </si>
  <si>
    <t>Медицинска сестра \МедС(рб)\МФ\бр</t>
  </si>
  <si>
    <t>Медицинска физика\МФ(рб)\ФзФ\бр</t>
  </si>
  <si>
    <t>Медицинска физика\МФ(рм4 сем.)\ФзФ\мр</t>
  </si>
  <si>
    <t>Медицинска физика  (2 семестъра)\МФ(рм2 сем)\ФзФ\мр</t>
  </si>
  <si>
    <t>Медицинска физика (2 семестъра) \МФ 2с(рм2 сем)\ФзФ\мр</t>
  </si>
  <si>
    <t>Медицинска физика (3 семестъра) \МФмп3ро(рм3 сем.)\ФзФ\мр</t>
  </si>
  <si>
    <t>Медицинска физика (3 семестъра) \МФ(рм3 сем.)\ФзФ\мр</t>
  </si>
  <si>
    <t>Медицинска физика (3 семестъра) \Медицинска физика(рм3 сем.)\ФзФ\мр</t>
  </si>
  <si>
    <t>Медицинска физика (4 семестъра) \МФ(рм4 сем.)\ФзФ\мр</t>
  </si>
  <si>
    <t>Медицинска физика (на английски език)(3 сем.)\МФ-Англ.ез.(рм3 сем. ч.ез.)\ФзФ\мр</t>
  </si>
  <si>
    <t>Медицинска химия\МХ(рм)\ФХФ\мр</t>
  </si>
  <si>
    <t>Медицинска химия (3 семестъра)\МХ(рм)\ФХФ\мр</t>
  </si>
  <si>
    <t>Междукултурна комуникация и превод с китайски и български език (2 сем.)\МКиПКиБЕ(рм2 сем)\ФКНФ\мр</t>
  </si>
  <si>
    <t>Междукултурна комуникация и превод с китайски и български език (4 сем.)\МКиПКиБЕ(рм4 сем.)\ФКНФ\мр</t>
  </si>
  <si>
    <t>Международна журналистика\МЖ(рм)\ФЖМК\мр</t>
  </si>
  <si>
    <t>Международна журналистика\МЖ(зм2 сем)\ФЖМК\мз</t>
  </si>
  <si>
    <t>Международна журналистика (3 семестъра)\МЖ(зм3 сем.)\ФЖМК\мз</t>
  </si>
  <si>
    <t>Международна сигурност (2 сем.)\МС(рм2 сем)\ЮФ\мр</t>
  </si>
  <si>
    <t>Международна сигурност (3 семестъра)\МС(рм3 сем.)\ЮФ\мр</t>
  </si>
  <si>
    <t>Международна сигурност (3 семестъра)\МС(рм3 сем.л)\ЮФ\мр</t>
  </si>
  <si>
    <t>Международна сигурност (4 семестъра)\МС(рм4 сем.)\ЮФ\мр</t>
  </si>
  <si>
    <t>Международни бизнес отношения (2 сем.)\МБО(рм2 сем)\ЮФ\мр</t>
  </si>
  <si>
    <t>Международни бизнес отношения (3 семестъра)\МБО(рм3 сем.л)\ЮФ\мр</t>
  </si>
  <si>
    <t>Международни бизнес отношения (3 семестъра)\МБОмп(рм3 сем.)\ЮФ\мр</t>
  </si>
  <si>
    <t>Международни бизнес отношения (4 семестъра)\МБО(рм4 сем.)\ЮФ\мр</t>
  </si>
  <si>
    <t>Международни бизнес отношения (4 семестъра)\МБОмп4сем(рм4 сем.)\ЮФ\мр</t>
  </si>
  <si>
    <t>Международни организации и многостранна дипломация (3 семестъра)\МОМД(рм3 сем.)\ЮФ\мр</t>
  </si>
  <si>
    <t>Международни организации и многостранна дипломация (3 семестъра)\МОМД(рм3 сем.л)\ЮФ\мр</t>
  </si>
  <si>
    <t>Международни организации и многостранна дипломация (4 семестъра)\МОМД(рм4 сем.)\ЮФ\мр</t>
  </si>
  <si>
    <t>Международни отношения\МО(рб)\ЮФ\бр</t>
  </si>
  <si>
    <t>Международни отношения \МО(рм)\ЮФ\мр</t>
  </si>
  <si>
    <t>Международни отношения и проблеми на сигурността\МОПС р 3сем.(рм3 сем.)\ФФ\мр</t>
  </si>
  <si>
    <t>Международни отношения и проблеми на сигурността\МОПС(рмсл)\ФФ\мр</t>
  </si>
  <si>
    <t>Международни отношения и проблеми на сигурността\МПОС(рмс)\ФФ\мр</t>
  </si>
  <si>
    <t>Международни отношения и проблеми на сигурността\МПОС(рмнс)\ФФ\мр</t>
  </si>
  <si>
    <t>Международни отношения и проблеми на сигурността\МОПС з 3сем(зм3 сем.)\ФФ\мз</t>
  </si>
  <si>
    <t>Международни отношения и проблеми на сигурността\МОПС(змсл)\ФФ\мз</t>
  </si>
  <si>
    <t>Международни отношения и проблеми на сигурността\МПОС(змс)\ФФ\мз</t>
  </si>
  <si>
    <t>Международни отношения и проблеми на сигурността\МПОС(змнс)\ФФ\мз</t>
  </si>
  <si>
    <t>Мениджмънт и социализация на културното наследство\МСКН(рм)\ФФ\мр</t>
  </si>
  <si>
    <t>Мениджмънт и социализация на културното наследство\МСКНл(рмл)\ФФ\мр</t>
  </si>
  <si>
    <t>Мениджмънт и социализация на културното наследство (2 сем.)\МСКН2(рм2 сем)\ФФ\мр</t>
  </si>
  <si>
    <t>Мениджмънт на образованието в предучилищните заведения \МОПЗ(зм)\ФНОИ\мз</t>
  </si>
  <si>
    <t>Мениджмънт на образованието в предучилищните заведения \МОПЗ(зм3 сем.)\ФНОИ\мз</t>
  </si>
  <si>
    <t>Мениджмънт на образованието на възрастните\МОВ(рм3 сем.)\ФП\мр</t>
  </si>
  <si>
    <t>Мениджмънт на образованието на възрастните\МОВ (зм 3 сем.)(зм3 сем.)\ФП\мз</t>
  </si>
  <si>
    <t>Мениджмънт на образованието на възрастните\МОВ(зм3 сем.)\ФП\мз</t>
  </si>
  <si>
    <t>Мениджмънт на социално-педагогическите дейности\Мсд(рм)\ФНОИ\мр</t>
  </si>
  <si>
    <t>Мениджмънт на социално-педагогическите дейности\МСПД(рмнс)\ФНОИ\мр</t>
  </si>
  <si>
    <t>Мениджмънт на социално-педагогическите дейности\МСПД(змнс)\ФНОИ\мз</t>
  </si>
  <si>
    <t>Мениджмънт на социално-педагогическите дейности\Мсд(зм)\ФНОИ\мз</t>
  </si>
  <si>
    <t>Мениджмънт на услуги и огранизации за неформално образование (3 семестъра)\Мениджмънт на услуги(зм3 сем.)\ФП\мз</t>
  </si>
  <si>
    <t>Мениджмънт на услуги и огранизации за неформално образование (3 семестъра)\Мениджмънт на услуги(змнс)\ФП\мз</t>
  </si>
  <si>
    <t>Мениджмънт на услуги и организации за неформално образование (2 семестъра)\Мениджмънт на услуги(зм2 сем)\ФП\мз</t>
  </si>
  <si>
    <t>Метеорология\М(рм)\ФзФ\мр</t>
  </si>
  <si>
    <t>Метеорология\М(рм3 сем.)\ФзФ\мр</t>
  </si>
  <si>
    <t>Метеорология\М(рм5 сем.)\ФзФ\мр</t>
  </si>
  <si>
    <t>Метеорология\М5(рм5 сем.)\ФзФ\мр</t>
  </si>
  <si>
    <t>Метеорология\М(зм)\ФзФ\мз</t>
  </si>
  <si>
    <t>Метеорология\М(зм3 сем.)\ФзФ\мз</t>
  </si>
  <si>
    <t>Метеорология\М(зм5 сем.)\ФзФ\мз</t>
  </si>
  <si>
    <t>Метеорология\М5(зм5 сем.)\ФзФ\мз</t>
  </si>
  <si>
    <t>Методика на чуждоезиковото обучение\МЧЕО(рм)\ФКНФ\мр</t>
  </si>
  <si>
    <t>Методика на чуждоезиковото обучение\МЧЕОан(рм)\ФКНФ\мр</t>
  </si>
  <si>
    <t>Методика на чуждоезиковото обучение\МЧЕОне(рм)\ФКНФ\мр</t>
  </si>
  <si>
    <t>Методика на чуждоезиковото обучение\МЧЕОфр(рм)\ФКНФ\мр</t>
  </si>
  <si>
    <t>Методика на чуждоезиковото обучение\МЧЕОис(рм)\ФКНФ\мр</t>
  </si>
  <si>
    <t>Методика на чуждоезиковото обучение\МЧЕОит(рм)\ФКНФ\мр</t>
  </si>
  <si>
    <t>Методика на чуждоезиковото обучение (АФ)\МЧО(анг.)(рм)\ФКНФ\мр</t>
  </si>
  <si>
    <t>Методика на чуждоезиковото обучение (ИФ)\МЧО(исп.)(рм)\ФКНФ\мр</t>
  </si>
  <si>
    <t>Методика на чуждоезиковото обучение (ИтФ)\МЧО(ит.)(рм)\ФКНФ\мр</t>
  </si>
  <si>
    <t>Методика на чуждоезиковото обучение (НФСке)\МЧО(нфске)(рм)\ФКНФ\мр</t>
  </si>
  <si>
    <t>Методика на чуждоезиковото обучение (ПтФ)\МЧЕОпорт(рм)\ФКНФ\мр</t>
  </si>
  <si>
    <t>Методика на чуждоезиковото обучение (ФрФ)\МЧО(фр.)(рм)\ФКНФ\мр</t>
  </si>
  <si>
    <t>Методика на чуждоезиковото обучение в междукултурна среда (T)\МЧОвМС(тюрк.)(рм2 сем)\ФКНФ\мр</t>
  </si>
  <si>
    <t>Методика на чуждоезиковото обучение в междукултурна среда (АФ)\МЧОвМС(анг.)(рм2 сем)\ФКНФ\мр</t>
  </si>
  <si>
    <t>Методика на чуждоезиковото обучение в междукултурна среда (АФ)\МЧОвМС(анг.)(рм2 семл)\ФКНФ\мр</t>
  </si>
  <si>
    <t>Методика на чуждоезиковото обучение в междукултурна среда (ИсФ)\МЧОвМС(исп.)(рм2 сем)\ФКНФ\мр</t>
  </si>
  <si>
    <t>Методика на чуждоезиковото обучение в междукултурна среда (ИтФ)\МЧОвМС(итал.)(рм2 сем)\ФКНФ\мр</t>
  </si>
  <si>
    <t>Методика на чуждоезиковото обучение в междукултурна среда (НФ) \МЧОвМС(нем.)(рм2 сем)\ФКНФ\мр</t>
  </si>
  <si>
    <t>Методика на чуждоезиковото обучение в междукултурна среда (ФФ)\МЧОвМС(фр.)(рм2 сем)\ФКНФ\мр</t>
  </si>
  <si>
    <t>Методология на обучението по физика и астрономия (2 семестъра) \МОФАр2(рм2 сем)\ФзФ\мр</t>
  </si>
  <si>
    <t>Методология на обучението по физика и астрономия (3 семестъра)\МетодологияОФА(рм3 сем.)\ФзФ\мр</t>
  </si>
  <si>
    <t>Методология на обучението по физика и астрономия (3 семестъра)\МОФАз3(зм3 сем.)\ФзФ\мз</t>
  </si>
  <si>
    <t>Мехатроника и роботика\Мех&amp;роб(рм)\ФМИ\мр</t>
  </si>
  <si>
    <t>Мехатроника и роботика\Мех&amp;роб(рмс)\ФМИ\мр</t>
  </si>
  <si>
    <t>Мехатроника и роботика\МиР(рм)\ФМИ\мр</t>
  </si>
  <si>
    <t>Микробиология и микробиологичен контрол\МБМБК(рм)\БФ\мр</t>
  </si>
  <si>
    <t>Микроелектроника и информационни технологии\МЕИТ(рм3 сем.)\ФзФ\мр</t>
  </si>
  <si>
    <t>Микроелектроника и информационни технологии\МИТ(рм)\ФзФ\мр</t>
  </si>
  <si>
    <t>Микроелектроника и информационни технологии\МИТ(рм3 сем.)\ФзФ\мр</t>
  </si>
  <si>
    <t>Микроелектроника и информационни технологии\МЕИТ(зм3 сем.)\ФзФ\мз</t>
  </si>
  <si>
    <t>Микроелектроника и информационни технологии\МЕИТЛП3(зм3 сем.л)\ФзФ\мз</t>
  </si>
  <si>
    <t>Микроелектроника и информационни технологии\МИТ(зм3 се\ФзФ\мз</t>
  </si>
  <si>
    <t>Микроелектроника и информационни технологии\МИТ(зм3 сем.)\ФзФ\мз</t>
  </si>
  <si>
    <t>Минало и съвремие на Югоизточна Европа\МСЮЕ(рб)\ИФ\бр</t>
  </si>
  <si>
    <t>Минералогия, петрология и полезни изкопаеми (3 сем.)\МППИ(рм)\ГГФ\мр</t>
  </si>
  <si>
    <t>Митнически и данъчен контрол (2 сем.)\МД контрол летен(зм2 семл)\СтФ\мз</t>
  </si>
  <si>
    <t>Митнически и данъчен контрол (2 сем.)\МД контрол неикон. л(змнсл)\СтФ\мз</t>
  </si>
  <si>
    <t>Митнически и данъчен контрол (2 сем.)\МД контрол неиконом.(змнс)\СтФ\мз</t>
  </si>
  <si>
    <t>Митнически и данъчен контрол (2 сем.)\МД контрол(зм2 сем)\СтФ\мз</t>
  </si>
  <si>
    <t>Митнически и данъчен контрол (2 сем.)\Минт Данч К(зм2 сем)\СтФ\мз</t>
  </si>
  <si>
    <t>Митнически и данъчен контрол (2 сем.)\МитДанъчен Кн(змнс)\СтФ\мз</t>
  </si>
  <si>
    <t>Митнически и данъчен контрол (2 сем.)\Митн Данч К лнс(змнсл)\СтФ\мз</t>
  </si>
  <si>
    <t>Митнически и данъчен контрол (2 сем.)\Митнически и ДКл(зм2 семл)\СтФ\мз</t>
  </si>
  <si>
    <t>Мобилност и миграции\Моб&amp;Миг(зм)\ИФ\мз</t>
  </si>
  <si>
    <t>Моделиране на големи данни в бизнеса и финансите (2 сем.)\МГДБФ-ЗО зимен неик.(змнс)\СтФ\мз</t>
  </si>
  <si>
    <t>Моделиране на големи данни в бизнеса и финансите (2 сем.)\МГДБФ-ЗО зимен(зм2 сем)\СтФ\мз</t>
  </si>
  <si>
    <t>Моделиране на големи данни в бизнеса и финансите (2 сем.)\МГДБФ-ЗО летен неик.(змнсл)\СтФ\мз</t>
  </si>
  <si>
    <t>Моделиране на големи данни в бизнеса и финансите (2 сем.)\МГДБФ-ЗО летен(зм2 семл)\СтФ\мз</t>
  </si>
  <si>
    <t>Моделиране на големи данни в бизнеса и финансите (Business Analytics)\МГДБФ(рм2 семл)\СтФ\мр</t>
  </si>
  <si>
    <t>Моделиране на големи данни в бизнеса и финансите (Business Analytics) - 2 сем.\МГДБФ(рм2 сем)\СтФ\мр</t>
  </si>
  <si>
    <t>Моделиране на големи данни в бизнеса и финансите (Business Analytics) - 3 сем.\МГДБФ - 3(рм3 сем.)\СтФ\мр</t>
  </si>
  <si>
    <t>Моделиране на големи данни в бизнеса и финансите (Business Analytics)-2сем-летен прием\МГДБФ(рм2 семл)\СтФ\мр</t>
  </si>
  <si>
    <t>Моделиране на големи данни в бизнеса и финансите (Business Analytics)-2сем.\МГДБФ(рм2 сем)\СтФ\мр</t>
  </si>
  <si>
    <t>Моделиране на големи данни в бизнеса и финансите (Business Analytics)-3сем-летен прием\МГДБФ - 3(рм3 сем.л)\СтФ\мр</t>
  </si>
  <si>
    <t>Моделиране на големи данни в бизнеса и финансите (Business Analytics)-3сем.\МГДБФ - 3(рм3 сем.)\СтФ\мр</t>
  </si>
  <si>
    <t>Модерна България: държава и общество (края на 19-нач. на 21 век)\Модерна България(рмс)\ИФ\мр</t>
  </si>
  <si>
    <t>Модерна България: държава и общество (края на 19-нач. на 21 век)\Модерна България(змнс)\ИФ\мз</t>
  </si>
  <si>
    <t>Модерна България: държава и общество (края на 19-нач. на 21 век)\Модерна България(змс)\ИФ\мз</t>
  </si>
  <si>
    <t>Модерна България: държава и общество(края на 19-нач.на 21 век)(неспециалисти) \Модерна България(рмнс)\ИФ\мр</t>
  </si>
  <si>
    <t>Молекулярна биология\МБ(рб)\БФ\бр</t>
  </si>
  <si>
    <t>Монтесори педагогиката в дигиталното общество\МПДО(зм2 сем)\ФНОИ\мз</t>
  </si>
  <si>
    <t>Музеология (3 семестъра)\М(рмнс)\ИФ\мр</t>
  </si>
  <si>
    <t>Музеология (3 семестъра)\М(рмс)\ИФ\мр</t>
  </si>
  <si>
    <t>Музеология (3 семестъра)\М(змс)\ИФ\мз</t>
  </si>
  <si>
    <t>Музеология (3 семестъра)\М3(змнс)\ИФ\мз</t>
  </si>
  <si>
    <t>Музика\Муз.П(рб)\ФНОИ\бр</t>
  </si>
  <si>
    <t>Музика\МузП(рм)\ФНОИ\мр</t>
  </si>
  <si>
    <t>Музика\МузПед(рм)\ФНОИ\мр</t>
  </si>
  <si>
    <t>Музика\МузПед(рм2 сем)\ФНОИ\мр</t>
  </si>
  <si>
    <t>Музикален артмениджмънт\МАМ(рм2 сем)\ФНОИ\мр</t>
  </si>
  <si>
    <t>Музикални и мултимедийни технологии (2 семестъра) \ММТро(рм2 сем)\ФНОИ\мр</t>
  </si>
  <si>
    <t>Музикални и мултимедийни технологии (2 семестъра) \МММТ(сп)(змс)\ФНОИ\мз</t>
  </si>
  <si>
    <t>Музикални и мултимедийни технологии (3 семестъра)\МММТдр.спец.(рм3 сем.)\ФНОИ\мр</t>
  </si>
  <si>
    <t>Музикални и мултимедийни технологии (3 семестъра)\МММТ(несп)(змнс)\ФНОИ\мз</t>
  </si>
  <si>
    <t>Музикални компютърни технологии\МКТ(рм)\ФНОИ\мр</t>
  </si>
  <si>
    <t>Музикални компютърни технологии и тонрежисура\МКТТ(рм2 сем)\ФНОИ\мр</t>
  </si>
  <si>
    <t>Музикални медийни технологии и тонрежисура\ММТТ(рб)\ФНОИ\бр</t>
  </si>
  <si>
    <t>Нанооптоелектроника и информационни технологии\НОЕиИТ(рм)\ФМИ\мр</t>
  </si>
  <si>
    <t>Начална училищна педагогика\НУП(рм4 сем.)\ФНОИ\мр</t>
  </si>
  <si>
    <t>Начална училищна педагогика\ПНУПм(зм4 сем.)\ФНОИ\мз</t>
  </si>
  <si>
    <t>Начална училищна педагогика (2 сем.)\НУП (учит.прав.)(зм2 сем)\ФНОИ\мз</t>
  </si>
  <si>
    <t>Начална училищна педагогика (2 сем.)\НУП(зм2 сем)\ФНОИ\мз</t>
  </si>
  <si>
    <t>Начална училищна педагогика (2 сем.)\НУПучправо(зм2 сем)\ФНОИ\мз</t>
  </si>
  <si>
    <t>Начална училищна педагогика и чужд език\НУПЧЕ(рб)\ФНОИ\бр</t>
  </si>
  <si>
    <t>Немска филология\НФ(рб)\ФКНФ\бр</t>
  </si>
  <si>
    <t>Немска филология\НемФ(рб)\ФКНФ\бр</t>
  </si>
  <si>
    <t>Немска филология с избираем модул "Скандинавски езици"\НФСке(рб)\ФКНФ\бр</t>
  </si>
  <si>
    <t>Неорганични и хибридни материали за съвременните технологии\НХМСТ(рм)\ФХФ\мр</t>
  </si>
  <si>
    <t>Неформално образование\НО(рб)\ФП\бр</t>
  </si>
  <si>
    <t>Неформално образование\НО(зб)\ФП\бз</t>
  </si>
  <si>
    <t>Нова и съвременна българска история\НСБИ(рм)\ИФ\мр</t>
  </si>
  <si>
    <t>Нова и съвременна българска история\НСБИ(рмс)\ИФ\мр</t>
  </si>
  <si>
    <t>Нова и съвременна българска история\НСБИ(зм)\ИФ\мз</t>
  </si>
  <si>
    <t>Нова и съвременна българска история\НСБИ(змс)\ИФ\мз</t>
  </si>
  <si>
    <t>Новогръцка филология\НГФ(рб)\ФКНФ\бр</t>
  </si>
  <si>
    <t>Новогръцка филология\НГФ(рм)\ФКНФ\мр</t>
  </si>
  <si>
    <t>Нордистика\Н(рм)\ФКНФ\мр</t>
  </si>
  <si>
    <t>Нордистика\Норд(рм)\ФКНФ\мр</t>
  </si>
  <si>
    <t>Образованието по български език и литература в средното училище\ОБЕЛ(рм)\ФСлФ\мр</t>
  </si>
  <si>
    <t>Образованието по български език и литература в средното училище\ОБЕЛСУмп(рмнс)\ФСлФ\мр</t>
  </si>
  <si>
    <t>Образованието по български език и литература в средното училище\ОБЕЛ(зм)\ФСлФ\мз</t>
  </si>
  <si>
    <t>Образованието по български език и литература в средното училище\ОБЕЛмп(змнс)\ФСлФ\мз</t>
  </si>
  <si>
    <t>Образованието по история в средното училище\ОИСУ(рм)\ИФ\мр</t>
  </si>
  <si>
    <t>Образованието по история в средното училище\ОИСУ(рмс)\ИФ\мр</t>
  </si>
  <si>
    <t>Образованието по история в средното училище\ОИСУ(змнс)\ИФ\мз</t>
  </si>
  <si>
    <t>Образованието по история в средното училище\ОИСУ(зм)\ИФ\мз</t>
  </si>
  <si>
    <t>Образованието по история в средното училище (3 сем.)\ОИСУ(спец)(рм3 сем.)\ИФ\мр</t>
  </si>
  <si>
    <t>Образованието по история в средното училище (3 сем.)\ОИУ(спец)(зм3 сем.)\ИФ\мз</t>
  </si>
  <si>
    <t>Образованието по история в средното училище (3 семестъра)\ОИСУ(змс)\ИФ\мз</t>
  </si>
  <si>
    <t>Образованието по история в средното училище (5 семестъра)\ОИСУ(рм5 сем.)\ИФ\мр</t>
  </si>
  <si>
    <t>Образованието по история в средното училище (5 семестъра)\ОИСУ(рмнс)\ИФ\мр</t>
  </si>
  <si>
    <t>Образованието по история в средното училище (5 семестъра)\ОИСУ(несп)(зм5 сем.)\ИФ\мз</t>
  </si>
  <si>
    <t>Образованието по история в средното училище (5 семестъра)\ОИУ(несп)(зм5 сем.)\ИФ\мз</t>
  </si>
  <si>
    <t>Образователен мениджмънт\ОМ(рм2 сем)\ФП\мр</t>
  </si>
  <si>
    <t>Образователен мениджмънт\МУПОМ(рм3 сем.)\ФП\мр</t>
  </si>
  <si>
    <t>Образователен мениджмънт\ОМ(рм3 сем.)\ФП\мр</t>
  </si>
  <si>
    <t>Образователен мениджмънт\ОМ(зм2 сем)\ФП\мз</t>
  </si>
  <si>
    <t>Образователен мениджмънт\МУПОМ(зм3 сем.)\ФП\мз</t>
  </si>
  <si>
    <t>Образователен мениджмънт\ОМ(зм3 сем.)\ФП\мз</t>
  </si>
  <si>
    <t>Образователен мениджмънт (2 семестъра)\ОМ(рмс)\ФП\мр</t>
  </si>
  <si>
    <t>Образователен мениджмънт (2 семестъра)\ОМ(зм2 сем)\ФП\мз</t>
  </si>
  <si>
    <t>Образователен мениджмънт (2 семестъра)\ОМ(змс)\ФП\мз</t>
  </si>
  <si>
    <t>Образователни науки и интеркултурно възпитание\ОНИВ(ае)(рм2 сем ч.ез.)\ФНОИ\мр</t>
  </si>
  <si>
    <t>Образователни науки и интеркултурно възпитание\ОНИВ(ае)(рм2 сем)\ФНОИ\мр</t>
  </si>
  <si>
    <t>Образователни науки и интеркултурно възпитание\ОНИВ/ае//рм//лп/(рм2 семл ч.ез.)\ФНОИ\мр</t>
  </si>
  <si>
    <t>Образователни науки и интеркултурно възпитание\ОНИВ/ае//рм//лп/(рм2 семл)\ФНОИ\мр</t>
  </si>
  <si>
    <t>Обща антропология\ОАнтр(рм)\БФ\мр</t>
  </si>
  <si>
    <t>Обща антропология\ОА(рмнсл)\БФ\мр</t>
  </si>
  <si>
    <t>Обща психология на английски език\ОПАЕ(зм ч.ез.)\ФФ\мз</t>
  </si>
  <si>
    <t>Обща психология на английски език\ОПАЕ(зм)\ФФ\мз</t>
  </si>
  <si>
    <t>Общество и култура на Корея\ОКК(рм)\ФКНФ\мр</t>
  </si>
  <si>
    <t>Общество и култура на арабския свят\ОКАСмп(рм)\ФКНФ\мр</t>
  </si>
  <si>
    <t>Общество и култура: теоретична и историческа социология\ТИК(рм)\ФФ\мр</t>
  </si>
  <si>
    <t>Онлайн журналистика и медии\ОЖМ-л(змл)\ФЖМК\мз</t>
  </si>
  <si>
    <t>Опазване на българското книжовно наследство (2 семестъра)\ОБКНмп(рм2 сем)\ФСлФ\мр</t>
  </si>
  <si>
    <t>Опазване на българското културно наследство(2 семестъра)\ОБКултН(рмнс)\ФСлФ\мр</t>
  </si>
  <si>
    <t>Опазване на българското културно наследство(2 семестъра)\ОБКултН(рмс)\ФСлФ\мр</t>
  </si>
  <si>
    <t>Опазване на българското културно наследство(2 семестъра)\ОБКултН/2сем(рмс)\ФСлФ\мр</t>
  </si>
  <si>
    <t>Опазване на българското културно наследство(2 семестъра)\Опазв. бълг. кул. н.(змнс)\ФСлФ\мз</t>
  </si>
  <si>
    <t>Опазване на българското културно наследство(2 семестъра)\Опазв. бълг. кул. н.(змс)\ФСлФ\мз</t>
  </si>
  <si>
    <t>Опазване на българското културно наследство(3 семестъра)\ОБКултН(рмнс)\ФСлФ\мр</t>
  </si>
  <si>
    <t>Опазване на българското културно наследство(3 семестъра)\ОБКултН/3сем(рмнс)\ФСлФ\мр</t>
  </si>
  <si>
    <t>Опазване на българското културно наследство(3 семестъра)\ОБКултН~(рмнс)\ФСлФ\мр</t>
  </si>
  <si>
    <t>Опазване на околната среда\ООС(рм)\БФ\мр</t>
  </si>
  <si>
    <t>Опазване на околната среда- летен прием\ООС-НС(рмнсл)\БФ\мр</t>
  </si>
  <si>
    <t>Опазване на природната среда\ОПС(рм)\БФ\мр</t>
  </si>
  <si>
    <t>Оптика и спектроскопия\ОС(рм)\ФзФ\мр</t>
  </si>
  <si>
    <t>Оптика и спектроскопия\ОС(рм3 сем.)\ФзФ\мр</t>
  </si>
  <si>
    <t>Оптимизация\Опт(рм)\ФМИ\мр</t>
  </si>
  <si>
    <t>Оптометрия\Оптометрия(рб)\ФзФ\бр</t>
  </si>
  <si>
    <t>Оптометрия\Оптометрия(зб)\ФзФ\бз</t>
  </si>
  <si>
    <t>Оптометрия\Опт(рм2 сем)\ФзФ\мр</t>
  </si>
  <si>
    <t>Оптометрия (4 семестъра) \Оптометрия(рм4 сем.л)\ФзФ\мр</t>
  </si>
  <si>
    <t>Оптометрия (5 семестъра) \Оптометрия(рм5 сем.)\ФзФ\мр</t>
  </si>
  <si>
    <t>Оптометрия (6 семестъра)\Оптометрия(зм6 сем.)\ФзФ\мз</t>
  </si>
  <si>
    <t>Организационна психология и кроскултурен мениджмънт (на английски език)-4 сем.\ОПКМ 4с(зм4 сем. ч.ез.)\ФФ\мз</t>
  </si>
  <si>
    <t>Организационна психология и кроскултурен мениджмънт /на английски език/\ОПКМангл(зм3 сем. ч.ез.)\ФФ\мз</t>
  </si>
  <si>
    <t>Организационна психология и кроскултурен мениджмънт /на английски език/\ОПКМангл(зм3 сем.)\ФФ\мз</t>
  </si>
  <si>
    <t>Организационно поведение и консултиране на организацията (3 сем.)\ОПКО(рм3 сем.)\ФФ\мр</t>
  </si>
  <si>
    <t>Организационно поведение и консултиране на организацията (3 сем.)\ОпКо(рм3 сем.)\ФФ\мр</t>
  </si>
  <si>
    <t>Организационно поведение и управление на организацията\ОПКО (рмнс)\ФФ\мр</t>
  </si>
  <si>
    <t>Организационно поведение и управление на организацията\ОПКО(рмнс)\ФФ\мр</t>
  </si>
  <si>
    <t>Организационно поведение и управление на организацията\ОПУО(рмнс)\ФФ\мр</t>
  </si>
  <si>
    <t>Организационно развитие\ОР(рм)\СтФ\мр</t>
  </si>
  <si>
    <t>Отговорно и устойчиво управление\ОУУ - РО (\СтФ\мр</t>
  </si>
  <si>
    <t>Отговорно и устойчиво управление\ОУУ - РО н\СтФ\мр</t>
  </si>
  <si>
    <t>Отговорно и устойчиво управление\ОУУ - ЗО (2 сем.)(зм2 сем)\СтФ\мз</t>
  </si>
  <si>
    <t>Отговорно и устойчиво управление\ОУУ - ЗО неспец.(змнс)\СтФ\мз</t>
  </si>
  <si>
    <t>Оценка на политики и оценка на въздействие (2 сем.)\ОПОВ(рм2 сем)\ФФ\мр</t>
  </si>
  <si>
    <t>Палеонтология и биостратиграфия\ПБмп(рм)\ГГФ\мр</t>
  </si>
  <si>
    <t>Паразитология\П(рм)\БФ\мр</t>
  </si>
  <si>
    <t>Педагогика\Пед(рб)\ФП\бр</t>
  </si>
  <si>
    <t>Педагогика\Пед(зб)\ФП\бз</t>
  </si>
  <si>
    <t>Педагогика \Пед(зм)(зм)\ФП\мз</t>
  </si>
  <si>
    <t>Педагогика и семиотика на изобразителното изкуство\ПСИИз(рм)\ФНОИ\мр</t>
  </si>
  <si>
    <t>Педагогика и семиотика на изобразителното изкуство\ПСИИз(рм2 сем)\ФНОИ\мр</t>
  </si>
  <si>
    <t>Педагогика и семиотика на изобразителното изкуство\ПСИИзав.др.спец.(рм3 сем.)\ФНОИ\мр</t>
  </si>
  <si>
    <t>Педагогика на девиантното поведение\ПДП(рм3 сем.)\ФП\мр</t>
  </si>
  <si>
    <t>Педагогика на девиантното поведение\ПДП(рм2 сем)\ФП\мр</t>
  </si>
  <si>
    <t>Педагогика на девиантното поведение\ПДП(зм3 сем.)\ФП\мз</t>
  </si>
  <si>
    <t>Педагогика на девиантното поведение\ПДП(зм2 сем)\ФП\мз</t>
  </si>
  <si>
    <t>Педагогика на деца и ученици с множество увреждания (за завършили специална педагогика и други педагогически специалности)\ПДУму(спец.)(рм2 сем)\ФНОИ\мр</t>
  </si>
  <si>
    <t>Педагогика на зрително затруднени\Пзз(рм)\ФНОИ\мр</t>
  </si>
  <si>
    <t>Педагогика на зрително затруднени\ПЗЗ(зав.др.сп.)(зм3 сем.)\ФНОИ\мз</t>
  </si>
  <si>
    <t>Педагогика на зрително затруднени\ПЗЗпедправосп(зм3 сем.)\ФНОИ\мз</t>
  </si>
  <si>
    <t>Педагогика на зрително затруднени\Пзз(зм)\ФНОИ\мз</t>
  </si>
  <si>
    <t>Педагогика на зрително затруднени\Пзз(зм4 сем.)\ФНОИ\мз</t>
  </si>
  <si>
    <t>Педагогика на зрително затруднени\Пззн(зм4 сем.)\ФНОИ\мз</t>
  </si>
  <si>
    <t>Педагогика на зрително затруднени\Пззн(змнс)\ФНОИ\мз</t>
  </si>
  <si>
    <t>Педагогика на зрително затруднените (за завършили други специалности с педагогическа правоспособност)\ПЗЗ(пед.правоспособ)(зм3 сем.)\ФНОИ\мз</t>
  </si>
  <si>
    <t>Педагогика на зрително затруднените (за завършили други специалности с педагогическа правоспособност)\ПЗЗзо(зм3 сем.)\ФНОИ\мз</t>
  </si>
  <si>
    <t>Педагогика на масовата и художествена комуникация\ПМХК(рб)\ФНОИ\бр</t>
  </si>
  <si>
    <t>Педагогика на масовата и художествена комуникация\ПМХК(рм)\ФНОИ\мр</t>
  </si>
  <si>
    <t>Педагогика на масовата и художествена комуникация\ПМХК(зм)\ФНОИ\мз</t>
  </si>
  <si>
    <t>Педагогика на масовата и художествена комуникация\ПМХК(зм3 сем.)\ФНОИ\мз</t>
  </si>
  <si>
    <t>Педагогика на масовата и художествена комуникация (на английски език)\ПМХК(ае)(рб ч.ез.)\ФНОИ\бр</t>
  </si>
  <si>
    <t>Педагогика на масовата и художествена комуникация (на английски език)\ПМХК/ае/(рб)\ФНОИ\бр</t>
  </si>
  <si>
    <t>Педагогика на обучението по химия и физика\ХФ(рб)\ФХФ\бр</t>
  </si>
  <si>
    <t>Педагогика на обучението по химия и физика\Хф1г(рм-97)\ФХФ\мр</t>
  </si>
  <si>
    <t>Педагогически съветник в училище (2 сем.)\Педсъв(зм2 сем)\ФНОИ\мз</t>
  </si>
  <si>
    <t>Печатни медии\ПМ(зм)\ФЖМК\мз</t>
  </si>
  <si>
    <t>Печатни медии\ПМмп(зм)\ФЖМК\мз</t>
  </si>
  <si>
    <t>Плазмени технологии и термоядрен синтез (3 сем.)\ПТТС(рм3 сем.)\ФзФ\мр</t>
  </si>
  <si>
    <t>Планиране и управление на териториални системи\ПУТС(рмс)\ГГФ\мр</t>
  </si>
  <si>
    <t>Планиране и управление на териториални системи (3 семестъра) \ПУТС(рмнсл)\ГГФ\мр</t>
  </si>
  <si>
    <t>Планиране и управление на териториални системи (4 семестъра)\ПУТС (за ОКС "ПБ")(рм4 сем.)\ГГФ\мр</t>
  </si>
  <si>
    <t>Подготовка на ресурсни учители за ученици със СОН\ПРУУсон(рм)\ФНОИ\мр</t>
  </si>
  <si>
    <t>Подготовка на ресурсни учители за ученици със СОН\ПруусС(зм)\ФНОИ\мз</t>
  </si>
  <si>
    <t>Полимери\Пол.(рм)\ФХФ\мр</t>
  </si>
  <si>
    <t>Полимери\Пзо(зм)\ФХФ\мз</t>
  </si>
  <si>
    <t>Полимери\Пзо~(зм)\ФХФ\мз</t>
  </si>
  <si>
    <t>Полимери\Полимери(зм3 сем.)\ФХФ\мз</t>
  </si>
  <si>
    <t>Полимери (на английски език) (3 сем.)\ПолимАЕ(рм3 сем. ч.ез.)\ФХФ\мр</t>
  </si>
  <si>
    <t>Политика и интеграционни политики на ЕС (на английски език)-3 сем.\ПИПЕС(рм ч.ез.)\ФФ\мр</t>
  </si>
  <si>
    <t>Политика и интеграционни политики на ЕС (на английски език)-3 сем.\ПИПЕСл(рм3 сем.л ч.ез.)\ФФ\мр</t>
  </si>
  <si>
    <t>Политическа социология\ПС(рмл)\ФФ\мр</t>
  </si>
  <si>
    <t>Политическа социология\Псоц(рм)\ФФ\мр</t>
  </si>
  <si>
    <t>Политическа социология (2 сем.)\ПолСоц2сем(рм2 сем)\ФФ\мр</t>
  </si>
  <si>
    <t>Политически мениджмънт\ПМ(рмс)\ФФ\мр</t>
  </si>
  <si>
    <t>Политически мениджмънт\ПМлрс(рмсл)\ФФ\мр</t>
  </si>
  <si>
    <t>Политически мениджмънт\ПМ(рмнс)\ФФ\мр</t>
  </si>
  <si>
    <t>Политически мениджмънт\ПМлрнесп(рмнсл)\ФФ\мр</t>
  </si>
  <si>
    <t>Политически мениджмънт\ПМ(змс)\ФФ\мз</t>
  </si>
  <si>
    <t>Политически мениджмънт\ПМ(змсл)\ФФ\мз</t>
  </si>
  <si>
    <t>Политически мениджмънт\ПМ(змнс)\ФФ\мз</t>
  </si>
  <si>
    <t>Политически мениджмънт\ПМ(змнсл)\ФФ\мз</t>
  </si>
  <si>
    <t>Политически мениджмънт и консултиране (2 сем.)\ПМК(рм)\ФФ\мр</t>
  </si>
  <si>
    <t>Политически патологии на глобалния свят (анг.ез.) - 2 сем.\ППГСангл(дм2 сем ч.ез.)\ФФ\мд</t>
  </si>
  <si>
    <t>Политически патологии на глобалния свят (анг.ез.) - 2 сем.\ППГСангл(дм2 семл ч.ез.)\ФФ\мд</t>
  </si>
  <si>
    <t>Политическо консултиране\ПКрмс(рмс)\ФФ\мр</t>
  </si>
  <si>
    <t>Политическо консултиране\Полконс(рм)\ФФ\мр</t>
  </si>
  <si>
    <t>Политическо консултиране (неспециалисти)\ПК(рмнс)\ФФ\мр</t>
  </si>
  <si>
    <t>Политология\Пол.(рб)\ФФ\бр</t>
  </si>
  <si>
    <t>Португалска филология\ПорФ(рб)\ФКНФ\бр</t>
  </si>
  <si>
    <t>Португалска филология\ПФ(рм)\ФКНФ\мр</t>
  </si>
  <si>
    <t>Право\Пр(рм)\ЮФ\мр</t>
  </si>
  <si>
    <t>Право\Пр(зм)\ЮФ\мз</t>
  </si>
  <si>
    <t>Право (10 семестъра)\Право 2014(зм)\ЮФ\мз</t>
  </si>
  <si>
    <t>Право на Европейския съюз (2 семестъра)\ПЕС(рм2 сем)\ЮФ\мр</t>
  </si>
  <si>
    <t>Право на Европейския съюз (2 семестъра)\ПЕСмп2сем(рм2 сем)\ЮФ\мр</t>
  </si>
  <si>
    <t>Право на Европейския съюз (3 семестъра)\ПЕС(рм3 сем.л)\ЮФ\мр</t>
  </si>
  <si>
    <t>Право на Европейския съюз (3 семестъра)\ПЕс(рм3 сем.)\ЮФ\мр</t>
  </si>
  <si>
    <t>Превод\Прев(рм)\ФКНФ\мр</t>
  </si>
  <si>
    <t>Превод\Прев-ан(рм)\ФКНФ\мр</t>
  </si>
  <si>
    <t>Превод\П(рм)\ФКНФ\мр</t>
  </si>
  <si>
    <t>Превод\Прев-фр(рм)\ФКНФ\мр</t>
  </si>
  <si>
    <t>Превод (Арабистика)\П(рм)\ФКНФ\мр</t>
  </si>
  <si>
    <t>Превод (английски и френски език)\Прев-ан&amp;фр(рм)\ФКНФ\мр</t>
  </si>
  <si>
    <t>Превод (френски и английски език)\Прев-фр&amp;ан(рм)\ФКНФ\мр</t>
  </si>
  <si>
    <t>Превод с източен език (арабски)\ПИЕ (ар)(рм)\ФКНФ\мр</t>
  </si>
  <si>
    <t>Превод с източен език (китайски)\ПИЕ (кит)(рм)\ФКНФ\мр</t>
  </si>
  <si>
    <t>Преводач-редактор\П(рм)\ФСлФ\мр</t>
  </si>
  <si>
    <t>Преводач-редактор\ПРмп(рмнс)\ФСлФ\мр</t>
  </si>
  <si>
    <t>Преводач-редактор (4 сем.)\Преводач-редактор-4(рмс)\ФСлФ\мр</t>
  </si>
  <si>
    <t>Преводач-редактор (италиански език) (2 семестъра) \прм-италиански(рмс)\ФСлФ\мр</t>
  </si>
  <si>
    <t>Преводач-редактор с трети семестър в чуждестранен университет (3 сем.)\Пр.-р. в чужд. у.(а)(рмс)\ФСлФ\мр</t>
  </si>
  <si>
    <t>Преводач-редактор с трети семестър в чуждестранен университет (3 сем.)\Прев-ред. в чужд. у.(рмс)\ФСлФ\мр</t>
  </si>
  <si>
    <t>Преводач-редактор(Арабски профил) - 2 сем.\Перводач-редактор(А)(рмс)\ФСлФ\мр</t>
  </si>
  <si>
    <t>Преводач-редактор(Арабски профил) - 2 сем.\Перовадч-редактор(А)(рмс)\ФСлФ\мр</t>
  </si>
  <si>
    <t>Преводач-редактор/Италиански език/неспециалисти (3 семестъра) \ПРИтНс(рм)\ФСлФ\мр</t>
  </si>
  <si>
    <t>Преводач-редактор/Италиански език/неспециалисти (3 семестъра) \ПРИтНс(рмнс)\ФСлФ\мр</t>
  </si>
  <si>
    <t>Предучилищна и начална училищна педагогика\ПНУП(рб)\ФНОИ\бр</t>
  </si>
  <si>
    <t>Предучилищна и начална училищна педагогика\ПУНУП(рб)\ФНОИ\бр</t>
  </si>
  <si>
    <t>Предучилищна и начална училищна педагогика\ПУНУП(зб)\ФНОИ\бз</t>
  </si>
  <si>
    <t>Предучилищна и начална училищна педагогика\ПНУПпрбак(зм5 сем.)\ФНОИ\мз</t>
  </si>
  <si>
    <t>Предучилищна и начална училищна педагогика (8 семестъра)\ПНУП 2014(зб)\ФНОИ\бз</t>
  </si>
  <si>
    <t>Предучилищна и начална училищна педагогика (след ОКС "специалист")\ПНУП(збсъкр.ср.-2г)\ФНОИ\бз</t>
  </si>
  <si>
    <t>Предучилищна педагогика (2 сем.)\ПП (уч.прав.)(зм2 сем)\ФНОИ\мз</t>
  </si>
  <si>
    <t>Предучилищна педагогика (за завършили други специалности)\ПНУП(зм)\ФНОИ\мз</t>
  </si>
  <si>
    <t>Предучилищна педагогика (за завършили други специалности)\ППдр.спец.(зм4 сем.)\ФНОИ\мз</t>
  </si>
  <si>
    <t>Предучилищна педагогика (за завършили специалности с учителска правоспособност)\ППучителизо(зм2 сем)\ФНОИ\мз</t>
  </si>
  <si>
    <t>Предучилищна педагогика и чужд език\ПУПЧЕ(рб)\ФНОИ\бр</t>
  </si>
  <si>
    <t>Преса и медии\ПиМ(зм)\ФЖМК\мз</t>
  </si>
  <si>
    <t>Приложна иконометрия и икономическо моделиране /на английски език/\ПИИМ англ (рм3 сем. ч.ез.)\СтФ\мр</t>
  </si>
  <si>
    <t>Приложна иконометрия и икономическо моделиране /на английски език/\ПИИМ англ (рм3 сем.)\СтФ\мр</t>
  </si>
  <si>
    <t>Приложна икономика (2 сем.)\Приложна и\СтФ\мр</t>
  </si>
  <si>
    <t>Приложна икономика (2 сем.)\Приложна икономика(рм2 сем)\СтФ\мр</t>
  </si>
  <si>
    <t>Приложна икономика (3 семестъра)\Приложна икономика(рм3 сем.)\СтФ\мр</t>
  </si>
  <si>
    <t>Приложна икономика (5 семестъра)\ПИ-ПБ(рм5\СтФ\мр</t>
  </si>
  <si>
    <t>Приложна икономика (5 семестъра)\ПИ-ПБ(рм5 сем.)\СтФ\мр</t>
  </si>
  <si>
    <t>Приложна икономика (5 семестъра)\Приложна икономика(рм5 сем.)\СтФ\мр</t>
  </si>
  <si>
    <t>Приложна икономика-ПБ\ПИ-ПБ(рм4 сем.)\СтФ\мр</t>
  </si>
  <si>
    <t>Приложна икономика-ПБ\ПИ-ПБ/4 сем/(рм4 сем.)\СтФ\мр</t>
  </si>
  <si>
    <t>Приложна лингвистика\ПЛ(рм)\ФКНФ\мр</t>
  </si>
  <si>
    <t>Приложна лингвистика\ПЛ(рмс)\ФКНФ\мр</t>
  </si>
  <si>
    <t>Приложна лингвистика\ПрЛинг(порт.)(рмс)\ФКНФ\мр</t>
  </si>
  <si>
    <t>Приложна лингвистика\ПрЛинг(рмс)\ФКНФ\мр</t>
  </si>
  <si>
    <t>Приложна лингвистика (2 сем.)\ПЛ(рм)\ФКНФ\мр</t>
  </si>
  <si>
    <t>Приложна лингвистика (2 сем.)\ПЛ(рмс)\ФКНФ\мр</t>
  </si>
  <si>
    <t>Приложна лингвистика (2 сем.)\ПрЛинг(исп.)(рмс)\ФКНФ\мр</t>
  </si>
  <si>
    <t>Приложна лингвистика (2 сем.)\ПрЛинг(рмс)\ФКНФ\мр</t>
  </si>
  <si>
    <t>Приложна лингвистика (ИФ) - 3 сем.\ПрЛинг(исп.)(рмнс)\ФКНФ\мр</t>
  </si>
  <si>
    <t>Приложна лингвистика (ИФ) - 3 сем.\ПрЛинг(рмнс)\ФКНФ\мр</t>
  </si>
  <si>
    <t>Приложна лингвистика (ИФ) - 3 сем.\ПрЛинг(рмнсл)\ФКНФ\мр</t>
  </si>
  <si>
    <t>Приложна лингвистика - Португалска филология\ПрЛинг(порт.)(рмнсл)\ФКНФ\мр</t>
  </si>
  <si>
    <t>Приложна лингвистика - Португалска филология\ПрЛинг(рмнсл)\ФКНФ\мр</t>
  </si>
  <si>
    <t>Приложна лингвистика с източен език\ПЛИЕ(ар)(рм)\ФКНФ\мр</t>
  </si>
  <si>
    <t>Приложна лингвистика с източен език\ПЛИЕ(рм3 сем.)\ФКНФ\мр</t>
  </si>
  <si>
    <t>Приложна математика\ПрМ\ФМИ\бр</t>
  </si>
  <si>
    <t>Приложна математика\ПрМ(рб)\ФМИ\бр</t>
  </si>
  <si>
    <t>Приложна математика\ПрМ(рм-97)\ФМИ\мр</t>
  </si>
  <si>
    <t>Приложна математика\ПрМ-97\ФМИ\мр</t>
  </si>
  <si>
    <t>Приложна хидробиология и аквакултури\ПХА(рм)\БФ\мр</t>
  </si>
  <si>
    <t>Приложна хидробиология и аквакултури\ПХА-Нсп(рмнсл)\БФ\мр</t>
  </si>
  <si>
    <t>Приложно-лингвистична тюркология\ПрЛиТур(рм)\ФКНФ\мр</t>
  </si>
  <si>
    <t>Приложно-лингвистична тюркология\Т ПЛ(рм)\ФКНФ\мр</t>
  </si>
  <si>
    <t>Продуцентство в електронните медии\ПЕМ(зм)\ФЖМК\мз</t>
  </si>
  <si>
    <t>Продуцентство и креативна индустрия (2 семестъра)\ПКИ2(зм2 сем)\ФЖМК\мз</t>
  </si>
  <si>
    <t>Продуцентство и креативна индустрия (3 семестъра) \ПКИ3(зм3 сем.)\ФЖМК\мз</t>
  </si>
  <si>
    <t>Психология\Псих.(рб)\ФФ\бр</t>
  </si>
  <si>
    <t>Психология на здравето (3сем.)\ПЗсп(рмс)\ФФ\мр</t>
  </si>
  <si>
    <t>Психология на здравето (5 сем.)\ПЗнесп(рмнс)\ФФ\мр</t>
  </si>
  <si>
    <t>Публичен мениджмънт и политики\ПМП(рм)\ФФ\мр</t>
  </si>
  <si>
    <t>Публичен мениджмънт и политики\ПМП(зм)\ФФ\мз</t>
  </si>
  <si>
    <t>Публичен мениджмънт и политики (2 сем.)\ПМП(рм2 сем)\ФФ\мр</t>
  </si>
  <si>
    <t>Публична администрация\ПА(рб)\ФФ\бр</t>
  </si>
  <si>
    <t>Публична администрация\ПА(зб)\ФФ\бз</t>
  </si>
  <si>
    <t>Публична администрация\ПА(рмс)\ФФ\мр</t>
  </si>
  <si>
    <t>Публична администрация\ПА(зм)\ФФ\мз</t>
  </si>
  <si>
    <t>Публична администрация\ПА(змнс)\ФФ\мз</t>
  </si>
  <si>
    <t>Публична администрация (2 сем.)\ПАр2(рм2 сем)\ФФ\мр</t>
  </si>
  <si>
    <t>Публична администрация (2 сем.)\ПАз2(зм2 сем)\ФФ\мз</t>
  </si>
  <si>
    <t>Публична администрация (3 семестъра) \ПА(рм)\ФФ\мр</t>
  </si>
  <si>
    <t>Публична администрация (3 семестъра) \ПА(рмнс)\ФФ\мр</t>
  </si>
  <si>
    <t>Публична администрация (3 семестъра) \ПАл(рмл)\ФФ\мр</t>
  </si>
  <si>
    <t>Публична администрация (3 семестъра) \ПА17z(зм3 сем.)\ФФ\мз</t>
  </si>
  <si>
    <t>Публична администрация (3 семестъра) \ПАспец(змс)\ФФ\мз</t>
  </si>
  <si>
    <t>Публична администрация /на английски език/\ПАангл(рм ч.ез.)\ФФ\мр</t>
  </si>
  <si>
    <t>Публична администрация /на английски език/\ПАангл(рм)\ФФ\мр</t>
  </si>
  <si>
    <t>Публична комуникация\ПК(рм)\ФЖМК\мр</t>
  </si>
  <si>
    <t>Публична комуникация\ПК(зм)\ФЖМК\мз</t>
  </si>
  <si>
    <t>Публична комуникация\ПКмп(зм)\ФЖМК\мз</t>
  </si>
  <si>
    <t>Публични информационни системи\ПИС(рб)\ФФ\бр</t>
  </si>
  <si>
    <t>Публични политики\ПП(зм)\ФФ\мз</t>
  </si>
  <si>
    <t>Радиохимия\рх(зм)\ФХФ\мз</t>
  </si>
  <si>
    <t>Радиохимия и радиоекология\РР(рм)\ФХФ\мр</t>
  </si>
  <si>
    <t>Радиохимия и радиоекология\РХРЕ(рм)\ФХФ\мр</t>
  </si>
  <si>
    <t>Радиохимия и радиоекология\РхРд(зм)\ФХФ\мз</t>
  </si>
  <si>
    <t>Радиохимия и радиоекология\РХРЕ(зм)\ФХФ\мз</t>
  </si>
  <si>
    <t>Радиохимия и радиоекология (англ.)-3 сем.\РР (англ.)(зм ч.ез.)\ФХФ\мз</t>
  </si>
  <si>
    <t>Развитие и управление на селските райони\РУСР(рм)\ГГФ\мр</t>
  </si>
  <si>
    <t>Развитие и управление на селските райони\РУСР(рмнс)\ГГФ\мр</t>
  </si>
  <si>
    <t>Развитие и управление на селските райони\РУСР(рмнсл)\ГГФ\мр</t>
  </si>
  <si>
    <t>Развитие и управление на селските райони\РУСР(зм3 сем.)\ГГФ\мз</t>
  </si>
  <si>
    <t>Развитие и управление на селските райони \РУСР (2 сем.)(рм2 сем)\ГГФ\мр</t>
  </si>
  <si>
    <t>Развитие и управление на селските райони \РУСР(змнс)\ГГФ\мз</t>
  </si>
  <si>
    <t>Развитие и управление на селските райони \РУСР(змнсл)\ГГФ\мз</t>
  </si>
  <si>
    <t>Развитие и управление на селските райони \РУСР(зм)\ГГФ\мз</t>
  </si>
  <si>
    <t>Разпределени системи и мобилни технологии\РСиМТ(м)\ФМИ\мр</t>
  </si>
  <si>
    <t>Разпределени системи и мобилни технологии\РСиМТ(рм)\ФМИ\мр</t>
  </si>
  <si>
    <t>Разпределени системи и мобилни технологии\РСМТ-летен прием(рмл)\ФМИ\мр</t>
  </si>
  <si>
    <t>Ранно чуждоезиково обучение в началните класове\РЧО(зм3 сем.)\ФНОИ\мз</t>
  </si>
  <si>
    <t>Ранно чуждоезиково обучение в началните класове (за кандидати с придобита професионална квалификация "учител" без чуждоезикова подготовка)\РЧО/без че/(зм3 сем.)\ФНОИ\мз</t>
  </si>
  <si>
    <t>Ранно чуждоезиково обучение в началните класове (за кандидати с придобита професионална квалификация "учител" и с чуждоезикова подготовка)\РЧО/с че/(зм2 сем)\ФНОИ\мз</t>
  </si>
  <si>
    <t>Растителни биотехнологии\РБ(рм)\БФ\мр</t>
  </si>
  <si>
    <t>Растителни биотехнологии\РБ з.о.(зм)\БФ\мз</t>
  </si>
  <si>
    <t>Регионална и политическа география\РиПГ(рм)\ГГФ\мр</t>
  </si>
  <si>
    <t>Регионална и политическа география\РПГ(зм)\ГГФ\мз</t>
  </si>
  <si>
    <t>Регионална сигурност\РС(рмнс)\ГГФ\мр</t>
  </si>
  <si>
    <t>Регионална сигурност\РС(рмс)\ГГФ\мр</t>
  </si>
  <si>
    <t>Регионална сигурност\РС(змс)\ГГФ\мз</t>
  </si>
  <si>
    <t>Регионална сигурност (4 сем.)\РС - след ОКС"ПБ"(рм4 сем.)\ГГФ\мр</t>
  </si>
  <si>
    <t>Регионална сигурност (4 семестъра) \РС(рм ОКС"ПБ")(рм4 сем.)\ГГФ\мр</t>
  </si>
  <si>
    <t>Регионална сигурност (4 семестъра) \РС(рмнсл)\ГГФ\мр</t>
  </si>
  <si>
    <t>Регионална сигурност (4 семестъра) \РС(след ОКС"ПБ")(рм4 сем.)\ГГФ\мр</t>
  </si>
  <si>
    <t>Регионална сигурност (4 семестъра) \РС(змнс)\ГГФ\мз</t>
  </si>
  <si>
    <t>Регионална сигурност (4 семестъра) \РС(змнсл)\ГГФ\мз</t>
  </si>
  <si>
    <t>Регионална сигурност (5 сем.)\РС - след ОКС"ПБ"(зм5 сем.)\ГГФ\мз</t>
  </si>
  <si>
    <t>Регионална сигурност (5 семестъра) \РС (за ОКС "ПБ")(рм5 сем.)\ГГФ\мр</t>
  </si>
  <si>
    <t>Регионална сигурност (5 семестъра) \РС(след ОКС"ПБ")(зм5 сем.)\ГГФ\мз</t>
  </si>
  <si>
    <t>Регионална сигурност (неспециалисти- 3 семестъра)\РС(змнс)(зм3 сем.)\ГГФ\мз</t>
  </si>
  <si>
    <t>Регионална сигурност (специалисти- 2 семестъра)\РС(рмс)(рм2 сем)\ГГФ\мр</t>
  </si>
  <si>
    <t>Регионални геоенергийни ресурси и стратегии\РГРС(рм2 сем)\ГГФ\мр</t>
  </si>
  <si>
    <t>Регионални изследвания и устойчиви региони\РИУР (рб)(рмс)\ГГФ\мр</t>
  </si>
  <si>
    <t>Регионално развитие и политика\РРП(рб)\ГГФ\бр</t>
  </si>
  <si>
    <t>Регионално развитие и политика\РРиП(рб)\ГГФ\бр</t>
  </si>
  <si>
    <t>Регионално развитие и управление\РРиУ(рм)\ГГФ\мр</t>
  </si>
  <si>
    <t>Регионално развитие и управление\РРУ (спб)(рм5 сем.)\ГГФ\мр</t>
  </si>
  <si>
    <t>Регионално развитие и управление\РРУмп(рм5 сем.)\ГГФ\мр</t>
  </si>
  <si>
    <t>Регионално развитие и управление\РРУ(рмс)2сем.(рм2 сем)\ГГФ\мр</t>
  </si>
  <si>
    <t>Регионално развитие и управление\РРУ/специалисти(рм2 сем)\ГГФ\мр</t>
  </si>
  <si>
    <t>Регионално развитие и управление\РРУ(змс)3сем.(зм3 сем.)\ГГФ\мз</t>
  </si>
  <si>
    <t>Регионално развитие и управление\РРУ/ специалисти(зм3 сем.)\ГГФ\мз</t>
  </si>
  <si>
    <t>Регионално развитие и управление\РРУ(зм)\ГГФ\мз</t>
  </si>
  <si>
    <t>Регионално развитие и управление \РРУ(нмз)(змнс)\ГГФ\мз</t>
  </si>
  <si>
    <t>Регионално развитие и управление (4 сем.)\РРУ(змнс)4сем.(зм4 сем.л)\ГГФ\мз</t>
  </si>
  <si>
    <t>Регионално развитие и управление (4 сем.)\РРУ/ неспециалисти(зм4 сем.л)\ГГФ\мз</t>
  </si>
  <si>
    <t>Реклама и публична комуникация\РПК2(зм2 сем)\ФЖМК\мз</t>
  </si>
  <si>
    <t>Реклама и публична комуникация\РПК(зм)\ФЖМК\мз</t>
  </si>
  <si>
    <t>Рекламен дизайн и педагогика (2 семестъра) \РДП(рм2 сем)\ФНОИ\мр</t>
  </si>
  <si>
    <t>Рекламен дизайн и педагогика (3 семестъра)\РДП (др.проф.напр.)(рм3 сем.)\ФНОИ\мр</t>
  </si>
  <si>
    <t>Религия и образование\Рел. и образование(зм2 сем)\БсФ\мз</t>
  </si>
  <si>
    <t>Религия и образование\Религия и образовани(зм4 сем.)\БсФ\мз</t>
  </si>
  <si>
    <t>Религията в Европа\Религията в Европа(рб)\БсФ\бр</t>
  </si>
  <si>
    <t>Религията в Европа\Религията в Европа(зб)\БсФ\бз</t>
  </si>
  <si>
    <t>Реторика (2 семестъра)\Рет(рмс)\ФФ\мр</t>
  </si>
  <si>
    <t>Реторика (2 семестъра)\Рет(рмсл)\ФФ\мр</t>
  </si>
  <si>
    <t>Реторика (2 семестъра)\Рет з с(зм2 сем)\ФФ\мз</t>
  </si>
  <si>
    <t>Реторика (2 семестъра)\рет(змсл)\ФФ\мз</t>
  </si>
  <si>
    <t>Реторика (2 семестъра)\рит(змс)\ФФ\мз</t>
  </si>
  <si>
    <t>Реторика (3 семестъра)\Р(рм)\ФФ\мр</t>
  </si>
  <si>
    <t>Реторика (3 семестъра)\Р(рмнс)\ФФ\мр</t>
  </si>
  <si>
    <t>Реторика (3 семестъра)\Рет(рмнс)\ФФ\мр</t>
  </si>
  <si>
    <t>Реторика (3 семестъра)\Рет(рмнсл)\ФФ\мр</t>
  </si>
  <si>
    <t>Реторика (3 семестъра)\Рет(змнс)\ФФ\мз</t>
  </si>
  <si>
    <t>Реторика (3 семестъра)\Рет(змнсл)\ФФ\мз</t>
  </si>
  <si>
    <t>Реторика (3 семестъра)\рит(змнс)\ФФ\мз</t>
  </si>
  <si>
    <t>Румънска филология\РФ(рб)\ФКНФ\бр</t>
  </si>
  <si>
    <t>Румънска филология\РумФ(рб)\ФКНФ\бр</t>
  </si>
  <si>
    <t>Руска литература, култура и художествен превод (2 семестъра)\Руска литература, ку(рм)\ФСлФ\мр</t>
  </si>
  <si>
    <t>Руска литература, култура и художествен превод (3 семестъра)\Руска литература(рмнс)\ФСлФ\мр</t>
  </si>
  <si>
    <t>Руска филология\РФ(рб)\ФСлФ\бр</t>
  </si>
  <si>
    <t>Руска филология\РФ(зб)\ФСлФ\бз</t>
  </si>
  <si>
    <t>Руска филология\РФ(рм)\ФСлФ\мр</t>
  </si>
  <si>
    <t>Свободно избираеми, извънкласни и извънучилищни дейности\СИИИД(зм)\ФНОИ\мз</t>
  </si>
  <si>
    <t>Семейна терапия и консултиране на лица с увреждания\Стклу(рм)\ФНОИ\мр</t>
  </si>
  <si>
    <t>Семейна терапия и консултиране на лица с увреждания\Стклу(рм2 сем)\ФНОИ\мр</t>
  </si>
  <si>
    <t>Семейна терапия и консултиране на лица с увреждания\Стклу(зм)\ФНОИ\мз</t>
  </si>
  <si>
    <t>Семейна терапия и консултиране на лица с увреждания (3 сем.)\Стклу(рмнс)\ФНОИ\мр</t>
  </si>
  <si>
    <t>Семейна терапия и консултиране на лица с увреждания (3 сем.)\Стлу(рмчс)(рм3 сем.)\ФНОИ\мр</t>
  </si>
  <si>
    <t>Семейна терапия и консултиране на лица с увреждания (3 сем.)\СТКЛУ(зм3 сем.)\ФНОИ\мз</t>
  </si>
  <si>
    <t>Семиотика, език и реклама (на английски език)\СЕиР(рмнс ч.ез.)\ФКНФ\мр</t>
  </si>
  <si>
    <t>Семиотика, език и реклама (на английски език)\СЕиР(рмнс)\ФКНФ\мр</t>
  </si>
  <si>
    <t>Семиотика, език и реклама (на английски език) - междуфакултетна\СЕиР(рм2 сем ч.ез.)\ФКНФ\мр</t>
  </si>
  <si>
    <t>Семиотика, език и реклама (на английски език)-летен прием\СЕиР(рмнсл ч.ез.)\ФКНФ\мр</t>
  </si>
  <si>
    <t>Семиотика, език и реклама (на английски език)-летен прием\СЕиР(рмнсл)\ФКНФ\мр</t>
  </si>
  <si>
    <t>Скандинавистика\Ск(рб)\ФКНФ\бр</t>
  </si>
  <si>
    <t>Скандинавистика\Ск(рм)\ФКНФ\мр</t>
  </si>
  <si>
    <t>Славянска филология\СлФ(рм)\ФСлФ\мр</t>
  </si>
  <si>
    <t>Слухово-речева рехабилитация\СРР(неспец.)(рм4 сем.)\ФНОИ\мр</t>
  </si>
  <si>
    <t>Слухово-речева рехабилитация\СРРнеспец.(зм4 сем.)\ФНОИ\мз</t>
  </si>
  <si>
    <t>Слухово-речева рехабилитация (за завършили специална педагогика и други педагогически специалности)\СРР(специалисти)(зм2 сем)\ФНОИ\мз</t>
  </si>
  <si>
    <t>Слухово-речева рехабилитация (за завършили специална педагогика и други педагогически специалности)\СРРзо(зм2 сем)\ФНОИ\мз</t>
  </si>
  <si>
    <t>Софтуерни технологии\СТ(рм)\ФМИ\мр</t>
  </si>
  <si>
    <t>Софтуерни технологии\СофТех\ФМИ\мр</t>
  </si>
  <si>
    <t>Софтуерни технологии\СофТех(рм)\ФМИ\мр</t>
  </si>
  <si>
    <t>Софтуерно инженерство\СИ(рб)\ФМИ\бр</t>
  </si>
  <si>
    <t>Социална и криминална психология (3 сем.)\СКрПсих(рм3 сем.)\ФФ\мр</t>
  </si>
  <si>
    <t>Социална и криминална психология (за бакалаври по Психология)-3 сем.\СКПсп(рм3 сем.)\ФФ\мр</t>
  </si>
  <si>
    <t>Социална и криминална психология (за бакалаври хуманитарни и други специалности)-5 сем.\СКПнесп(рм5 сем.)\ФФ\мр</t>
  </si>
  <si>
    <t>Социална и юридическа психология\СЮП(рм3 сем.)\ФФ\мр</t>
  </si>
  <si>
    <t>Социална и юридическа психология\СЮП~(рм3 сем.)\ФФ\мр</t>
  </si>
  <si>
    <t>Социална педагогика\Соц.П (рб)\ФНОИ\бр</t>
  </si>
  <si>
    <t>Социална педагогика\Соц.П(зб)\ФНОИ\бз</t>
  </si>
  <si>
    <t>Социална педагогика (8 семестъра)\СП 2014(зб)\ФНОИ\бз</t>
  </si>
  <si>
    <t>Социална работа в общински структури\СРОС(зм3 сем.)\ФП\мз</t>
  </si>
  <si>
    <t>Социална работа с бежанци и мигранти (2 сем.) \СРБМ(зм2 сем)\ФП\мз</t>
  </si>
  <si>
    <t>Социална работа с бежанци и мигранти (3 сем.)\СРБМ(зм3 сем.)\ФП\мз</t>
  </si>
  <si>
    <t>Социална работа с деца\СРсД(зм2 сем)\ФП\мз</t>
  </si>
  <si>
    <t>Социална работа с деца\СРсД(зм3 сем.)\ФП\мз</t>
  </si>
  <si>
    <t>Социална работа с деца и семийства\СРДС(рм2 сем)\ФП\мр</t>
  </si>
  <si>
    <t>Социална работа с деца и семийства\СРДС(рм3 сем.)\ФП\мр</t>
  </si>
  <si>
    <t>Социална работа с деца и семийства\СРДС(зм2 сем)\ФП\мз</t>
  </si>
  <si>
    <t>Социална работа с деца и семийства\СРДС(зм3 сем.)\ФП\мз</t>
  </si>
  <si>
    <t>Социални дейности\СД(рб)\ФП\бр</t>
  </si>
  <si>
    <t>Социални дейности\СД(зб)\ФП\бз</t>
  </si>
  <si>
    <t>Социални изследвания на пола\СИП(рм)\ФФ\мр</t>
  </si>
  <si>
    <t>Социални изследвания на пола\СИП(рмл)\ФФ\мр</t>
  </si>
  <si>
    <t>Социални изследвания на пола\Социални изследвания(рмл)\ФФ\мр</t>
  </si>
  <si>
    <t>Социални изследвания на пола\СИП (л)(змл)\ФФ\мз</t>
  </si>
  <si>
    <t>Социални изследвания на пола\СИП(зм)\ФФ\мз</t>
  </si>
  <si>
    <t>Социално-възпитателна и пробационна дейност с правонарушители\Спдп(зм)\ФНОИ\мз</t>
  </si>
  <si>
    <t>Социално-педагогическа помощ за семействата\Спс(рм)\ФНОИ\мр</t>
  </si>
  <si>
    <t>Социологическа диагностика на съвременността\СДСмп(рм)\ФФ\мр</t>
  </si>
  <si>
    <t>Социология\Соц.(рб)\ФФ\бр</t>
  </si>
  <si>
    <t>Специална педагогика\Спец.П(рб)\ФНОИ\бр</t>
  </si>
  <si>
    <t>Специална педагогика\Спец.П(зб)\ФНОИ\бз</t>
  </si>
  <si>
    <t>Специална педагогика\СП(несп)(рмнс)\ФНОИ\мр</t>
  </si>
  <si>
    <t>Специална педагогика\Сп(рм)\ФНОИ\мр</t>
  </si>
  <si>
    <t>Специална педагогика\СПдр.пед.спец.(рм3 сем.)\ФНОИ\мр</t>
  </si>
  <si>
    <t>Специална педагогика\СП(несп)(зм)\ФНОИ\мз</t>
  </si>
  <si>
    <t>Специална педагогика\СП(несп)(змнс)\ФНОИ\мз</t>
  </si>
  <si>
    <t>Специална педагогика (2 семестъра) \СП(сп2)(рм2 сем)\ФНОИ\мр</t>
  </si>
  <si>
    <t>Специална педагогика (8 семестъра)\Спец. п-ка 2014(зб)\ФНОИ\бз</t>
  </si>
  <si>
    <t>Специална педагогика (за завършили  и други педагогически  специалности)\СПзав.др.спец.ро(рм2 сем)\ФНОИ\мр</t>
  </si>
  <si>
    <t>Специална педагогика (за завършили други специалности)\СПзав.др.спец.(зм4 сем.)\ФНОИ\мз</t>
  </si>
  <si>
    <t>Специална педагогика (за завършили други специалности)\СПзо(зм4 сем.)\ФНОИ\мз</t>
  </si>
  <si>
    <t>Специална педагогика /на английски език/\СП(пед.спец. ае рм)(рм3 сем. ч.ез.)\ФНОИ\мр</t>
  </si>
  <si>
    <t>Специална педагогика /на английски език/\СПобае(рм3 сем. ч.ез.)\ФНОИ\мр</t>
  </si>
  <si>
    <t>Специална педагогика /на английски език/-летен\СП(пс ае рм лп)(рм3 сем.л ч.ез.)\ФНОИ\мр</t>
  </si>
  <si>
    <t>Специална педагогика /на английски език/-несп.-летен \СП(пс ае рм лп)(рмл ч.ез.)\ФНОИ\мр</t>
  </si>
  <si>
    <t>Спортна журналистика\СЖ(зм3 сем.)\ФЖМК\мз</t>
  </si>
  <si>
    <t>Спортни дейности и туризъм\СДТзав.пед.спец.(рм2 сем)\ФНОИ\мр</t>
  </si>
  <si>
    <t>Средиземноморски култури и цивилизации през Античността и Средновековието\Средиземном. КЦАС(рмнс)\ИФ\мр</t>
  </si>
  <si>
    <t>Средиземноморски култури и цивилизации през Античността и Средновековието\Средиземноморски КЦА(рм)\ИФ\мр</t>
  </si>
  <si>
    <t>Средновековно общество-идеология и култура\СОИК(рм)\ИФ\мр</t>
  </si>
  <si>
    <t>Средновековно общество-идеология и култура\СОИПК(рмс)\ИФ\мр</t>
  </si>
  <si>
    <t>Средновековно общество-идеология и култура\СОИК(рмнс)\ИФ\мр</t>
  </si>
  <si>
    <t>Средновековно общество-идеология и култура\СОИПК(рмнс)\ИФ\мр</t>
  </si>
  <si>
    <t>Средновековно общество-идеология и култура\СОИК(зм)\ИФ\мз</t>
  </si>
  <si>
    <t>Средновековно общество-идеология и култура\СОИПК(зм)\ИФ\мз</t>
  </si>
  <si>
    <t>Средновековно общество-идеология и култура\СОИПК(змс)\ИФ\мз</t>
  </si>
  <si>
    <t>Средновековно общество-идеология и култура\СОИК(змнс)\ИФ\мз</t>
  </si>
  <si>
    <t>Средновековното общество-идеология, политика и култура (2 семестъра)\Средн. общество(змнс)\ИФ\мз</t>
  </si>
  <si>
    <t>Старобългаристика\СтБ(рм)\ФСлФ\мр</t>
  </si>
  <si>
    <t>Старобългаристика\Старобългаристика(рмнс)\ФСлФ\мр</t>
  </si>
  <si>
    <t>Старобългаристика\Старобългаристика(змнс)\ФСлФ\мз</t>
  </si>
  <si>
    <t>Старобългаристика\Старобългаристика(змс)\ФСлФ\мз</t>
  </si>
  <si>
    <t>Старобългаристика (3 семестъра)\Старобългаристика(рмнс)\ФСлФ\мр</t>
  </si>
  <si>
    <t>Старобългаристика (3 семестъра)\Старобългаристика~(рмнс)\ФСлФ\мр</t>
  </si>
  <si>
    <t>Старобългаристиката в контекста на византийската книжовност\СКВКмп(рмс)\ФСлФ\мр</t>
  </si>
  <si>
    <t>Статистика\Стат(рб)\ФМИ\бр</t>
  </si>
  <si>
    <t>Статистика и финансова иконометрия\СФИ(рм3 сем.)\СтФ\мр</t>
  </si>
  <si>
    <t>Статистика и финансова иконометрия\СФИ(рм5 сем.)\СтФ\мр</t>
  </si>
  <si>
    <t>Статистика, иконометрия и актюерство (2 сем.)\СИА(рм2 се\СтФ\мр</t>
  </si>
  <si>
    <t>Статистика, иконометрия и актюерство (2 сем.)\СИА(рм2 сем)\СтФ\мр</t>
  </si>
  <si>
    <t>Статистика, иконометрия и актюерство (3 семестъра)\СИА(рм3 сем.)\СтФ\мр</t>
  </si>
  <si>
    <t>Статистика, иконометрия и актюерство (4 сем.) \СИА(4сем.)\СтФ\мр</t>
  </si>
  <si>
    <t>Статистика, иконометрия и актюерство (4 сем.) \СИА(4сем.)(рм4 сем.)\СтФ\мр</t>
  </si>
  <si>
    <t>Статистика, иконометрия и актюерство (5 семестъра)\СИА(рм5 сем.)\СтФ\мр</t>
  </si>
  <si>
    <t>Статистика, иконометрия и актюерство (5 семестъра)\СИА-ПБ(рм5 сем.)\СтФ\мр</t>
  </si>
  <si>
    <t>Статистика, иконометрия и актюерство-ПБ\СИА-ПБ(рм4\СтФ\мр</t>
  </si>
  <si>
    <t>Статистика, иконометрия и актюерство-ПБ\СИА-ПБ(рм4 сем.)\СтФ\мр</t>
  </si>
  <si>
    <t>Стопанско управление\СУ (немска програма)(рб)\СтФ\бр</t>
  </si>
  <si>
    <t>Стопанско управление\СУ (рб)\СтФ\бр</t>
  </si>
  <si>
    <t>Стопанско управление\СУ англ.език(рб)\СтФ\бр</t>
  </si>
  <si>
    <t>Стопанско управление\СУ фр(рб)\СтФ\бр</t>
  </si>
  <si>
    <t>Стопанско управление\СУ френска програма(рб)\СтФ\бр</t>
  </si>
  <si>
    <t>Стопанско управление\СУ(рб)\СтФ\бр</t>
  </si>
  <si>
    <t>Стратегическо управление\СтрУ(рм)\СтФ\мр</t>
  </si>
  <si>
    <t>Структурна ботаника\СБот(рм)\БФ\мр</t>
  </si>
  <si>
    <t>Счетоводство и контрол (3 семестъра)\СиК(рм3 сем.)\СтФ\мр</t>
  </si>
  <si>
    <t>Счетоводство и одит (3 семестъра)\Счетоводство и одит(рм3 сем.)\СтФ\мр</t>
  </si>
  <si>
    <t>Счетоводство и одит (5 сем.)\Счетоводство и одит(рм5 сем.)\СтФ\мр</t>
  </si>
  <si>
    <t>Счетоводство и одит (5семестъра)\Счетоводство и одит(рм5 сем.)\СтФ\мр</t>
  </si>
  <si>
    <t>Съвременна Гърция - език и култура (2 сем.)\СГЕК(рм2 сем)\ФКНФ\мр</t>
  </si>
  <si>
    <t>Съвременни аспекти на богословието\САБ(рм2 сем)\БсФ\мр</t>
  </si>
  <si>
    <t>Съвременни аспекти на богословието\САБ(рм4 сем.)\БсФ\мр</t>
  </si>
  <si>
    <t>Съвременни аспекти на богословието\САБМПзо2(зм2 сем)\БсФ\мз</t>
  </si>
  <si>
    <t>Съвременни аспекти на богословието\САБ(зм4 сем.)\БсФ\мз</t>
  </si>
  <si>
    <t>Съвременни методи за синтез и анализ на органични съединения\СМСАОС(рм)\ФХФ\мр</t>
  </si>
  <si>
    <t>Съвременни образователни технологии (2 сем.)\Съвр.образ.техн.(рм2 сем)\ФП\мр</t>
  </si>
  <si>
    <t>Съвременни образователни технологии (2 сем.)\Съв.образ.техн.(зм2 сем)\ФП\мз</t>
  </si>
  <si>
    <t>Съвременни образователни технологии (3 сем.)\Съвр.образ.техн.(рм3 сем.)\ФП\мр</t>
  </si>
  <si>
    <t>Съвременни образователни технологии (3 сем.)\Съвр.образ.техн.(зм3 сем.)\ФП\мз</t>
  </si>
  <si>
    <t>Съвременни спектрални и хроматографски методи за анализ\ССХМ(рм)\ФХФ\мр</t>
  </si>
  <si>
    <t>Съвременни спектрални и хроматографски методи за анализ\ССХМА(рм)\ФХФ\мр</t>
  </si>
  <si>
    <t>Твърдотелни нанотехнологии\ТНТ(рм3 сем.)\ФзФ\мр</t>
  </si>
  <si>
    <t>Твърдотелни нанотехнологии\ТНН(зм3 сем.)\ФзФ\мз</t>
  </si>
  <si>
    <t>Твърдотелни нанотехнологии\ТНТ(зм3 сем.)\ФзФ\мз</t>
  </si>
  <si>
    <t>Теология\Бс(рб)\БсФ\бр</t>
  </si>
  <si>
    <t>Теология\Теология(рб)\БсФ\бр</t>
  </si>
  <si>
    <t>Теология\Теология 2013(зб)\БсФ\бз</t>
  </si>
  <si>
    <t>Теология\Бс(зб)\БсФ\бз</t>
  </si>
  <si>
    <t>Теология\Теология(зб)\БсФ\бз</t>
  </si>
  <si>
    <t>Теоретична и изчислителна физика\ТИФ(рм3 сем.)\ФзФ\мр</t>
  </si>
  <si>
    <t>Теоретична и математическа физика\ТМФ(рм2 сем)\ФзФ\мр</t>
  </si>
  <si>
    <t>Теоретична и математическа физика\ТМФмп(рм)\ФзФ\мр</t>
  </si>
  <si>
    <t>Теоретична и математическа физика \ТМФ(рм3 сем.)\ФзФ\мр</t>
  </si>
  <si>
    <t>Термоядрен синтез и плазмени технологии \ТСПТ(рм4 сем. ч.ез.)\ФзФ\мр</t>
  </si>
  <si>
    <t>Термоядрен синтез и плазмени технологии \ТСПТ(рм4 сем.)\ФзФ\мр</t>
  </si>
  <si>
    <t>Термоядрен синтез и плазмени технологии /на английски език/\ТСПТ(англ.ез.)(рм4 сем. ч.ез.)\ФзФ\мр</t>
  </si>
  <si>
    <t>Термоядрен синтез и плазмени технологии /на английски език/\ТСПТ(англ.ез.)(рм4 сем.)\ФзФ\мр</t>
  </si>
  <si>
    <t>Технологии в обучението по математика и информатика\ТОМИ(м)\ФМИ\мр</t>
  </si>
  <si>
    <t>Технологии в обучението по математика и информатика\ТОМИ(рм)\ФМИ\мр</t>
  </si>
  <si>
    <t>Технологии в обучението по математика и информатика\ТОМИ(зм)\ФМИ\мз</t>
  </si>
  <si>
    <t>Технологии за знания и иновации\ТЗИ(рм)\ФМИ\мр</t>
  </si>
  <si>
    <t>Технологии за обучение в профилирана подготовка по информационни технологии (2 сем.)\ТОППИТ(рм)\ФМИ\мр</t>
  </si>
  <si>
    <t>Технологии за обучение по математика и информатика\ТОМИ(рм)\ФМИ\мр</t>
  </si>
  <si>
    <t>Технологии за обучение по математика и информатика\ТОМИ(зм)\ФМИ\мз</t>
  </si>
  <si>
    <t>Технологии за обучение по математика и информатика\ТОМИ(змл)\ФМИ\мз</t>
  </si>
  <si>
    <t>Технологии за обучение по математика и информатика (3 сем.)\ТОМИ(рм)\ФМИ\мр</t>
  </si>
  <si>
    <t>Технологии за обучение по математика и информатика (3 сем.)\ТОМИ(рмл)\ФМИ\мр</t>
  </si>
  <si>
    <t>Технологично предприемачество и иновации в информационните\ТПИ в ИТ(рм)\ФМИ\мр</t>
  </si>
  <si>
    <t>Традиционно и дигитално публикуване (3 сем.)\ТДП(зм)\ФЖМК\мз</t>
  </si>
  <si>
    <t>Трансгранична българистика\Трансгранична българ(рм)\ФСлФ\мр</t>
  </si>
  <si>
    <t>Трансгранична българистика\Тргран/ред/несп(рмнс)\ФСлФ\мр</t>
  </si>
  <si>
    <t>Трансгранична българистика\Трангранс/задочно/(змс)\ФСлФ\мз</t>
  </si>
  <si>
    <t>Трансгранична българистика\Тргран/зад/несп(змнс)\ФСлФ\мз</t>
  </si>
  <si>
    <t>Трудова и организационна психология\ТОП(рм)\ФФ\мр</t>
  </si>
  <si>
    <t>Трудова и организационна психология\ТОП (зм)\ФФ\мз</t>
  </si>
  <si>
    <t>Трудова и организационна психология (за бакалаври от други специалности)-4 сем.\ТОПрнесп(рм4 сем.)\ФФ\мр</t>
  </si>
  <si>
    <t>Трудова и организационна психология (за бакалаври от други специалности)-4 сем.\ТОПзнесп(зм4 сем.)\ФФ\мз</t>
  </si>
  <si>
    <t>Трудова и организационна психология (за бакалаври по психология)-2 сем.\ТОПрсп(рм2 сем)\ФФ\мр</t>
  </si>
  <si>
    <t>Трудови пазари и развитие на човешките ресурси\ТПРЧР(рм)\ФФ\мр</t>
  </si>
  <si>
    <t>Туризъм\Т(рб)\ГГФ\бр</t>
  </si>
  <si>
    <t>Туризъм\Т(рм)\ГГФ\мр</t>
  </si>
  <si>
    <t>Туризъм\Т(зм)\ГГФ\мз</t>
  </si>
  <si>
    <t>Туризъм\Туризъм/5 сем.(зм5 сем.)\ГГФ\мз</t>
  </si>
  <si>
    <t>Туризъм (4 сем.)\Т/4 сем.(змнс)\ГГФ\мз</t>
  </si>
  <si>
    <t>Туризъм (5 семестъра)\Т- след ПБ(зм5 сем.)\ГГФ\мз</t>
  </si>
  <si>
    <t>Туризъм (5 семестъра)\Т-ПБ(зм5 сем.)\ГГФ\мз</t>
  </si>
  <si>
    <t>Тюркология\Тю(рб)\ФКНФ\бр</t>
  </si>
  <si>
    <t>Тюркология\Тюр(рб)\ФКНФ\бр</t>
  </si>
  <si>
    <t>Унгарска филология\УФ(рб)\ФКНФ\бр</t>
  </si>
  <si>
    <t>Унгарска филология\УнгФ(рб)\ФКНФ\бр</t>
  </si>
  <si>
    <t>Управление на електронно съдържание\УЕС(зм)\ФФ\мз</t>
  </si>
  <si>
    <t>Управление на електронно съдържание\УЕС(змл)\ФФ\мз</t>
  </si>
  <si>
    <t>Управление на институциите за социална работа\УИСР(рм2 сем)\ФП\мр</t>
  </si>
  <si>
    <t>Управление на институциите за социална работа\УИСР(рм3 сем.)\ФП\мр</t>
  </si>
  <si>
    <t>Управление на институциите за социална работа\УИСР(зм2 сем)\ФП\мз</t>
  </si>
  <si>
    <t>Управление на институциите за социална работа\УИСР(зм3 сем.)\ФП\мз</t>
  </si>
  <si>
    <t>Управление на информационните ресурси\УИН(рм)\ФФ\мр</t>
  </si>
  <si>
    <t>Управление на информационните ресурси\УИР(зм)\ФФ\мз</t>
  </si>
  <si>
    <t>Управление на природната среда и рискови процеси (3 сем.)\УПСРП(змс)\ГГФ\мз</t>
  </si>
  <si>
    <t>Управление на туристическите дестинации (2 сем.)\УТД/2 сем.(змс)\ГГФ\мз</t>
  </si>
  <si>
    <t>Управление на туристическите дестинации (4 сем.)\УТД/4 сем.(зм4 сем.)\ГГФ\мз</t>
  </si>
  <si>
    <t>Управление на хидроклиматичните ресурси\УХКР(рм)\ГГФ\мр</t>
  </si>
  <si>
    <t>Управление на хидроклиматичните ресурси\УХКР(зм)\ГГФ\мз</t>
  </si>
  <si>
    <t>Управление на хидроклиматичните ресурси\УХР(зм)\ГГФ\мз</t>
  </si>
  <si>
    <t>Управление на човешките ресурси\УЧР(рм)\ГГФ\мр</t>
  </si>
  <si>
    <t>Управление на човешките ресурси\УЧР(рмс)\ГГФ\мр</t>
  </si>
  <si>
    <t>Управление на човешките ресурси\УЧР~(рмс)\ГГФ\мр</t>
  </si>
  <si>
    <t>Управление на човешките ресурси\УЧР(рмнс)4сем.(рм4 сем.)\ГГФ\мр</t>
  </si>
  <si>
    <t>Управление на човешките ресурси\УЧР(рмс)2сем.(рм2 сем)\ГГФ\мр</t>
  </si>
  <si>
    <t>Управление на човешките ресурси\УЧР(зм)\ГГФ\мз</t>
  </si>
  <si>
    <t>Управление на човешките ресурси\УЧР(змс)\ГГФ\мз</t>
  </si>
  <si>
    <t>Управление на човешките ресурси\УЧР(змс)3сем.(зм3 сем.)\ГГФ\мз</t>
  </si>
  <si>
    <t>Управление на човешките ресурси (5 семестъра) \УЧР (за ОКС "ПБ")(рм5 сем.)\ГГФ\мр</t>
  </si>
  <si>
    <t>Управление на човешките ресурси (5 семестъра) \УЧР (след ОКС "ПБ")(рм5 сем.)\ГГФ\мр</t>
  </si>
  <si>
    <t>Управление на човешките ресурси (5 семестъра) \УЧР(рмнс)\ГГФ\мр</t>
  </si>
  <si>
    <t>Управление на човешките ресурси (5 семестъра) \УЧР(след ОКС "ПБ")(зм5 сем.)\ГГФ\мз</t>
  </si>
  <si>
    <t>Управление на човешките ресурси-ПБ (4 сем.)\УЧР - след ОКС"ПБ"(рм4 сем.)\ГГФ\мр</t>
  </si>
  <si>
    <t>Управленски информационни системи\УИС(рм5 сем.)\СтФ\мр</t>
  </si>
  <si>
    <t>Управленски информационни системи\УИС-ПБ(рм5 сем.)\СтФ\мр</t>
  </si>
  <si>
    <t>Управленски информационни системи (2 сем.)\УИС(рм2 сем)\СтФ\мр</t>
  </si>
  <si>
    <t>Управленски информационни системи (3 сем./чужд език)\УИС АЕ летен (3 сем)(рм3 сем.л ч.ез.)\СтФ\мр</t>
  </si>
  <si>
    <t>Управленски информационни системи (3 сем./чужд език)\УИС на АЕ (3 сем)(рм3 сем. ч.ез.)\СтФ\мр</t>
  </si>
  <si>
    <t>Управленски информационни системи (3 сем./чужд език)\УИС чужд ез. (3 сем)(рм3 сем. ч.ез.)\СтФ\мр</t>
  </si>
  <si>
    <t>Управленски информационни системи (3 сем./чужд език)\УИС(рм3 сем.)\СтФ\мр</t>
  </si>
  <si>
    <t>Управленски информационни системи (4 сем.)\УИС на АЕ (4 сем)(рм4 сем. ч.ез.)\СтФ\мр</t>
  </si>
  <si>
    <t>Управленски информационни системи (4 сем.)\УИС чужд ез. (4 сем)(рм4 сем. ч.ез.)\СтФ\мр</t>
  </si>
  <si>
    <t>Управленски информационни системи (4 сем.)\УИС/4 сем/(рм4 сем.)\СтФ\мр</t>
  </si>
  <si>
    <t>Уравнения на математическата физика\УМФ(м)\ФМИ\мр</t>
  </si>
  <si>
    <t>Уравнения на математическата физика\УМФ(рм)\ФМИ\мр</t>
  </si>
  <si>
    <t>Уравнения на математическата физика и приложения\УМФ&amp;пр.(рм)\ФМИ\мр</t>
  </si>
  <si>
    <t>Устен превод\УП(рм)\ФКНФ\мр</t>
  </si>
  <si>
    <t>Учител по биология на английски език\УБАЕ(рм)\БФ\мр</t>
  </si>
  <si>
    <t>Учител по биология на английски език\УБАЕзад(зм)\БФ\мз</t>
  </si>
  <si>
    <t>Учител по биология на английски език\УБАЕ(зм)\БФ\мз</t>
  </si>
  <si>
    <t>Учител по география в средното училище (2 сем.)\УГСУ-60 кредита(рмс)\ГГФ\мр</t>
  </si>
  <si>
    <t>Учител по география в средното училище (2 сем.)\УГСУ-90 кредита(рмнс)\ГГФ\мр</t>
  </si>
  <si>
    <t>Учител по география в средното училище (3 сем.) \УГСУ (90 кредита)(рмнс)\ГГФ\мр</t>
  </si>
  <si>
    <t>Учител по природни науки в основна степен на образование\УПНОСО(рб)\ФзФ\бр</t>
  </si>
  <si>
    <t>Учител по химия\УХ(р)(рм)\ФХФ\мр</t>
  </si>
  <si>
    <t>Учител по химия\УХ(рм)\ФХФ\мр</t>
  </si>
  <si>
    <t>Учител по химия\УХ(з)(зм)\ФХФ\мз</t>
  </si>
  <si>
    <t>Учител по химия\УХмп(зм)\ФХФ\мз</t>
  </si>
  <si>
    <t>Фармация\Фармация(рм)\ФХФ\мр</t>
  </si>
  <si>
    <t>Фармация (на английски език)\ФАЕ(рм ч.ез.)\ФХФ\мр</t>
  </si>
  <si>
    <t>Фасилити мениджмънт (2 сем.)\Фасилити менидж неик(змнс)\СтФ\мз</t>
  </si>
  <si>
    <t>Фасилити мениджмънт (2 сем.)\Фасилити менидж-ЗО(зм2 сем)\СтФ\мз</t>
  </si>
  <si>
    <t>Физика\Ф(рб)\ФзФ\бр</t>
  </si>
  <si>
    <t>Физика\Ф(зб)\ФзФ\бз</t>
  </si>
  <si>
    <t>Физика\ф(зб)\ФзФ\бз</t>
  </si>
  <si>
    <t>Физика\Ф(рм)\ФзФ\мр</t>
  </si>
  <si>
    <t>Физика\Ф(рм3 сем.)\ФзФ\мр</t>
  </si>
  <si>
    <t>Физика\Ф(зм)\ФзФ\мз</t>
  </si>
  <si>
    <t>Физика и информатика\ФИ(рб)\ФзФ\бр</t>
  </si>
  <si>
    <t>Физика и математика\ФМ(рб)\ФзФ\бр</t>
  </si>
  <si>
    <t>Физика и математика\ФиМ(рб)\ФзФ\бр</t>
  </si>
  <si>
    <t>Физика и математика\ФМ(зб)\ФзФ\бз</t>
  </si>
  <si>
    <t>Физика и математика\ФиМ(зб)\ФзФ\бз</t>
  </si>
  <si>
    <t>Физика на земята, атмосферата и океана (4 сем.)\ФЗАО(зм4 сем.)\ФзФ\мз</t>
  </si>
  <si>
    <t>Физика на плазмата\ФПрм(рм2 сем)\ФзФ\мр</t>
  </si>
  <si>
    <t>Физика на плазмата\ФПзм(зм3 сем.)\ФзФ\мз</t>
  </si>
  <si>
    <t>Физика на плазмата (4 семестъра)\ФПНСП(рм4 сем.)\ФзФ\мр</t>
  </si>
  <si>
    <t>Физика на плазмата и термоядрен синтез\ФПТЯС(рм2 сем)\ФзФ\мр</t>
  </si>
  <si>
    <t>Физика на твърдото тяло\ФТТроМП(рм)\ФзФ\мр</t>
  </si>
  <si>
    <t>Физика на твърдото тяло\ФТТроМП(рм3 сем.)\ФзФ\мр</t>
  </si>
  <si>
    <t>Физика на ядрото и елементарните частици\ФЯЕЧ(рб ч.ез.)\ФзФ\бр</t>
  </si>
  <si>
    <t>Физика на ядрото и елементарните частици\ФЯЕЧ(рм3 сем.)\ФзФ\мр</t>
  </si>
  <si>
    <t>Физика на ядрото и елементарните частици\ФЯЕЧ(рм5 сем.)\ФзФ\мр</t>
  </si>
  <si>
    <t>Физика на ядрото и елементарните частици\ФЯТЧ(рм5 сем.)\ФзФ\мр</t>
  </si>
  <si>
    <t>Физиология на животните и човека\ФЖЧ(рм)\БФ\мр</t>
  </si>
  <si>
    <t>Физиология на животните и човека\ФЖЧ зо(зм)\БФ\мз</t>
  </si>
  <si>
    <t>Физиология на животните и човека (4 сем.)\ФЖЧнсп(рмнсл)\БФ\мр</t>
  </si>
  <si>
    <t>Физиология на растенията\ФР(рм)\БФ\мр</t>
  </si>
  <si>
    <t>Физическа география и ландшафтна екология\ФГЛЕ(рм)\ГГФ\мр</t>
  </si>
  <si>
    <t>Физическа география и ландшафтна екология\ФГЛЕ(зм)\ГГФ\мз</t>
  </si>
  <si>
    <t>Физическа география и ландшафтна екология\ФГЛЕ~(зм)\ГГФ\мз</t>
  </si>
  <si>
    <t>Физическо възпитание и спорт\ФВС(рб)\ФНОИ\бр</t>
  </si>
  <si>
    <t>Философия\Фил.(рб)\ФФ\бр</t>
  </si>
  <si>
    <t>Философия\Фил.(зб)\ФФ\бз</t>
  </si>
  <si>
    <t>Философия (2 семестъра)\Ф(рмс)\ФФ\мр</t>
  </si>
  <si>
    <t>Философия (2 семестъра)\Ф(рмсл)\ФФ\мр</t>
  </si>
  <si>
    <t>Философия (2 семестъра)\Филм2(рм2 сем)\ФФ\мр</t>
  </si>
  <si>
    <t>Философия (2 семестъра)\Философия(рмс)\ФФ\мр</t>
  </si>
  <si>
    <t>Философия (2 семестъра)\Философия(рмсл)\ФФ\мр</t>
  </si>
  <si>
    <t>Философия (3 семестъра)\Ф(рмнсл)\ФФ\мр</t>
  </si>
  <si>
    <t>Философия (3 семестъра)\Философия(рмнсл)\ФФ\мр</t>
  </si>
  <si>
    <t>Философия (3 семестъра)\ф(рм)\ФФ\мр</t>
  </si>
  <si>
    <t>Философия (3 семестъра)\ф(рмнс)\ФФ\мр</t>
  </si>
  <si>
    <t>Философия (3 семестъра)\ФНсп(змнс)\ФФ\мз</t>
  </si>
  <si>
    <t>Философия (на английски език)\ФИЛen(рб ч.ез.)\ФФ\бр</t>
  </si>
  <si>
    <t>Философия и култура на Изтока\ФКИ(рм)\ФФ\мр</t>
  </si>
  <si>
    <t>Философия и култура на Изтока\ФКИ(рмнс)\ФФ\мр</t>
  </si>
  <si>
    <t>Философия и култура на Изтока\Философия и култура (рмл)\ФФ\мр</t>
  </si>
  <si>
    <t>Философия на средните училища (2 сем.)\ФСУ(зм)\ФФ\мз</t>
  </si>
  <si>
    <t>Философия на средните училища (2 сем.)\ФСУл(зм2 семл)\ФФ\мз</t>
  </si>
  <si>
    <t>Философия на съзнанието и езика\ФСЕ(зм)\ФФ\мз</t>
  </si>
  <si>
    <t>Философия на съзнанието и езика\ФСЕ(змл)\ФФ\мз</t>
  </si>
  <si>
    <t>Философия с преподаване на английски език\ФПА(рм ч.ез.)\ФФ\мр</t>
  </si>
  <si>
    <t>Философия с преподаване на английски език\ФПА(рм)\ФФ\мр</t>
  </si>
  <si>
    <t>Философия с преподаване на английски език\ФПА(рмл ч.ез.)\ФФ\мр</t>
  </si>
  <si>
    <t>Философия с преподаване на английски език\ФПА(рмл)\ФФ\мр</t>
  </si>
  <si>
    <t>Философия с преподаване на английски език\ФПАл(рмл)\ФФ\мр</t>
  </si>
  <si>
    <t>Философия с преподаване на английски език\ФПА(зм ч.ез.)\ФФ\мз</t>
  </si>
  <si>
    <t>Философия с преподаване на английски език\ФПА(зм)\ФФ\мз</t>
  </si>
  <si>
    <t>Философия с преподаване на английски език\ФПА(змл ч.ез.)\ФФ\мз</t>
  </si>
  <si>
    <t>Философия с преподаване на английски език\ФПА(змл)\ФФ\мз</t>
  </si>
  <si>
    <t>Философия с преподаване на английски език (4 сем.)\ФПАбак3 л.(рм4 сем.л ч.ез.)\ФФ\мр</t>
  </si>
  <si>
    <t>Философия с преподаване на английски език (4 сем.)\ФПАбак3(рм4 сем. ч.ез.)\ФФ\мр</t>
  </si>
  <si>
    <t>Философия с преподаване на английски език (4 сем.)\ФПАЕ 4с летен(зм4 сем.л ч.ез.)\ФФ\мз</t>
  </si>
  <si>
    <t>Философия с преподаване на английски език (4 сем.)\ФПАбак3 л.(зм4 сем.л ч.ез.)\ФФ\мз</t>
  </si>
  <si>
    <t>Философия с преподаване на английски език (4 сем.)\ФПАбак3(зм4 сем. ч.ез.)\ФФ\мз</t>
  </si>
  <si>
    <t>Философска антропология\ФАНТР(рмл)\ФФ\мр</t>
  </si>
  <si>
    <t>Философска антропология\ФАнтр(рм)\ФФ\мр</t>
  </si>
  <si>
    <t>Финанси и банково дело\ФБД(рм)\СтФ\мр</t>
  </si>
  <si>
    <t>Финанси и банково дело\ФБД(рм3 сем.)\СтФ\мр</t>
  </si>
  <si>
    <t>Финанси и банково дело (5 сем.) \ФБД(рм5 сем.)\СтФ\мр</t>
  </si>
  <si>
    <t>Финанси и банково дело (5 семестъра)\ФБД (рм5 сем.)\СтФ\мр</t>
  </si>
  <si>
    <t>Финанси, счетоводство и анализ на големи данни (3 сем.)\ФСч. и АГД (3 сем.)(рм3 сем.)\СтФ\мр</t>
  </si>
  <si>
    <t>Финанси, счетоводство и анализ на големи данни (3 сем.)\ФСч. и АГД неик. 3(рмнс)\СтФ\мр</t>
  </si>
  <si>
    <t>Финансов мениджмънт (на английски език)\ФМ - англ(рм3 сем. ч.ез.)\СтФ\мр</t>
  </si>
  <si>
    <t>Финансов мениджмънт (на английски език)-неик.\ФМ-англ-неик(рм3 сем. ч.ез.)\СтФ\мр</t>
  </si>
  <si>
    <t>Финансов мениджмънт - на английски език (3 семестъра)\ФМ-англ-неик(рм3 сем. ч.ез.)\СтФ\мр</t>
  </si>
  <si>
    <t>Финансов мениджмънт - на английски език (3 семестъра)\ФМ-англ-неик(рм3 сем.)\СтФ\мр</t>
  </si>
  <si>
    <t>Финансов мениджмънт-на френски и английски език\ФМ - англ(рм3 сем. ч.ез.)\СтФ\мр</t>
  </si>
  <si>
    <t>Финансов мениджмънт-на френски и английски език\ФМ - англ(рм3 сем.)\СтФ\мр</t>
  </si>
  <si>
    <t>Финансов мениджмънт-на френски и английски език\ФМ - фр /англ(рм3 сем.)\СтФ\мр</t>
  </si>
  <si>
    <t>Фотоника и лазерна физика\ФЛФ(рб)\ФзФ\бр</t>
  </si>
  <si>
    <t>Франкофония, многоезичие и междукултурна медиация\ФМиММ(рм ч.ез.)\ФКНФ\мр</t>
  </si>
  <si>
    <t>Франкофония, многоезичие и междукултурна медиация\ФМиММ(рм)\ФКНФ\мр</t>
  </si>
  <si>
    <t>Франкофонски изследвания\ФИ(рм)\ФКНФ\мр</t>
  </si>
  <si>
    <t>Франкофонски изследвания\ФрИзсл(рм)\ФКНФ\мр</t>
  </si>
  <si>
    <t>Френска филология\ФФ(рб)\ФКНФ\бр</t>
  </si>
  <si>
    <t>Френска филология\ФрФ(рб)\ФКНФ\бр</t>
  </si>
  <si>
    <t>Функционални материали\ФМ(рм)\ФХФ\мр</t>
  </si>
  <si>
    <t>Хебраистика\Хебра(рб)\ИФ\бр</t>
  </si>
  <si>
    <t>Химия\Х(рб)\ФХФ\бр</t>
  </si>
  <si>
    <t>Химия\Х(зб)\ФХФ\бз</t>
  </si>
  <si>
    <t>Химия за бъдещето (2 сем.)\Химия за бъдещето(рмс)\ФХФ\мр</t>
  </si>
  <si>
    <t>Химия и английски език\Х-я и англ. език(рб)\ФХФ\бр</t>
  </si>
  <si>
    <t>Химия и информатика\ХИ(рб)\ФХФ\бр</t>
  </si>
  <si>
    <t>Християнско поклонничество (2 сем.)\Християнско поклонни(зм2 сем)\БсФ\мз</t>
  </si>
  <si>
    <t>Християнство и ислям на Балканите (2 сем.)\ХИБ(рм2 сем)\ИФ\мр</t>
  </si>
  <si>
    <t>Църква и медии (2 сем.)\Църква и медии(зм2 сем)\БсФ\мз</t>
  </si>
  <si>
    <t>Църква и медии (4 сем.)\Църква и медии(зм4 сем.)\БсФ\мз</t>
  </si>
  <si>
    <t>Църковен мениджмънт (2 сем.)\Църковен мениджмънт(зм2 сем)\БсФ\мз</t>
  </si>
  <si>
    <t>Църковен мениджмънт (4 сем.)\Църковен мениджмънт(зм4 сем.)\БсФ\мз</t>
  </si>
  <si>
    <t>Църковно изкуство в България (Оценяване, опазване, презентиране) (2 сем.)\Църковно изкуство (змс)\БсФ\мз</t>
  </si>
  <si>
    <t>Църковно изкуство в България (Оценяване, опазване, презентиране) (4 сем.)\Църковно изкуство (змнс)\БсФ\мз</t>
  </si>
  <si>
    <t>Църковно социално дело (2 сем.)\ЦСДсп(змс)\БсФ\мз</t>
  </si>
  <si>
    <t>Църковно социално дело (2 сем.)\Църковно социално де(змс)\БсФ\мз</t>
  </si>
  <si>
    <t>Църковно социално дело (4 сем.)\Църковно социално де(зм4 сем.)\БсФ\мз</t>
  </si>
  <si>
    <t>Църковно социално дело (4 сем.)\Църковно социално де(змнс)\БсФ\мз</t>
  </si>
  <si>
    <t>Църковно- социално служение\ЦССмп(рмс)\БсФ\мр</t>
  </si>
  <si>
    <t>Частни отношения с презгранични последици в европейския съюз (3 семестъра)\ЧОППЕС(рмл)\ЮФ\мр</t>
  </si>
  <si>
    <t>Частни отношения с презгранични последици в европейския съюз (3 семестъра)\ЧОППЕСромп(рм)\ЮФ\мр</t>
  </si>
  <si>
    <t>Чужд език (английски език), литература, медии\ЧЕЛитМед(рм3 сем.л ч.ез.)\ФКНФ\мр</t>
  </si>
  <si>
    <t>Южна, Източна и Югоизточна Азия\ЮИиЮИ(рб)\ФКНФ\бр</t>
  </si>
  <si>
    <t>Южна, източна и югоизточна Азия\ЮИЮА(рм ч.ез.)\ФКНФ\мр</t>
  </si>
  <si>
    <t>Ядрена техника и ядрена енергетика\ЯТЯЕ(рб)\ФзФ\бр</t>
  </si>
  <si>
    <t>Ядрена техника и ядрена енергетика\ЯТиЕ(рб)\ФзФ\бр</t>
  </si>
  <si>
    <t>Ядрена химия\ЯХ(рб)\ФХФ\бр</t>
  </si>
  <si>
    <t>Ядрена химия\Ядрена химия(рм)\ФХФ\мр</t>
  </si>
  <si>
    <t>Ядрена химия\ЯХ(рм)\ФХФ\мр</t>
  </si>
  <si>
    <t>Японистика\Я(рб)\ФКНФ\бр</t>
  </si>
  <si>
    <t>Японистика\Япо(рб)\ФКНФ\бр</t>
  </si>
  <si>
    <t>Японистика: общество и култура\Я:ОиК(рмнс)\ФКНФ\мр</t>
  </si>
  <si>
    <t>Японски език и култура\ЯЕК(рм)\ФКНФ\мр</t>
  </si>
  <si>
    <t>Японски език и култура\ЯЕК(рмл)\ФКНФ\мр</t>
  </si>
  <si>
    <t>„Будизъм: езици, литератури и култури“ (с източен език)\Буд.:ЕЛиК с кор.ез.(рм3 сем.)\ФКНФ\мр</t>
  </si>
  <si>
    <t>„Будизъм: езици, литератури и култури“ (с източен език)\Буд.:ЕЛиК с яп. ез.(рм3 сем.)\ФКНФ\мр</t>
  </si>
  <si>
    <t>„Будизъм: езици, литератури и култури“ (с източен език)\Буд.:ЕЛиК с инд.ез.(рм3 сем.)\ФКНФ\мр</t>
  </si>
  <si>
    <t>„Будизъм: езици, литератури и култури“ (с източен език)\Буд.:ЕЛиК с кит. ез.(рм3 сем.)\ФКНФ\мр</t>
  </si>
  <si>
    <t>СпециалностМП</t>
  </si>
  <si>
    <t>п№</t>
  </si>
  <si>
    <t>1. Учебна дисциплина - Бакалавър</t>
  </si>
  <si>
    <t>1. Учебна дисциплина - Магистър</t>
  </si>
  <si>
    <t>2. Учебни практики - Магистър</t>
  </si>
  <si>
    <t>2. Учебни практики - Бакалавър</t>
  </si>
  <si>
    <t>ЗИМЕН</t>
  </si>
  <si>
    <t>Формили</t>
  </si>
  <si>
    <t>MAZLS</t>
  </si>
  <si>
    <t>MPZS</t>
  </si>
  <si>
    <t>MPLS</t>
  </si>
  <si>
    <t>3. Дипломиране - Бакалавър</t>
  </si>
  <si>
    <t>3. Дипломиране - Магистър</t>
  </si>
  <si>
    <t>BDiplomiraneZS</t>
  </si>
  <si>
    <t>BDiplomiraneLS</t>
  </si>
  <si>
    <t>MDiplomiraneZS</t>
  </si>
  <si>
    <t>MDiplomiraneLS</t>
  </si>
  <si>
    <r>
      <rPr>
        <b/>
        <sz val="10"/>
        <color theme="1"/>
        <rFont val="Arial Narrow"/>
        <family val="2"/>
        <charset val="204"/>
      </rPr>
      <t>2.1.3</t>
    </r>
    <r>
      <rPr>
        <sz val="10"/>
        <color theme="1"/>
        <rFont val="Arial Narrow"/>
        <family val="2"/>
        <charset val="204"/>
      </rPr>
      <t>. За участие в комисия по защита на дипломна работа, писмени разработки за II и I  ПКС – 0,8 часа за
 1 кандидат (за всеки член на комисията)</t>
    </r>
  </si>
  <si>
    <r>
      <rPr>
        <b/>
        <sz val="10"/>
        <color theme="1"/>
        <rFont val="Arial Narrow"/>
        <family val="2"/>
        <charset val="204"/>
      </rPr>
      <t>2.1.4</t>
    </r>
    <r>
      <rPr>
        <sz val="10"/>
        <color theme="1"/>
        <rFont val="Arial Narrow"/>
        <family val="2"/>
        <charset val="204"/>
      </rPr>
      <t>. За текущи изпити за придобиване на ПКС</t>
    </r>
    <r>
      <rPr>
        <vertAlign val="superscript"/>
        <sz val="10"/>
        <color theme="1"/>
        <rFont val="Arial Narrow"/>
        <family val="2"/>
        <charset val="204"/>
      </rPr>
      <t>2</t>
    </r>
    <r>
      <rPr>
        <sz val="10"/>
        <color theme="1"/>
        <rFont val="Arial Narrow"/>
        <family val="2"/>
        <charset val="204"/>
      </rPr>
      <t>/професионална квалификация "учител" – 0,6 часа за
 1 изпитан курсист</t>
    </r>
  </si>
  <si>
    <r>
      <rPr>
        <b/>
        <vertAlign val="superscript"/>
        <sz val="9"/>
        <color theme="1"/>
        <rFont val="Times New Roman"/>
        <family val="1"/>
        <charset val="204"/>
      </rPr>
      <t>1</t>
    </r>
    <r>
      <rPr>
        <b/>
        <sz val="9"/>
        <color theme="1"/>
        <rFont val="Times New Roman"/>
        <family val="1"/>
        <charset val="204"/>
      </rPr>
      <t>Часове – всички учебни занятия се приравняват към упражнения</t>
    </r>
  </si>
  <si>
    <r>
      <t xml:space="preserve">Преподавател: </t>
    </r>
    <r>
      <rPr>
        <sz val="10"/>
        <color theme="1"/>
        <rFont val="Arial Narrow"/>
        <family val="2"/>
        <charset val="204"/>
      </rPr>
      <t>….....................</t>
    </r>
    <r>
      <rPr>
        <b/>
        <sz val="11"/>
        <color theme="1"/>
        <rFont val="Arial Narrow"/>
        <family val="2"/>
        <charset val="204"/>
      </rPr>
      <t xml:space="preserve">                Ръководител катедра: </t>
    </r>
    <r>
      <rPr>
        <sz val="10"/>
        <color theme="1"/>
        <rFont val="Arial Narrow"/>
        <family val="2"/>
        <charset val="204"/>
      </rPr>
      <t>…........................</t>
    </r>
    <r>
      <rPr>
        <b/>
        <sz val="11"/>
        <color theme="1"/>
        <rFont val="Arial Narrow"/>
        <family val="2"/>
        <charset val="204"/>
      </rPr>
      <t xml:space="preserve">                      Директор: </t>
    </r>
    <r>
      <rPr>
        <sz val="10"/>
        <color theme="1"/>
        <rFont val="Arial Narrow"/>
        <family val="2"/>
        <charset val="204"/>
      </rPr>
      <t>……....................</t>
    </r>
  </si>
  <si>
    <t>EducPlans_кодНАЦИД_Спец</t>
  </si>
  <si>
    <t>RT_Документация_H_Спр</t>
  </si>
  <si>
    <t>dbеФакултет_ОЗ_Спец_ОбщоСпец</t>
  </si>
  <si>
    <t>dbеФакултет_ОЗ_Спец_ОбщоОЗ</t>
  </si>
  <si>
    <t>Table_НАЦИД_Обобщен_отчет</t>
  </si>
  <si>
    <t>Таблица - Power query</t>
  </si>
  <si>
    <t>Show</t>
  </si>
  <si>
    <t>Refresh</t>
  </si>
  <si>
    <t>Ref</t>
  </si>
  <si>
    <t>Време</t>
  </si>
  <si>
    <t>НАЦИД_Обобщен_отчет</t>
  </si>
  <si>
    <t>Рег. № на договор</t>
  </si>
  <si>
    <r>
      <t>ОБЩА учебна заетост</t>
    </r>
    <r>
      <rPr>
        <sz val="11"/>
        <color theme="1"/>
        <rFont val="Arial Narrow"/>
        <family val="2"/>
        <charset val="204"/>
      </rPr>
      <t xml:space="preserve"> (с друго звено на СУ):</t>
    </r>
  </si>
  <si>
    <r>
      <t>ОБЩА аудиторна заетост</t>
    </r>
    <r>
      <rPr>
        <sz val="11"/>
        <color theme="1"/>
        <rFont val="Arial Narrow"/>
        <family val="2"/>
        <charset val="204"/>
      </rPr>
      <t xml:space="preserve"> (с друго звено на СУ):</t>
    </r>
  </si>
  <si>
    <t>733207|20200743-ИФ-мзв|Ант. и Ср.(змнс)</t>
  </si>
  <si>
    <t>Ант. и Ср.(змнс)</t>
  </si>
  <si>
    <t>20200743-ИФ-мзв</t>
  </si>
  <si>
    <t>Ант. и Ср.(змнс)\ИФ</t>
  </si>
  <si>
    <t>Античност и Средновековие (неспециалисти)\Ант. и Ср.(змнс)\ИФ\мз</t>
  </si>
  <si>
    <t>Ант. и Ср.(змнс)\ИФ\мз</t>
  </si>
  <si>
    <t>733206|20200733-ИФ-мзв|Ант. и Ср.(змс)</t>
  </si>
  <si>
    <t>Ант. и Ср.(змс)</t>
  </si>
  <si>
    <t>20200733-ИФ-мзв</t>
  </si>
  <si>
    <t>Ант. и Ср.(змс)\ИФ</t>
  </si>
  <si>
    <t>Античност и Средновековие (специалисти)\Ант. и Ср.(змс)\ИФ\мз</t>
  </si>
  <si>
    <t>Ант. и Ср.(змс)\ИФ\мз</t>
  </si>
  <si>
    <t>724811|8030118302-ФБ-мрв|АД(рм2 сем)</t>
  </si>
  <si>
    <t>ФБ</t>
  </si>
  <si>
    <t>АД(рм2 сем)</t>
  </si>
  <si>
    <t>8030118302-ФБ-мрв</t>
  </si>
  <si>
    <t>АД(рм2 сем)\ФБ</t>
  </si>
  <si>
    <t>Аудиовизуален дизайн (2 сем.)\АД(рм2 сем)\ФБ\мр</t>
  </si>
  <si>
    <t>АД(рм2 сем)\ФБ\мр</t>
  </si>
  <si>
    <t>724812|80301663-ФБ-мрв|АМ(рм3 сем.)</t>
  </si>
  <si>
    <t>АМ(рм3 сем.)</t>
  </si>
  <si>
    <t>80301663-ФБ-мрв</t>
  </si>
  <si>
    <t>АМ(рм3 сем.)\ФБ</t>
  </si>
  <si>
    <t>Аудиопродукция и мастеринг\АМ(рм3 сем.)\ФБ\мр</t>
  </si>
  <si>
    <t>АМ(рм3 сем.)\ФБ\мр</t>
  </si>
  <si>
    <t>БА-СУ-АЕ (3 сем.)(рм3 сем. ч.ез.)</t>
  </si>
  <si>
    <t>БА-СУ-АЕ (3 сем.)(рм3 сем. ч.ез.)\СтФ</t>
  </si>
  <si>
    <t>БА-СУ-АЕ (3 сем.)(рм3 сем. ч.ез.)\СтФ\мр</t>
  </si>
  <si>
    <t>БА-СУ-АЕ-Л (3 сем.)(рм3 сем.л ч.ез.)</t>
  </si>
  <si>
    <t>БА-СУ-АЕ-Л (3 сем.)(рм3 сем.л ч.ез.)\СтФ</t>
  </si>
  <si>
    <t>БА-СУ-АЕ-Л (3 сем.)(рм3 сем.л ч.ез.)\СтФ\мр</t>
  </si>
  <si>
    <t>БА-СУ-АЕ-4сем-МБА(рм4 сем. ч.ез.)</t>
  </si>
  <si>
    <t>БА-СУ-АЕ-4сем-МБА(рм4 сем. ч.ез.)\СтФ</t>
  </si>
  <si>
    <t>БА-СУ-АЕ-4сем-МБА(рм4 сем. ч.ез.)\СтФ\мр</t>
  </si>
  <si>
    <t>БА-СУ-АЕ-4сем-МБА(рм4 сем.л ч.ез.)</t>
  </si>
  <si>
    <t>БА-СУ-АЕ-4сем-МБА(рм4 сем.л ч.ез.)\СтФ</t>
  </si>
  <si>
    <t>БА-СУ-АЕ-4сем-МБА(рм4 сем.л ч.ез.)\СтФ\мр</t>
  </si>
  <si>
    <t>711114|30711423-СтФ-мрв|БА-УЧР-АЕ (3 сем.)(рм3 сем. ч.ез.)</t>
  </si>
  <si>
    <t>БА-УЧР-АЕ (3 сем.)(рм3 сем. ч.ез.)</t>
  </si>
  <si>
    <t>30711423-СтФ-мрв</t>
  </si>
  <si>
    <t>БА-УЧР-АЕ (3 сем.)(рм3 сем. ч.ез.)\СтФ</t>
  </si>
  <si>
    <t>БА-УЧР-АЕ (3 сем.)(рм3 сем. ч.ез.)\СтФ\мр</t>
  </si>
  <si>
    <t>711114|30711423-СтФ-мрв|БА-УЧР-АЕ-Л (3 сем.)(рм3 сем.л ч.ез.)</t>
  </si>
  <si>
    <t>БА-УЧР-АЕ-Л (3 сем.)(рм3 сем.л ч.ез.)</t>
  </si>
  <si>
    <t>БА-УЧР-АЕ-Л (3 сем.)(рм3 сем.л ч.ез.)\СтФ</t>
  </si>
  <si>
    <t>БА-УЧР-АЕ-Л (3 сем.)(рм3 сем.л ч.ез.)\СтФ\мр</t>
  </si>
  <si>
    <t>БА-УЧР-АЕ (4 сем.)(рм4 сем. ч.ез.)</t>
  </si>
  <si>
    <t>БА-УЧР-АЕ (4 сем.)(рм4 сем. ч.ез.)\СтФ</t>
  </si>
  <si>
    <t>БА-УЧР-АЕ (4 сем.)(рм4 сем. ч.ез.)\СтФ\мр</t>
  </si>
  <si>
    <t>БА-УЧР-АЕ-Л (4 сем.)(рм4 сем.л ч.ез.)</t>
  </si>
  <si>
    <t>БА-УЧР-АЕ-Л (4 сем.)(рм4 сем.л ч.ез.)\СтФ</t>
  </si>
  <si>
    <t>БА-УЧР-АЕ-Л (4 сем.)(рм4 сем.л ч.ез.)\СтФ\мр</t>
  </si>
  <si>
    <t>711441|30711443-СтФ-мрв|БА-УИС-АЕ (3 сем.)(рм3 сем. ч.ез.)</t>
  </si>
  <si>
    <t>БА-УИС-АЕ (3 сем.)(рм3 сем. ч.ез.)</t>
  </si>
  <si>
    <t>30711443-СтФ-мрв</t>
  </si>
  <si>
    <t>БА-УИС-АЕ (3 сем.)(рм3 сем. ч.ез.)\СтФ</t>
  </si>
  <si>
    <t>БА-УИС-АЕ (3 сем.)(рм3 сем. ч.ез.)\СтФ\мр</t>
  </si>
  <si>
    <t>711441|30711443-СтФ-мрв|БА-УИС-АЕ-Л (3 сем.)(рм3 сем.л ч.ез.)</t>
  </si>
  <si>
    <t>БА-УИС-АЕ-Л (3 сем.)(рм3 сем.л ч.ез.)</t>
  </si>
  <si>
    <t>БА-УИС-АЕ-Л (3 сем.)(рм3 сем.л ч.ез.)\СтФ</t>
  </si>
  <si>
    <t>БА-УИС-АЕ-Л (3 сем.)(рм3 сем.л ч.ез.)\СтФ\мр</t>
  </si>
  <si>
    <t>БА-УИС-АЕ (4 сем.)(рм4 сем. ч.ез.)</t>
  </si>
  <si>
    <t>БА-УИС-АЕ (4 сем.)(рм4 сем. ч.ез.)\СтФ</t>
  </si>
  <si>
    <t>БА-УИС-АЕ (4 сем.)(рм4 сем. ч.ез.)\СтФ\мр</t>
  </si>
  <si>
    <t>БА-УИС-АЕ-Л (4 сем.)(рм4 сем.л ч.ез.)</t>
  </si>
  <si>
    <t>БА-УИС-АЕ-Л (4 сем.)(рм4 сем.л ч.ез.)\СтФ</t>
  </si>
  <si>
    <t>БА-УИС-АЕ-Л (4 сем.)(рм4 сем.л ч.ез.)\СтФ\мр</t>
  </si>
  <si>
    <t>Бизнес мениджмънт (2 сем.)</t>
  </si>
  <si>
    <t>711110|30711463-СтФ-мрв|БМ-РО (несп.)(рм2 сем)</t>
  </si>
  <si>
    <t>БМ-РО (несп.)(рм2 сем)</t>
  </si>
  <si>
    <t>30711463-СтФ-мрв</t>
  </si>
  <si>
    <t>БМ-РО (несп.)(рм2 сем)\СтФ</t>
  </si>
  <si>
    <t>Бизнес мениджмънт (2 сем.)\БМ-РО (несп.)(рм2 сем)\СтФ\мр</t>
  </si>
  <si>
    <t>БМ-РО (несп.)(рм2 сем)\СтФ\мр</t>
  </si>
  <si>
    <t>711110|30711463-СтФ-мрв|БМ-РО-Л (несп.)(рм2 семл)</t>
  </si>
  <si>
    <t>БМ-РО-Л (несп.)(рм2 семл)</t>
  </si>
  <si>
    <t>БМ-РО-Л (несп.)(рм2 семл)\СтФ</t>
  </si>
  <si>
    <t>Бизнес мениджмънт (2 сем.)\БМ-РО-Л (несп.)(рм2 семл)\СтФ\мр</t>
  </si>
  <si>
    <t>БМ-РО-Л (несп.)(рм2 семл)\СтФ\мр</t>
  </si>
  <si>
    <t>732465|3070007326-СтФ-мзв|ДМ-ЗО (неспец.)(змнс)</t>
  </si>
  <si>
    <t>ДМ-ЗО (неспец.)(змнс)</t>
  </si>
  <si>
    <t>3070007326-СтФ-мзв</t>
  </si>
  <si>
    <t>ДМ-ЗО (неспец.)(змнс)\СтФ</t>
  </si>
  <si>
    <t>Дигитален маркетинг (2 сем.)\ДМ-ЗО (неспец.)(змнс)\СтФ\мз</t>
  </si>
  <si>
    <t>ДМ-ЗО (неспец.)(змнс)\СтФ\мз</t>
  </si>
  <si>
    <t>732465|3070007326-СтФ-мзв|ДМ-ЗО(зм2 сем)</t>
  </si>
  <si>
    <t>ДМ-ЗО(зм2 сем)</t>
  </si>
  <si>
    <t>ДМ-ЗО(зм2 сем)\СтФ</t>
  </si>
  <si>
    <t>Дигитален маркетинг (2 сем.)\ДМ-ЗО(зм2 сем)\СтФ\мз</t>
  </si>
  <si>
    <t>ДМ-ЗО(зм2 сем)\СтФ\мз</t>
  </si>
  <si>
    <t>Климатични промени и управление (на английски език)</t>
  </si>
  <si>
    <t>686206|40401012-ГГФ-брс|КПУ(рб ч.ез.)</t>
  </si>
  <si>
    <t>КПУ(рб ч.ез.)</t>
  </si>
  <si>
    <t>40401012-ГГФ-брс</t>
  </si>
  <si>
    <t>КПУ(рб ч.ез.)\ГГФ</t>
  </si>
  <si>
    <t>Климатични промени и управление (на английски език)\КПУ(рб ч.ез.)\ГГФ\бр</t>
  </si>
  <si>
    <t>КПУ(рб ч.ез.)\ГГФ\бр</t>
  </si>
  <si>
    <t>12683|1020010302-ФНОИ-мрв|Мсд(рм2 сем)</t>
  </si>
  <si>
    <t>Мсд(рм2 сем)</t>
  </si>
  <si>
    <t>Мсд(рм2 сем)\ФНОИ</t>
  </si>
  <si>
    <t>Мениджмънт на социално-педагогическите дейности\Мсд(рм2 сем)\ФНОИ\мр</t>
  </si>
  <si>
    <t>Мсд(рм2 сем)\ФНОИ\мр</t>
  </si>
  <si>
    <t>724810|80301503-ФБ-мрв|MA(рм2 сем)</t>
  </si>
  <si>
    <t>MA(рм2 сем)</t>
  </si>
  <si>
    <t>80301503-ФБ-мрв</t>
  </si>
  <si>
    <t>MA(рм2 сем)\ФБ</t>
  </si>
  <si>
    <t>Музикален артмениджмънт\MA(рм2 сем)\ФБ\мр</t>
  </si>
  <si>
    <t>MA(рм2 сем)\ФБ\мр</t>
  </si>
  <si>
    <t>713782|80301182-ФБ-брс|ММТТ(рб)</t>
  </si>
  <si>
    <t>80301182-ФБ-брс</t>
  </si>
  <si>
    <t>ММТТ(рб)\ФБ</t>
  </si>
  <si>
    <t>Музикални медийни технологии и тонрежисура\ММТТ(рб)\ФБ\бр</t>
  </si>
  <si>
    <t>ММТТ(рб)\ФБ\бр</t>
  </si>
  <si>
    <t>Приложна лингвистика - преподаване на български език като чужд (2 сем.)</t>
  </si>
  <si>
    <t>710808|20103953-ФСлФ-мрв|ПрилЛингвБългЧужд(рмс)</t>
  </si>
  <si>
    <t>ПрилЛингвБългЧужд(рмс)</t>
  </si>
  <si>
    <t>20103953-ФСлФ-мрв</t>
  </si>
  <si>
    <t>ПрилЛингвБългЧужд(рмс)\ФСлФ</t>
  </si>
  <si>
    <t>Приложна лингвистика - преподаване на български език като чужд (2 сем.)\ПрилЛингвБългЧужд(рмс)\ФСлФ\мр</t>
  </si>
  <si>
    <t>ПрилЛингвБългЧужд(рмс)\ФСлФ\мр</t>
  </si>
  <si>
    <t>12687|1020010305-ФНОИ-мзв|Спдп(зм3 сем.)</t>
  </si>
  <si>
    <t>Спдп(зм3 сем.)</t>
  </si>
  <si>
    <t>Спдп(зм3 сем.)\ФНОИ</t>
  </si>
  <si>
    <t>Социално-възпитателна и пробационна дейност с правонарушители\Спдп(зм3 сем.)\ФНОИ\мз</t>
  </si>
  <si>
    <t>Спдп(зм3 сем.)\ФНОИ\мз</t>
  </si>
  <si>
    <t>Стратегическо управление (2 сем.)</t>
  </si>
  <si>
    <t>711112|30711473-СтФ-мрв|Страт. упр. (несп.)(рмнс)</t>
  </si>
  <si>
    <t>Страт. упр. (несп.)(рмнс)</t>
  </si>
  <si>
    <t>30711473-СтФ-мрв</t>
  </si>
  <si>
    <t>Страт. упр. (несп.)(рмнс)\СтФ</t>
  </si>
  <si>
    <t>Стратегическо управление (2 сем.)\Страт. упр. (несп.)(рмнс)\СтФ\мр</t>
  </si>
  <si>
    <t>Страт. упр. (несп.)(рмнс)\СтФ\мр</t>
  </si>
  <si>
    <t>711112|30711473-СтФ-мрв|Стратегическо упр.(рм2 сем)</t>
  </si>
  <si>
    <t>Стратегическо упр.(рм2 сем)</t>
  </si>
  <si>
    <t>Стратегическо упр.(рм2 сем)\СтФ</t>
  </si>
  <si>
    <t>Стратегическо управление (2 сем.)\Стратегическо упр.(рм2 сем)\СтФ\мр</t>
  </si>
  <si>
    <t>Стратегическо упр.(рм2 сем)\СтФ\мр</t>
  </si>
  <si>
    <t>Съдържателни аспекти на профилираната подготовка по информатика (3 сем.)</t>
  </si>
  <si>
    <t>704951|10303113-ФМИ-мрв|САППИ(рм)</t>
  </si>
  <si>
    <t>САППИ(рм)</t>
  </si>
  <si>
    <t>САППИ(рм)\ФМИ</t>
  </si>
  <si>
    <t>Съдържателни аспекти на профилираната подготовка по информатика (3 сем.)\САППИ(рм)\ФМИ\мр</t>
  </si>
  <si>
    <t>САППИ(рм)\ФМИ\мр</t>
  </si>
  <si>
    <t>Управление и предприемачество (2 сем.)</t>
  </si>
  <si>
    <t>734779|30711483-СтФ-мзв|УП-ЗО-Л (несп.)(змнсл)</t>
  </si>
  <si>
    <t>УП-ЗО-Л (несп.)(змнсл)</t>
  </si>
  <si>
    <t>30711483-СтФ-мзв</t>
  </si>
  <si>
    <t>УП-ЗО-Л (несп.)(змнсл)\СтФ</t>
  </si>
  <si>
    <t>Управление и предприемачество (2 сем.)\УП-ЗО-Л (несп.)(змнсл)\СтФ\мз</t>
  </si>
  <si>
    <t>УП-ЗО-Л (несп.)(змнсл)\СтФ\мз</t>
  </si>
  <si>
    <t>734779|30711483-СтФ-мзв|УП-ЗО-Л(зм2 семл)</t>
  </si>
  <si>
    <t>УП-ЗО-Л(зм2 семл)</t>
  </si>
  <si>
    <t>УП-ЗО-Л(зм2 семл)\СтФ</t>
  </si>
  <si>
    <t>Управление и предприемачество (2 сем.)\УП-ЗО-Л(зм2 семл)\СтФ\мз</t>
  </si>
  <si>
    <t>УП-ЗО-Л(зм2 семл)\СтФ\мз</t>
  </si>
  <si>
    <t>734779|30711483-СтФ-мзв|Упр. и пред. (несп.)(змнс)</t>
  </si>
  <si>
    <t>Упр. и пред. (несп.)(змнс)</t>
  </si>
  <si>
    <t>Упр. и пред. (несп.)(змнс)\СтФ</t>
  </si>
  <si>
    <t>Управление и предприемачество (2 сем.)\Упр. и пред. (несп.)(змнс)\СтФ\мз</t>
  </si>
  <si>
    <t>Упр. и пред. (несп.)(змнс)\СтФ\мз</t>
  </si>
  <si>
    <t>734779|30711483-СтФ-мзв|Упр. и предпр.(зм2 сем)</t>
  </si>
  <si>
    <t>Упр. и предпр.(зм2 сем)</t>
  </si>
  <si>
    <t>Упр. и предпр.(зм2 сем)\СтФ</t>
  </si>
  <si>
    <t>Управление и предприемачество (2 сем.)\Упр. и предпр.(зм2 сем)\СтФ\мз</t>
  </si>
  <si>
    <t>Упр. и предпр.(зм2 сем)\СтФ\мз</t>
  </si>
  <si>
    <t>711111|30700363-СтФ-мрв|Упр. и РЧР (неспец.)(рмнс)</t>
  </si>
  <si>
    <t>Упр. и РЧР (неспец.)(рмнс)</t>
  </si>
  <si>
    <t>30700363-СтФ-мрв</t>
  </si>
  <si>
    <t>Упр. и РЧР (неспец.)(рмнс)\СтФ</t>
  </si>
  <si>
    <t>Управление и развитие на човешките ресурси\Упр. и РЧР (неспец.)(рмнс)\СтФ\мр</t>
  </si>
  <si>
    <t>Упр. и РЧР (неспец.)(рмнс)\СтФ\мр</t>
  </si>
  <si>
    <t>711111|30700363-СтФ-мрв|Управление и РЧР(рм2 сем)</t>
  </si>
  <si>
    <t>Управление и РЧР(рм2 сем)</t>
  </si>
  <si>
    <t>Управление и РЧР(рм2 сем)\СтФ</t>
  </si>
  <si>
    <t>Управление и развитие на човешките ресурси\Управление и РЧР(рм2 сем)\СтФ\мр</t>
  </si>
  <si>
    <t>Управление и РЧР(рм2 сем)\СтФ\мр</t>
  </si>
  <si>
    <t>724807|2040001320-ФБ-мзв|ХП(зм2 сем)</t>
  </si>
  <si>
    <t>ХП(зм2 сем)</t>
  </si>
  <si>
    <t>2040001320-ФБ-мзв</t>
  </si>
  <si>
    <t>ХП(зм2 сем)\ФБ</t>
  </si>
  <si>
    <t>Християнско поклонничество (2 сем.)\ХП(зм2 сем)\ФБ\мз</t>
  </si>
  <si>
    <t>ХП(зм2 сем)\ФБ\мз</t>
  </si>
  <si>
    <t>Християнско поклонничество (4 сем.)</t>
  </si>
  <si>
    <t>Християнско поклонничество (4 сем.)\Християнско покл-во(зм4 сем.)\БсФ\мз</t>
  </si>
  <si>
    <t>724806|2040001314-ФБ-мзв|ХП 4 с(зм4 сем.)</t>
  </si>
  <si>
    <t>ХП 4 с(зм4 сем.)</t>
  </si>
  <si>
    <t>2040001314-ФБ-мзв</t>
  </si>
  <si>
    <t>ХП 4 с(зм4 сем.)\ФБ</t>
  </si>
  <si>
    <t>Християнско поклонничество (4 сем.)\ХП 4 с(зм4 сем.)\ФБ\мз</t>
  </si>
  <si>
    <t>ХП 4 с(зм4 сем.)\ФБ\мз</t>
  </si>
  <si>
    <t>724808|2040001321-ФБ-мзв|ЦМ(зм2 сем)</t>
  </si>
  <si>
    <t>ЦМ(зм2 сем)</t>
  </si>
  <si>
    <t>2040001321-ФБ-мзв</t>
  </si>
  <si>
    <t>ЦМ(зм2 сем)\ФБ</t>
  </si>
  <si>
    <t>Църковен мениджмънт (2 сем.)\ЦМ(зм2 сем)\ФБ\мз</t>
  </si>
  <si>
    <t>ЦМ(зм2 сем)\ФБ\мз</t>
  </si>
  <si>
    <t>724809|2040001322-ФБ-мзв|ЦМ 4 с(зм4 сем.)</t>
  </si>
  <si>
    <t>ЦМ 4 с(зм4 сем.)</t>
  </si>
  <si>
    <t>2040001322-ФБ-мзв</t>
  </si>
  <si>
    <t>ЦМ 4 с(зм4 сем.)\ФБ</t>
  </si>
  <si>
    <t>Църковен мениджмънт (4 сем.)\ЦМ 4 с(зм4 сем.)\ФБ\мз</t>
  </si>
  <si>
    <t>ЦМ 4 с(зм4 сем.)\ФБ\мз</t>
  </si>
  <si>
    <t>аФакултет на Преподавател</t>
  </si>
  <si>
    <t>ДЕПАРТАМЕНТ ЗА ЕЗИКОВО ОБУЧЕНИЕ И ПРОДЪЛЖАВАЩА КВАЛИФИКАЦИЯ</t>
  </si>
  <si>
    <t>12035|5030000303-ФзФ-мрв|AEC(рм3 сем. ч.ез.)</t>
  </si>
  <si>
    <t>Аерокосмическо инженерство и комуникации (3 сем.)\AEC(рм3 сем. ч.ез.)\ФзФ\мр</t>
  </si>
  <si>
    <t>Алгебра, геометрия и теория на числата (3 сем.)</t>
  </si>
  <si>
    <t>725250|40500533-ФМИ-мрв|АГТЧ(рм)</t>
  </si>
  <si>
    <t>АГТЧ(рм)</t>
  </si>
  <si>
    <t>40500533-ФМИ-мрв</t>
  </si>
  <si>
    <t>АГТЧ(рм)\ФМИ</t>
  </si>
  <si>
    <t>Алгебра, геометрия и теория на числата (3 сем.)\АГТЧ(рм)\ФМИ\мр</t>
  </si>
  <si>
    <t>АГТЧ(рм)\ФМИ\мр</t>
  </si>
  <si>
    <t>441088|40500472-ФМИ-брс|АД-М(рб)</t>
  </si>
  <si>
    <t>АД-М(рб)</t>
  </si>
  <si>
    <t>АД-М(рб)\ФМИ</t>
  </si>
  <si>
    <t>Анализ на данни\АД-М(рб)\ФМИ\бр</t>
  </si>
  <si>
    <t>АД-М(рб)\ФМИ\бр</t>
  </si>
  <si>
    <t>858896|40500472-ФМИ-брс|АД(рб)</t>
  </si>
  <si>
    <t>Артистични подходи в образованието (2 сем.)</t>
  </si>
  <si>
    <t>733662|10202343-ФП-мзв|Арт. подходи в обаз.(зм2 сем)</t>
  </si>
  <si>
    <t>Арт. подходи в обаз.(зм2 сем)</t>
  </si>
  <si>
    <t>10202343-ФП-мзв</t>
  </si>
  <si>
    <t>Арт. подходи в обаз.(зм2 сем)\ФП</t>
  </si>
  <si>
    <t>Артистични подходи в образованието (2 сем.)\Арт. подходи в обаз.(зм2 сем)\ФП\мз</t>
  </si>
  <si>
    <t>Арт. подходи в обаз.(зм2 сем)\ФП\мз</t>
  </si>
  <si>
    <t>733662|10202343-ФП-мзв|Арт. подходи в обр.(зм2 сем)</t>
  </si>
  <si>
    <t>Арт. подходи в обр.(зм2 сем)</t>
  </si>
  <si>
    <t>Арт. подходи в обр.(зм2 сем)\ФП</t>
  </si>
  <si>
    <t>Артистични подходи в образованието (2 сем.)\Арт. подходи в обр.(зм2 сем)\ФП\мз</t>
  </si>
  <si>
    <t>Арт. подходи в обр.(зм2 сем)\ФП\мз</t>
  </si>
  <si>
    <t>Артистични подходи в образованието (3 сем.)</t>
  </si>
  <si>
    <t>733663|10202353-ФП-мзв|Арт. подходи в обаз.(зм3 сем.)</t>
  </si>
  <si>
    <t>Арт. подходи в обаз.(зм3 сем.)</t>
  </si>
  <si>
    <t>10202353-ФП-мзв</t>
  </si>
  <si>
    <t>Арт. подходи в обаз.(зм3 сем.)\ФП</t>
  </si>
  <si>
    <t>Артистични подходи в образованието (3 сем.)\Арт. подходи в обаз.(зм3 сем.)\ФП\мз</t>
  </si>
  <si>
    <t>Арт. подходи в обаз.(зм3 сем.)\ФП\мз</t>
  </si>
  <si>
    <t>733663|10202353-ФП-мзв|Арт. подходи в обр.(зм3 сем.)</t>
  </si>
  <si>
    <t>Арт. подходи в обр.(зм3 сем.)</t>
  </si>
  <si>
    <t>Арт. подходи в обр.(зм3 сем.)\ФП</t>
  </si>
  <si>
    <t>Артистични подходи в образованието (3 сем.)\Арт. подходи в обр.(зм3 сем.)\ФП\мз</t>
  </si>
  <si>
    <t>Арт. подходи в обр.(зм3 сем.)\ФП\мз</t>
  </si>
  <si>
    <t>Астробиология</t>
  </si>
  <si>
    <t>928036|40301023-БФ-мрв|Астробиология(рм)</t>
  </si>
  <si>
    <t>Астробиология(рм)</t>
  </si>
  <si>
    <t>40301023-БФ-мрв</t>
  </si>
  <si>
    <t>Астробиология(рм)\БФ</t>
  </si>
  <si>
    <t>Астробиология\Астробиология(рм)\БФ\мр</t>
  </si>
  <si>
    <t>Астробиология(рм)\БФ\мр</t>
  </si>
  <si>
    <t>Астрономия и Астрофизика (с обучение на английски език)</t>
  </si>
  <si>
    <t>857502|40100903-ФзФ-мрв|АА(рм3 сем. ч.ез.)</t>
  </si>
  <si>
    <t>АА(рм3 сем. ч.ез.)</t>
  </si>
  <si>
    <t>40100903-ФзФ-мрв</t>
  </si>
  <si>
    <t>АА(рм3 сем. ч.ез.)\ФзФ</t>
  </si>
  <si>
    <t>Астрономия и Астрофизика (с обучение на английски език)\АА(рм3 сем. ч.ез.)\ФзФ\мр</t>
  </si>
  <si>
    <t>АА(рм3 сем. ч.ез.)\ФзФ\мр</t>
  </si>
  <si>
    <t>Бизнес администрация - развитие на човешките ресурси</t>
  </si>
  <si>
    <t>Бизнес администрация - развитие на човешките ресурси\БА-РЧР (на англ.ез.)(рм4 сем. ч.ез.)\СтФ\мр</t>
  </si>
  <si>
    <t>Бизнес администрация - развитие на човешките ресурси\БА-РЧР (на англ.ез.)(рм4 сем.)\СтФ\мр</t>
  </si>
  <si>
    <t>Бизнес администрация - развитие на човешките ресурси\БА-РЧР-АЕ (4 сем.)(рм4 сем. ч.ез.)\СтФ\мр</t>
  </si>
  <si>
    <t>Бизнес администрация - развитие на човешките ресурси\БА-РЧР-АЕ-4Л (4 сем)(рм4 сем.л ч.ез.)\СтФ\мр</t>
  </si>
  <si>
    <t>12805|30702213-СтФ-мрв|БА-РЧР (на англ.ез.)(рм2 сем ч.ез.)</t>
  </si>
  <si>
    <t>Бизнес администрация - развитие на човешките ресурси\БА-РЧР (на англ.ез.)(рм2 сем ч.ез.)\СтФ\мр</t>
  </si>
  <si>
    <t>12805|30702213-СтФ-мрв|БА-РЧР (на англ.ез.)(рм2 сем)</t>
  </si>
  <si>
    <t>Бизнес администрация - развитие на човешките ресурси\БА-РЧР (на англ.ез.)(рм2 сем)\СтФ\мр</t>
  </si>
  <si>
    <t>12805|30702213-СтФ-мрв|БА-РЧР-А-Л(рм2 семл ч.ез.)</t>
  </si>
  <si>
    <t>Бизнес администрация - развитие на човешките ресурси\БА-РЧР-А-Л(рм2 семл ч.ез.)\СтФ\мр</t>
  </si>
  <si>
    <t>12805|30702213-СтФ-мрв|БА-РЧР-АЕ (2 сем.)(рм2 сем ч.ез.)</t>
  </si>
  <si>
    <t>Бизнес администрация - развитие на човешките ресурси\БА-РЧР-АЕ (2 сем.)(рм2 сем ч.ез.)\СтФ\мр</t>
  </si>
  <si>
    <t>12805|30702213-СтФ-мрв|БА-РЧР-АЕ-Л (2 сем.)(рм2 семл ч.ез.)</t>
  </si>
  <si>
    <t>Бизнес администрация - развитие на човешките ресурси\БА-РЧР-АЕ-Л (2 сем.)(рм2 семл ч.ез.)\СтФ\мр</t>
  </si>
  <si>
    <t>12807|30702213-СтФ-мрв|БА-РЧР 2 сем.(рм2 сем)</t>
  </si>
  <si>
    <t>Бизнес администрация - развитие на човешките ресурси\БА-РЧР 2 сем.(рм2 сем)\СтФ\мр</t>
  </si>
  <si>
    <t>12807|30702213-СтФ-мрв|БА-РЧР(рм2 сем)</t>
  </si>
  <si>
    <t>Бизнес администрация - развитие на човешките ресурси\БА-РЧР(рм2 сем)\СтФ\мр</t>
  </si>
  <si>
    <t>12807|30702213-СтФ-мрв|БА-РЧР-Н (2 сем.)(рмнс)</t>
  </si>
  <si>
    <t>Бизнес администрация - развитие на човешките ресурси\БА-РЧР-Н (2 сем.)(рмнс)\СтФ\мр</t>
  </si>
  <si>
    <t>12814|30702213-СтФ-мрв|БА-РЧР(рм4 сем.)</t>
  </si>
  <si>
    <t>Бизнес администрация - развитие на човешките ресурси\БА-РЧР(рм4 сем.)\СтФ\мр</t>
  </si>
  <si>
    <t>Бизнес администрация – управление на човешките ресурси с обучение на английски език</t>
  </si>
  <si>
    <t>Бизнес администрация – управление на човешките ресурси с обучение на английски език\БА-УЧР-АЕ (3 сем.)(рм3 сем. ч.ез.)\СтФ\мр</t>
  </si>
  <si>
    <t>Бизнес администрация – управление на човешките ресурси с обучение на английски език\БА-УЧР-АЕ-Л (3 сем.)(рм3 сем.л ч.ез.)\СтФ\мр</t>
  </si>
  <si>
    <t>711115|30711423-СтФ-мрв|БА-УЧР-АЕ (4 сем.)(рм4 сем. ч.ез.)</t>
  </si>
  <si>
    <t>Бизнес администрация – управление на човешките ресурси с обучение на английски език\БА-УЧР-АЕ (4 сем.)(рм4 сем. ч.ез.)\СтФ\мр</t>
  </si>
  <si>
    <t>711115|30711423-СтФ-мрв|БА-УЧР-АЕ-Л (4 сем.)(рм4 сем.л ч.ез.)</t>
  </si>
  <si>
    <t>Бизнес администрация – управление на човешките ресурси с обучение на английски език\БА-УЧР-АЕ-Л (4 сем.)(рм4 сем.л ч.ез.)\СтФ\мр</t>
  </si>
  <si>
    <t>Бизнес администрация – управленски информационни системи с обучение на английски език</t>
  </si>
  <si>
    <t>Бизнес администрация – управленски информационни системи с обучение на английски език\БА-УИС-АЕ (3 сем.)(рм3 сем. ч.ез.)\СтФ\мр</t>
  </si>
  <si>
    <t>Бизнес администрация – управленски информационни системи с обучение на английски език\БА-УИС-АЕ-Л (3 сем.)(рм3 сем.л ч.ез.)\СтФ\мр</t>
  </si>
  <si>
    <t>711442|30711443-СтФ-мрв|БА-УИС-АЕ (4 сем.)(рм4 сем. ч.ез.)</t>
  </si>
  <si>
    <t>Бизнес администрация – управленски информационни системи с обучение на английски език\БА-УИС-АЕ (4 сем.)(рм4 сем. ч.ез.)\СтФ\мр</t>
  </si>
  <si>
    <t>711442|30711443-СтФ-мрв|БА-УИС-АЕ-Л (4 сем.)(рм4 сем.л ч.ез.)</t>
  </si>
  <si>
    <t>Бизнес администрация – управленски информационни системи с обучение на английски език\БА-УИС-АЕ-Л (4 сем.)(рм4 сем.л ч.ез.)\СтФ\мр</t>
  </si>
  <si>
    <t>Бизнес администрация-стратегическо управление (на английски език)</t>
  </si>
  <si>
    <t>Бизнес администрация-стратегическо управление (на английски език)\БА-СУ (на англ.ез.)(рм2 сем ч.ез.)\СтФ\мр</t>
  </si>
  <si>
    <t>Бизнес администрация-стратегическо управление (на английски език)\БА-СУ (на англ.ез.)(рм2 сем)\СтФ\мр</t>
  </si>
  <si>
    <t>Бизнес администрация-стратегическо управление (на английски език)\БА-СУ-А-Л(рм2 семл ч.ез.)\СтФ\мр</t>
  </si>
  <si>
    <t>Бизнес администрация-стратегическо управление (на английски език)\БА-СУ-АЕ (2 сем.)(рм2 сем ч.ез.)\СтФ\мр</t>
  </si>
  <si>
    <t>Бизнес администрация-стратегическо управление (на английски език)\БА-СУ-АЕ-Л (2 сем.)(рм2 семл ч.ез.)\СтФ\мр</t>
  </si>
  <si>
    <t>711184|30702163-СтФ-мрв|БА-СУ-АЕ (3 сем.)(рм3 сем. ч.ез.)</t>
  </si>
  <si>
    <t>Бизнес администрация-стратегическо управление (на английски език)\БА-СУ-АЕ (3 сем.)(рм3 сем. ч.ез.)\СтФ\мр</t>
  </si>
  <si>
    <t>711184|30702163-СтФ-мрв|БА-СУ-АЕ-Л (3 сем.)(рм3 сем.л ч.ез.)</t>
  </si>
  <si>
    <t>Бизнес администрация-стратегическо управление (на английски език)\БА-СУ-АЕ-Л (3 сем.)(рм3 сем.л ч.ез.)\СтФ\мр</t>
  </si>
  <si>
    <t>712372|30702163-СтФ-мрв|БА-СУ-АЕ-4сем-МБА(рм4 сем. ч.ез.)</t>
  </si>
  <si>
    <t>Бизнес администрация-стратегическо управление (на английски език)\БА-СУ-АЕ-4сем-МБА(рм4 сем. ч.ез.)\СтФ\мр</t>
  </si>
  <si>
    <t>712372|30702163-СтФ-мрв|БА-СУ-АЕ-4сем-МБА(рм4 сем.л ч.ез.)</t>
  </si>
  <si>
    <t>Бизнес администрация-стратегическо управление (на английски език)\БА-СУ-АЕ-4сем-МБА(рм4 сем.л ч.ез.)\СтФ\мр</t>
  </si>
  <si>
    <t>Биоаналитична и бионеорганична химия</t>
  </si>
  <si>
    <t>1001166|40200733-ФХФ-мрв|ББХ(рм3 сем.)</t>
  </si>
  <si>
    <t>ББХ(рм3 сем.)</t>
  </si>
  <si>
    <t>40200733-ФХФ-мрв</t>
  </si>
  <si>
    <t>ББХ(рм3 сем.)\ФХФ</t>
  </si>
  <si>
    <t>Биоаналитична и бионеорганична химия\ББХ(рм3 сем.)\ФХФ\мр</t>
  </si>
  <si>
    <t>ББХ(рм3 сем.)\ФХФ\мр</t>
  </si>
  <si>
    <t>Бранд комуникация (2 сем.)</t>
  </si>
  <si>
    <t>722639|30501483-ФЖМК-мзв|БК(зм)</t>
  </si>
  <si>
    <t>БК(зм)</t>
  </si>
  <si>
    <t>30501483-ФЖМК-мзв</t>
  </si>
  <si>
    <t>БК(зм)\ФЖМК</t>
  </si>
  <si>
    <t>Бранд комуникация (2 сем.)\БК(зм)\ФЖМК\мз</t>
  </si>
  <si>
    <t>БК(зм)\ФЖМК\мз</t>
  </si>
  <si>
    <t>Вирусология и вирусологичен контрол</t>
  </si>
  <si>
    <t>1113454|40301043-БФ-мрв|ВВК(рм)</t>
  </si>
  <si>
    <t>ВВК(рм)</t>
  </si>
  <si>
    <t>40301043-БФ-мрв</t>
  </si>
  <si>
    <t>ВВК(рм)\БФ</t>
  </si>
  <si>
    <t>Вирусология и вирусологичен контрол\ВВК(рм)\БФ\мр</t>
  </si>
  <si>
    <t>ВВК(рм)\БФ\мр</t>
  </si>
  <si>
    <t>1113455|40301043-БФ-мзв|ВВК-ЗО(зм)</t>
  </si>
  <si>
    <t>ВВК-ЗО(зм)</t>
  </si>
  <si>
    <t>40301043-БФ-мзв</t>
  </si>
  <si>
    <t>ВВК-ЗО(зм)\БФ</t>
  </si>
  <si>
    <t>Вирусология и вирусологичен контрол\ВВК-ЗО(зм)\БФ\мз</t>
  </si>
  <si>
    <t>ВВК-ЗО(зм)\БФ\мз</t>
  </si>
  <si>
    <t>12464|4040002332-ГГФ-мрв|ГМ(рмнсл)</t>
  </si>
  <si>
    <t>ГМ(рмнсл)</t>
  </si>
  <si>
    <t>4040002332-ГГФ-мрв</t>
  </si>
  <si>
    <t>ГМ(рмнсл)\ГГФ</t>
  </si>
  <si>
    <t>Геоморфология (3 сем.)\ГМ(рмнсл)\ГГФ\мр</t>
  </si>
  <si>
    <t>ГМ(рмнсл)\ГГФ\мр</t>
  </si>
  <si>
    <t>842520|4010011308-ФзФ-мзв|Гф(зм4 сем.)</t>
  </si>
  <si>
    <t>Гф(зм4 сем.)</t>
  </si>
  <si>
    <t>4010011308-ФзФ-мзв</t>
  </si>
  <si>
    <t>Гф(зм4 сем.)\ФзФ</t>
  </si>
  <si>
    <t>Геофизика (4 семестъра) \Гф(зм4 сем.)\ФзФ\мз</t>
  </si>
  <si>
    <t>Гф(зм4 сем.)\ФзФ\мз</t>
  </si>
  <si>
    <t>970224|3070007326-СтФ-мдв|ДМ-ДО (неспец.)(дмнс)</t>
  </si>
  <si>
    <t>ДМ-ДО (неспец.)(дмнс)</t>
  </si>
  <si>
    <t>3070007326-СтФ-мдв</t>
  </si>
  <si>
    <t>ДМ-ДО (неспец.)(дмнс)\СтФ</t>
  </si>
  <si>
    <t>Дигитален маркетинг (2 сем.)\ДМ-ДО (неспец.)(дмнс)\СтФ\мд</t>
  </si>
  <si>
    <t>ДМ-ДО (неспец.)(дмнс)\СтФ\мд</t>
  </si>
  <si>
    <t>970224|3070007326-СтФ-мдв|ДМ-ДО(дм2 сем)</t>
  </si>
  <si>
    <t>ДМ-ДО(дм2 сем)</t>
  </si>
  <si>
    <t>ДМ-ДО(дм2 сем)\СтФ</t>
  </si>
  <si>
    <t>Дигитален маркетинг (2 сем.)\ДМ-ДО(дм2 сем)\СтФ\мд</t>
  </si>
  <si>
    <t>ДМ-ДО(дм2 сем)\СтФ\мд</t>
  </si>
  <si>
    <t>Дигитални компетентности в чуждоезиковото обучение (2 сем)</t>
  </si>
  <si>
    <t>Дигитални компетентности в чуждоезиковото обучение (2 сем)\ДигКомпЧЕОан(рм2 сем ч.ез.)\ФКНФ\мр</t>
  </si>
  <si>
    <t>Дигитални компетентности в чуждоезиковото обучение (2 сем)\ДигКомпЧЕОан(рм2 семл ч.ез.)\ФКНФ\мр</t>
  </si>
  <si>
    <t>Дигитални компетентности в чуждоезиковото обучение (2 сем)\ДигКомпЧЕОнем(рм2 сем ч.ез.)\ФКНФ\мр</t>
  </si>
  <si>
    <t>550026|10302983-ФКНФ-мрв|ДигКомпЧЕОнем(рм2 семл ч.ез.)</t>
  </si>
  <si>
    <t>ДигКомпЧЕОнем(рм2 семл ч.ез.)</t>
  </si>
  <si>
    <t>ДигКомпЧЕОнем(рм2 семл ч.ез.)\ФКНФ</t>
  </si>
  <si>
    <t>Дигитални компетентности в чуждоезиковото обучение (2 сем)\ДигКомпЧЕОнем(рм2 семл ч.ез.)\ФКНФ\мр</t>
  </si>
  <si>
    <t>ДигКомпЧЕОнем(рм2 семл ч.ез.)\ФКНФ\мр</t>
  </si>
  <si>
    <t>Дигитални компетентности в чуждоезиковото обучение (2 сем)\ДигКомпЧЕОнем(рм2 семл)\ФКНФ\мр</t>
  </si>
  <si>
    <t>Дигитални компетентности в чуждоезиковото обучение (английски език/немски език/руски език/словашки език) - на английски език</t>
  </si>
  <si>
    <t>980153|10303273-ФКНФ-мрв|ДигКомпЧЕОан(рм2 сем ч.ез.)</t>
  </si>
  <si>
    <t>10303273-ФКНФ-мрв</t>
  </si>
  <si>
    <t>Дигитални компетентности в чуждоезиковото обучение (английски език/немски език/руски език/словашки език) - на английски език\ДигКомпЧЕОан(рм2 сем ч.ез.)\ФКНФ\мр</t>
  </si>
  <si>
    <t>765806|30501423-ФЖМК-мзв|ДМК(зм ч.ез.)</t>
  </si>
  <si>
    <t>ДМК(зм ч.ез.)</t>
  </si>
  <si>
    <t>30501423-ФЖМК-мзв</t>
  </si>
  <si>
    <t>ДМК(зм ч.ез.)\ФЖМК</t>
  </si>
  <si>
    <t>Дигитални медии и комуникация /на английски език/\ДМК(зм ч.ез.)\ФЖМК\мз</t>
  </si>
  <si>
    <t>ДМК(зм ч.ез.)\ФЖМК\мз</t>
  </si>
  <si>
    <t>Дизайн за дигитално учене</t>
  </si>
  <si>
    <t>Дизайн за дигитално учене\ДДУ(рм2 сем)\ФП\мр</t>
  </si>
  <si>
    <t>548104|10202273-ФП-мрв|ДДУ-М(рм2 сем)</t>
  </si>
  <si>
    <t>ДДУ-М(рм2 сем)</t>
  </si>
  <si>
    <t>ДДУ-М(рм2 сем)\ФП</t>
  </si>
  <si>
    <t>Дизайн за дигитално учене\ДДУ-М(рм2 сем)\ФП\мр</t>
  </si>
  <si>
    <t>ДДУ-М(рм2 сем)\ФП\мр</t>
  </si>
  <si>
    <t>765941|10202273-ФП-мрв|ДДУ-АЕ(рм2 сем ч.ез.)</t>
  </si>
  <si>
    <t>ДДУ-АЕ(рм2 сем ч.ез.)</t>
  </si>
  <si>
    <t>ДДУ-АЕ(рм2 сем ч.ез.)\ФП</t>
  </si>
  <si>
    <t>Дизайн за дигитално учене\ДДУ-АЕ(рм2 сем ч.ез.)\ФП\мр</t>
  </si>
  <si>
    <t>ДДУ-АЕ(рм2 сем ч.ез.)\ФП\мр</t>
  </si>
  <si>
    <t>765941|10202273-ФП-мрв|ДДУ-АЕ-М(рм2 сем ч.ез.)</t>
  </si>
  <si>
    <t>ДДУ-АЕ-М(рм2 сем ч.ез.)</t>
  </si>
  <si>
    <t>ДДУ-АЕ-М(рм2 сем ч.ез.)\ФП</t>
  </si>
  <si>
    <t>Дизайн за дигитално учене\ДДУ-АЕ-М(рм2 сем ч.ез.)\ФП\мр</t>
  </si>
  <si>
    <t>ДДУ-АЕ-М(рм2 сем ч.ез.)\ФП\мр</t>
  </si>
  <si>
    <t>843260|10202273-ФП-мрв|ДДУ(рм2 сем)</t>
  </si>
  <si>
    <t>843260|10202273-ФП-мрв|Дизайн за дигитално (рм2 семл)</t>
  </si>
  <si>
    <t>Дизайн за дигитално (рм2 семл)</t>
  </si>
  <si>
    <t>Дизайн за дигитално (рм2 семл)\ФП</t>
  </si>
  <si>
    <t>Дизайн за дигитално учене\Дизайн за дигитално (рм2 семл)\ФП\мр</t>
  </si>
  <si>
    <t>Дизайн за дигитално (рм2 семл)\ФП\мр</t>
  </si>
  <si>
    <t>845897|10202273-ФП-мрв|Дизайн за дигитално (рм3 сем.л)</t>
  </si>
  <si>
    <t>Дизайн за дигитално (рм3 сем.л)</t>
  </si>
  <si>
    <t>Дизайн за дигитално (рм3 сем.л)\ФП</t>
  </si>
  <si>
    <t>Дизайн за дигитално учене\Дизайн за дигитално (рм3 сем.л)\ФП\мр</t>
  </si>
  <si>
    <t>Дизайн за дигитално (рм3 сем.л)\ФП\мр</t>
  </si>
  <si>
    <t>Дизайн за дигитално учене\ДДУ(зм2 сем)\ФП\мз</t>
  </si>
  <si>
    <t>548106|10202273-ФП-мзв|ДДУ-М(зм2 сем)</t>
  </si>
  <si>
    <t>ДДУ-М(зм2 сем)</t>
  </si>
  <si>
    <t>ДДУ-М(зм2 сем)\ФП</t>
  </si>
  <si>
    <t>Дизайн за дигитално учене\ДДУ-М(зм2 сем)\ФП\мз</t>
  </si>
  <si>
    <t>ДДУ-М(зм2 сем)\ФП\мз</t>
  </si>
  <si>
    <t>Дизайн за дигитално учене\Дизайн за дигитално (зм2 семл)\ФП\мз</t>
  </si>
  <si>
    <t>Дизайн за дигитално учене\ДДУ-АЕ(зм2 сем ч.ез.)\ФП\мз</t>
  </si>
  <si>
    <t>548679|10202273-ФП-мзв|ДДУ-АЕ-М(зм2 сем ч.ез.)</t>
  </si>
  <si>
    <t>ДДУ-АЕ-М(зм2 сем ч.ез.)</t>
  </si>
  <si>
    <t>ДДУ-АЕ-М(зм2 сем ч.ез.)\ФП</t>
  </si>
  <si>
    <t>Дизайн за дигитално учене\ДДУ-АЕ-М(зм2 сем ч.ез.)\ФП\мз</t>
  </si>
  <si>
    <t>ДДУ-АЕ-М(зм2 сем ч.ез.)\ФП\мз</t>
  </si>
  <si>
    <t>843261|10202273-ФП-мзв|ДДУ(зм2 сем)</t>
  </si>
  <si>
    <t>845898|10202273-ФП-мзв|Дизайн за дигитално (зм3 сем.л)</t>
  </si>
  <si>
    <t>Дизайн за дигитално (зм3 сем.л)</t>
  </si>
  <si>
    <t>Дизайн за дигитално (зм3 сем.л)\ФП</t>
  </si>
  <si>
    <t>Дизайн за дигитално учене\Дизайн за дигитално (зм3 сем.л)\ФП\мз</t>
  </si>
  <si>
    <t>Дизайн за дигитално (зм3 сем.л)\ФП\мз</t>
  </si>
  <si>
    <t>952296|10202273-ФП-мдв|ДДУ(дм2 сем)</t>
  </si>
  <si>
    <t>ДДУ(дм2 сем)</t>
  </si>
  <si>
    <t>10202273-ФП-мдв</t>
  </si>
  <si>
    <t>ДДУ(дм2 сем)\ФП</t>
  </si>
  <si>
    <t>Дизайн за дигитално учене\ДДУ(дм2 сем)\ФП\мд</t>
  </si>
  <si>
    <t>ДДУ(дм2 сем)\ФП\мд</t>
  </si>
  <si>
    <t>Дизайн за дигитално учене (с обучение на английски език)</t>
  </si>
  <si>
    <t>952298|10202373-ФП-мдв|ДДУ-АЕ(дм2 сем ч.ез.)</t>
  </si>
  <si>
    <t>ДДУ-АЕ(дм2 сем ч.ез.)</t>
  </si>
  <si>
    <t>10202373-ФП-мдв</t>
  </si>
  <si>
    <t>ДДУ-АЕ(дм2 сем ч.ез.)\ФП</t>
  </si>
  <si>
    <t>Дизайн за дигитално учене (с обучение на английски език)\ДДУ-АЕ(дм2 сем ч.ез.)\ФП\мд</t>
  </si>
  <si>
    <t>ДДУ-АЕ(дм2 сем ч.ез.)\ФП\мд</t>
  </si>
  <si>
    <t>1001243|4020015301-ФХФ-мрв|ДСХТ англ.език (рм)(рм3 сем. ч.ез.)</t>
  </si>
  <si>
    <t>ДСХТ англ.език (рм)(рм3 сем. ч.ез.)</t>
  </si>
  <si>
    <t>ДСХТ англ.език (рм)(рм3 сем. ч.ез.)\ФХФ</t>
  </si>
  <si>
    <t>Дисперсни системи в химичните технологии\ДСХТ англ.език (рм)(рм3 сем. ч.ез.)\ФХФ\мр</t>
  </si>
  <si>
    <t>ДСХТ англ.език (рм)(рм3 сем. ч.ез.)\ФХФ\мр</t>
  </si>
  <si>
    <t>Език и науки за езика - на английски език (за завършили Английска филология) (2 сем.)</t>
  </si>
  <si>
    <t>972394|20104083-ФКНФ-мрв|ЕиНЕ2(рм2 сем ч.ез.)</t>
  </si>
  <si>
    <t>ЕиНЕ2(рм2 сем ч.ез.)</t>
  </si>
  <si>
    <t>20104083-ФКНФ-мрв</t>
  </si>
  <si>
    <t>ЕиНЕ2(рм2 сем ч.ез.)\ФКНФ</t>
  </si>
  <si>
    <t>Език и науки за езика - на английски език (за завършили Английска филология) (2 сем.)\ЕиНЕ2(рм2 сем ч.ез.)\ФКНФ\мр</t>
  </si>
  <si>
    <t>ЕиНЕ2(рм2 сем ч.ез.)\ФКНФ\мр</t>
  </si>
  <si>
    <t>Език и науки за езика - на английски език (за незавършили английска филология) (4 сем.)</t>
  </si>
  <si>
    <t>972395|20104093-ФКНФ-мрв|ЕиНЕ4(рм4</t>
  </si>
  <si>
    <t>ЕиНЕ4(рм4</t>
  </si>
  <si>
    <t>20104093-ФКНФ-мрв</t>
  </si>
  <si>
    <t>ЕиНЕ4(рм4\ФКНФ</t>
  </si>
  <si>
    <t>Език и науки за езика - на английски език (за незавършили английска филология) (4 сем.)\ЕиНЕ4(рм4\ФКНФ\мр</t>
  </si>
  <si>
    <t>ЕиНЕ4(рм4\ФКНФ\мр</t>
  </si>
  <si>
    <t>972395|20104093-ФКНФ-мрв|ЕиНЕ4(рм4 сем. ч.ез.)</t>
  </si>
  <si>
    <t>ЕиНЕ4(рм4 сем. ч.ез.)</t>
  </si>
  <si>
    <t>ЕиНЕ4(рм4 сем. ч.ез.)\ФКНФ</t>
  </si>
  <si>
    <t>Език и науки за езика - на английски език (за незавършили английска филология) (4 сем.)\ЕиНЕ4(рм4 сем. ч.ез.)\ФКНФ\мр</t>
  </si>
  <si>
    <t>ЕиНЕ4(рм4 сем. ч.ез.)\ФКНФ\мр</t>
  </si>
  <si>
    <t>Език, култура, превод (португалски език)-2 сем.</t>
  </si>
  <si>
    <t>766114|20104013-ФКНФ-мрв|ЕКП (порт.</t>
  </si>
  <si>
    <t>ЕКП (порт.</t>
  </si>
  <si>
    <t>20104013-ФКНФ-мрв</t>
  </si>
  <si>
    <t>ЕКП (порт.\ФКНФ</t>
  </si>
  <si>
    <t>Език, култура, превод (португалски език)-2 сем.\ЕКП (порт.\ФКНФ\мр</t>
  </si>
  <si>
    <t>ЕКП (порт.\ФКНФ\мр</t>
  </si>
  <si>
    <t>766114|20104013-ФКНФ-мрв|ЕКП (порт. ез.)(рм2 сем)</t>
  </si>
  <si>
    <t>ЕКП (порт. ез.)(рм2 сем)</t>
  </si>
  <si>
    <t>ЕКП (порт. ез.)(рм2 сем)\ФКНФ</t>
  </si>
  <si>
    <t>Език, култура, превод (португалски език)-2 сем.\ЕКП (порт. ез.)(рм2 сем)\ФКНФ\мр</t>
  </si>
  <si>
    <t>ЕКП (порт. ез.)(рм2 сем)\ФКНФ\мр</t>
  </si>
  <si>
    <t>927672|10202133-ФНОИ-мзв|ЖЕОзо(зм3 сем.)</t>
  </si>
  <si>
    <t>ЖЕОзо(зм3 сем.)</t>
  </si>
  <si>
    <t>10202133-ФНОИ-мзв</t>
  </si>
  <si>
    <t>ЖЕОзо(зм3 сем.)\ФНОИ</t>
  </si>
  <si>
    <t>Жестов език в образованието\ЖЕОзо(зм3 сем.)\ФНОИ\мз</t>
  </si>
  <si>
    <t>ЖЕОзо(зм3 сем.)\ФНОИ\мз</t>
  </si>
  <si>
    <t>549414|10202283-ФНОИ-мрв|ЖЕБО(рм2 сем)</t>
  </si>
  <si>
    <t>ЖЕБО(рм2 сем)</t>
  </si>
  <si>
    <t>10202283-ФНОИ-мрв</t>
  </si>
  <si>
    <t>ЖЕБО(рм2 сем)\ФНОИ</t>
  </si>
  <si>
    <t>Жестов език и биолингвистично образование (2 сем)-Модерна\ЖЕБО(рм2 сем)\ФНОИ\мр</t>
  </si>
  <si>
    <t>ЖЕБО(рм2 сем)\ФНОИ\мр</t>
  </si>
  <si>
    <t>Застрахователен и социален риск мениджмънт</t>
  </si>
  <si>
    <t>956906|30808533-СтФ-мзв|ЗСРМ неспец.(змнс)</t>
  </si>
  <si>
    <t>ЗСРМ неспец.(змнс)</t>
  </si>
  <si>
    <t>30808533-СтФ-мзв</t>
  </si>
  <si>
    <t>ЗСРМ неспец.(змнс)\СтФ</t>
  </si>
  <si>
    <t>Застрахователен и социален риск мениджмънт\ЗСРМ неспец.(змнс)\СтФ\мз</t>
  </si>
  <si>
    <t>ЗСРМ неспец.(змнс)\СтФ\мз</t>
  </si>
  <si>
    <t>956906|30808533-СтФ-мзв|ЗСРМ(зм2 сем)</t>
  </si>
  <si>
    <t>ЗСРМ(зм2 сем)</t>
  </si>
  <si>
    <t>ЗСРМ(зм2 сем)\СтФ</t>
  </si>
  <si>
    <t>Застрахователен и социален риск мениджмънт\ЗСРМ(зм2 сем)\СтФ\мз</t>
  </si>
  <si>
    <t>ЗСРМ(зм2 сем)\СтФ\мз</t>
  </si>
  <si>
    <t>833546|4060003313-ФМИ-мрв|ЗИКСМна ан</t>
  </si>
  <si>
    <t>ЗИКСМна ан</t>
  </si>
  <si>
    <t>ЗИКСМна ан\ФМИ</t>
  </si>
  <si>
    <t>Защита на информацията в компютърните системи и мрежи\ЗИКСМна ан\ФМИ\мр</t>
  </si>
  <si>
    <t>ЗИКСМна ан\ФМИ\мр</t>
  </si>
  <si>
    <t>Изкуства и STEAM образование (2 сем.)</t>
  </si>
  <si>
    <t>725801|10303143-ФНОИ-мрв|ИСО(рм2 сем)</t>
  </si>
  <si>
    <t>ИСО(рм2 сем)</t>
  </si>
  <si>
    <t>10303143-ФНОИ-мрв</t>
  </si>
  <si>
    <t>ИСО(рм2 сем)\ФНОИ</t>
  </si>
  <si>
    <t>Изкуства и STEAM образование (2 сем.)\ИСО(рм2 сем)\ФНОИ\мр</t>
  </si>
  <si>
    <t>ИСО(рм2 сем)\ФНОИ\мр</t>
  </si>
  <si>
    <t>973272|4060003305-ФМИ-мрв|ИИ-4сем.(рм4 сем.л)</t>
  </si>
  <si>
    <t>ИИ-4сем.(рм4 сем.л)</t>
  </si>
  <si>
    <t>ИИ-4сем.(рм4 сем.л)\ФМИ</t>
  </si>
  <si>
    <t>Изкуствен интелект\ИИ-4сем.(рм4 сем.л)\ФМИ\мр</t>
  </si>
  <si>
    <t>ИИ-4сем.(рм4 сем.л)\ФМИ\мр</t>
  </si>
  <si>
    <t>Изкуствен интелект за бизнес и финанси</t>
  </si>
  <si>
    <t>Изкуствен интелект за бизнес и финанси\Изкуствен интелект (рм2 сем)\СтФ\мр</t>
  </si>
  <si>
    <t>628358|30807523-СтФ-мрв|ИИБФ - 4 сем.(рм4 сем.)</t>
  </si>
  <si>
    <t>Изкуствен интелект за бизнес и финанси\ИИБФ - 4 сем.(рм4 сем.)\СтФ\мр</t>
  </si>
  <si>
    <t>Израел: история и геополитика</t>
  </si>
  <si>
    <t>1053047|20201123-ИФ-мрв|Израел иг (рм2 сем)</t>
  </si>
  <si>
    <t>Израел иг (рм2 сем)</t>
  </si>
  <si>
    <t>20201123-ИФ-мрв</t>
  </si>
  <si>
    <t>Израел иг (рм2 сем)\ИФ</t>
  </si>
  <si>
    <t>Израел: история и геополитика\Израел иг (рм2 сем)\ИФ\мр</t>
  </si>
  <si>
    <t>Израел иг (рм2 сем)\ИФ\мр</t>
  </si>
  <si>
    <t>1053048|20201123-ИФ-мрв|Израел - англ. език(рм2 сем ч.ез.)</t>
  </si>
  <si>
    <t>Израел - англ. език(рм2 сем ч.ез.)</t>
  </si>
  <si>
    <t>Израел - англ. език(рм2 сем ч.ез.)\ИФ</t>
  </si>
  <si>
    <t>Израел: история и геополитика\Израел - англ. език(рм2 сем ч.ез.)\ИФ\мр</t>
  </si>
  <si>
    <t>Израел - англ. език(рм2 сем ч.ез.)\ИФ\мр</t>
  </si>
  <si>
    <t>12098|4020001301-ФХФ-мрв|ИХ-че(рм ч.ез.)</t>
  </si>
  <si>
    <t>ИХ-че(рм ч.ез.)</t>
  </si>
  <si>
    <t>ИХ-че(рм ч.ез.)\ФХФ</t>
  </si>
  <si>
    <t>Изчислителна химия (3 семестъра)\ИХ-че(рм ч.ез.)\ФХФ\мр</t>
  </si>
  <si>
    <t>ИХ-че(рм ч.ез.)\ФХФ\мр</t>
  </si>
  <si>
    <t>1074814|30803932-СтФ-брс|ИФ (френска)(рб)</t>
  </si>
  <si>
    <t>1074814|30803932-СтФ-брс|ИФ(френска)(рб)</t>
  </si>
  <si>
    <t>12897|30808713 -СтФ-мзв|ИФ(зм2 сем)</t>
  </si>
  <si>
    <t>30808713 -СтФ-мзв</t>
  </si>
  <si>
    <t>Икономика и финанси\ИФ(зм2 сем)\СтФ\мз</t>
  </si>
  <si>
    <t>12897|30808713 -СтФ-мзв|ИФ(зм2 семл)</t>
  </si>
  <si>
    <t>Икономика и финанси\ИФ(зм2 семл)\СтФ\мз</t>
  </si>
  <si>
    <t>12897|30808713 -СтФ-мзв|ИФ(змнс)</t>
  </si>
  <si>
    <t>Икономика и финанси\ИФ(змнс)\СтФ\мз</t>
  </si>
  <si>
    <t>12897|30808713 -СтФ-мзв|ИФ(змнсл)</t>
  </si>
  <si>
    <t>Икономика и финанси\ИФ(змнсл)\СтФ\мз</t>
  </si>
  <si>
    <t>12897|30808713 -СтФ-мзв|ИФ-ЗО зимен(зм2 сем)</t>
  </si>
  <si>
    <t>Икономика и финанси\ИФ-ЗО зимен(зм2 сем)\СтФ\мз</t>
  </si>
  <si>
    <t>12897|30808713 -СтФ-мзв|ИФ-ЗО летен(зм2 семл)</t>
  </si>
  <si>
    <t>Икономика и финанси\ИФ-ЗО летен(зм2 семл)\СтФ\мз</t>
  </si>
  <si>
    <t>Иновации в училищното физическо възпитание (2 сем)</t>
  </si>
  <si>
    <t>862791|10302943-ФНОИ-мрв|ИУФВ(рм2 сем)</t>
  </si>
  <si>
    <t>ИУФВ(рм2 сем)</t>
  </si>
  <si>
    <t>10302943-ФНОИ-мрв</t>
  </si>
  <si>
    <t>ИУФВ(рм2 сем)\ФНОИ</t>
  </si>
  <si>
    <t>Иновации в училищното физическо възпитание (2 сем)\ИУФВ(рм2 сем)\ФНОИ\мр</t>
  </si>
  <si>
    <t>ИУФВ(рм2 сем)\ФНОИ\мр</t>
  </si>
  <si>
    <t>Иновации в училищното физическо възпитание (2 сем)\ИУФВ(зм2 сем)\ФНОИ\мз</t>
  </si>
  <si>
    <t>549415|10302943-ФНОИ-мзв|ИУФВ-M(зм2 сем)</t>
  </si>
  <si>
    <t>ИУФВ-M(зм2 сем)</t>
  </si>
  <si>
    <t>ИУФВ-M(зм2 сем)\ФНОИ</t>
  </si>
  <si>
    <t>Иновации в училищното физическо възпитание (2 сем)\ИУФВ-M(зм2 сем)\ФНОИ\мз</t>
  </si>
  <si>
    <t>ИУФВ-M(зм2 сем)\ФНОИ\мз</t>
  </si>
  <si>
    <t>954903|10302943-ФНОИ-мзв|ИУФВ(зм2 сем)</t>
  </si>
  <si>
    <t>980148|10302933-ФМИ-мдв|ИМЗПМКМИТ(дм)</t>
  </si>
  <si>
    <t>ИМЗПМКМИТ(дм)</t>
  </si>
  <si>
    <t>10302933-ФМИ-мдв</t>
  </si>
  <si>
    <t>ИМЗПМКМИТ(дм)\ФМИ</t>
  </si>
  <si>
    <t>Иновации и мултидисциплинарност в задължителната подготовка по математика, компютърно моделиране и информационни технологии (2 сен.)\ИМЗПМКМИТ(дм)\ФМИ\мд</t>
  </si>
  <si>
    <t>ИМЗПМКМИТ(дм)\ФМИ\мд</t>
  </si>
  <si>
    <t>Интелектуална собственост и технологичен трансфер с обучение на английски език (2 сем.)</t>
  </si>
  <si>
    <t>725252|30711493-СтФ-мрв|ИСТТ(рм2 сем ч.ез.)</t>
  </si>
  <si>
    <t>ИСТТ(рм2 сем ч.ез.)</t>
  </si>
  <si>
    <t>30711493-СтФ-мрв</t>
  </si>
  <si>
    <t>ИСТТ(рм2 сем ч.ез.)\СтФ</t>
  </si>
  <si>
    <t>Интелектуална собственост и технологичен трансфер с обучение на английски език (2 сем.)\ИСТТ(рм2 сем ч.ез.)\СтФ\мр</t>
  </si>
  <si>
    <t>ИСТТ(рм2 сем ч.ез.)\СтФ\мр</t>
  </si>
  <si>
    <t>Интелигентна аналитика (2 сем.)</t>
  </si>
  <si>
    <t>Интелигентна аналитика (2 сем.)\Интелигентна аналити(рмс)\ФХФ\мр</t>
  </si>
  <si>
    <t>11265|1020005315-ФП-мзв|ИКТО(зм3 сем.л)</t>
  </si>
  <si>
    <t>ИКТО(зм3 сем.л)</t>
  </si>
  <si>
    <t>ИКТО(зм3 сем.л)\ФП</t>
  </si>
  <si>
    <t>Информационни и комуникационни технологии в образованието\ИКТО(зм3 сем.л)\ФП\мз</t>
  </si>
  <si>
    <t>ИКТО(зм3 сем.л)\ФП\мз</t>
  </si>
  <si>
    <t>10923|3010005309-ФФ-мрв|Матилда(рм3 сем.л ч.ез.)</t>
  </si>
  <si>
    <t>Матилда(рм3 сем.л ч.ез.)</t>
  </si>
  <si>
    <t>Матилда(рм3 сем.л ч.ез.)\ФФ</t>
  </si>
  <si>
    <t>История на жените и половете /Матилда/\Матилда(рм3 сем.л ч.ез.)\ФФ\мр</t>
  </si>
  <si>
    <t>Матилда(рм3 сем.л ч.ез.)\ФФ\мр</t>
  </si>
  <si>
    <t>Квантова физика и физика на ядрото и елементарните частици (на английски език)</t>
  </si>
  <si>
    <t>857500|40100892-ФзФ-брс|КФФЯЕЧ(рб ч.ез.)</t>
  </si>
  <si>
    <t>КФФЯЕЧ(рб ч.ез.)</t>
  </si>
  <si>
    <t>40100892-ФзФ-брс</t>
  </si>
  <si>
    <t>КФФЯЕЧ(рб ч.ез.)\ФзФ</t>
  </si>
  <si>
    <t>Квантова физика и физика на ядрото и елементарните частици (на английски език)\КФФЯЕЧ(рб ч.ез.)\ФзФ\бр</t>
  </si>
  <si>
    <t>КФФЯЕЧ(рб ч.ез.)\ФзФ\бр</t>
  </si>
  <si>
    <t>Квантови технологии (с обучение на английски език)</t>
  </si>
  <si>
    <t>857501|40100883-ФзФ-мрв|Кв. Тех.(рм3 сем. ч.ез.)</t>
  </si>
  <si>
    <t>Кв. Тех.(рм3 сем. ч.ез.)</t>
  </si>
  <si>
    <t>40100883-ФзФ-мрв</t>
  </si>
  <si>
    <t>Кв. Тех.(рм3 сем. ч.ез.)\ФзФ</t>
  </si>
  <si>
    <t>Квантови технологии (с обучение на английски език)\Кв. Тех.(рм3 сем. ч.ез.)\ФзФ\мр</t>
  </si>
  <si>
    <t>Кв. Тех.(рм3 сем. ч.ез.)\ФзФ\мр</t>
  </si>
  <si>
    <t>Комуникация: език, литература, медии (английски език)-2 сем.</t>
  </si>
  <si>
    <t>732356|20103993-ФКНФ-мрв|КоЕзЛиМе-спец(рм2 сем ч.ез.)</t>
  </si>
  <si>
    <t>КоЕзЛиМе-спец(рм2 сем ч.ез.)</t>
  </si>
  <si>
    <t>20103993-ФКНФ-мрв</t>
  </si>
  <si>
    <t>КоЕзЛиМе-спец(рм2 сем ч.ез.)\ФКНФ</t>
  </si>
  <si>
    <t>Комуникация: език, литература, медии (английски език)-2 сем.\КоЕзЛиМе-спец(рм2 сем ч.ез.)\ФКНФ\мр</t>
  </si>
  <si>
    <t>КоЕзЛиМе-спец(рм2 сем ч.ез.)\ФКНФ\мр</t>
  </si>
  <si>
    <t>777107|20103993-ФКНФ-мзв|КоЕзЛиМе-спец(зм2 сем ч.ез.)</t>
  </si>
  <si>
    <t>КоЕзЛиМе-спец(зм2 сем ч.ез.)</t>
  </si>
  <si>
    <t>20103993-ФКНФ-мзв</t>
  </si>
  <si>
    <t>КоЕзЛиМе-спец(зм2 сем ч.ез.)\ФКНФ</t>
  </si>
  <si>
    <t>Комуникация: език, литература, медии (английски език)-2 сем.\КоЕзЛиМе-спец(зм2 сем ч.ез.)\ФКНФ\мз</t>
  </si>
  <si>
    <t>КоЕзЛиМе-спец(зм2 сем ч.ез.)\ФКНФ\мз</t>
  </si>
  <si>
    <t>777108|20103993-ФКНФ-мдв|КоЕзЛиМе-спец(дм2 сем ч.ез.)</t>
  </si>
  <si>
    <t>КоЕзЛиМе-спец(дм2 сем ч.ез.)</t>
  </si>
  <si>
    <t>20103993-ФКНФ-мдв</t>
  </si>
  <si>
    <t>КоЕзЛиМе-спец(дм2 сем ч.ез.)\ФКНФ</t>
  </si>
  <si>
    <t>Комуникация: език, литература, медии (английски език)-2 сем.\КоЕзЛиМе-спец(дм2 сем ч.ез.)\ФКНФ\мд</t>
  </si>
  <si>
    <t>КоЕзЛиМе-спец(дм2 сем ч.ез.)\ФКНФ\мд</t>
  </si>
  <si>
    <t>Комуникация: език, литература, медии-на английски (3 сем)</t>
  </si>
  <si>
    <t>Комуникация: език, литература, медии-на английски (3 сем)\КоЕзЛиМе(рмнс ч.ез.)\ФКНФ\мр</t>
  </si>
  <si>
    <t>Комуникация: език, литература, медии-на английски (3 сем)\КоЕзЛиМе(рмнс)\ФКНФ\мр</t>
  </si>
  <si>
    <t>Комуникация: език, литература, медии-на английски (3 сем)\КоЕзЛиМе-спец(рмс ч.ез.)\ФКНФ\мр</t>
  </si>
  <si>
    <t>Комуникация: език, литература, медии-на английски (3 сем)\КоЕзЛиМе(змнс ч.ез.)\ФКНФ\мз</t>
  </si>
  <si>
    <t>Комуникация: език, литература, медии-на английски (3 сем)\КоЕзЛиМе(змнс)\ФКНФ\мз</t>
  </si>
  <si>
    <t>Комуникация: език, литература, медии-на английски (3 сем)\КоЕзЛиМе(змнсл)\ФКНФ\мз</t>
  </si>
  <si>
    <t>Комуникация: език, литература, медии-на английски (3 сем)\КоЕзЛиМе-спец(змс ч.ез.)\ФКНФ\мз</t>
  </si>
  <si>
    <t>766243|2010001316-ФКНФ-мдв|КоЕзЛиМе(дмнс ч.ез.)</t>
  </si>
  <si>
    <t>КоЕзЛиМе(дмнс ч.ез.)</t>
  </si>
  <si>
    <t>2010001316-ФКНФ-мдв</t>
  </si>
  <si>
    <t>КоЕзЛиМе(дмнс ч.ез.)\ФКНФ</t>
  </si>
  <si>
    <t>Комуникация: език, литература, медии-на английски (3 сем)\КоЕзЛиМе(дмнс ч.ез.)\ФКНФ\мд</t>
  </si>
  <si>
    <t>КоЕзЛиМе(дмнс ч.ез.)\ФКНФ\мд</t>
  </si>
  <si>
    <t>Креативна география в училищното образование</t>
  </si>
  <si>
    <t>929193|40401053-ГГФ-мрв|КГУО(рм2 сем)</t>
  </si>
  <si>
    <t>КГУО(рм2 сем)</t>
  </si>
  <si>
    <t>40401053-ГГФ-мрв</t>
  </si>
  <si>
    <t>КГУО(рм2 сем)\ГГФ</t>
  </si>
  <si>
    <t>Креативна география в училищното образование\КГУО(рм2 сем)\ГГФ\мр</t>
  </si>
  <si>
    <t>КГУО(рм2 сем)\ГГФ\мр</t>
  </si>
  <si>
    <t>Културна антропология и културно наследство (3 сем.)</t>
  </si>
  <si>
    <t>710656|30100843-ФФ-мрв|КАКН(рм3 сем.)</t>
  </si>
  <si>
    <t>КАКН(рм3 сем.)</t>
  </si>
  <si>
    <t>30100843-ФФ-мрв</t>
  </si>
  <si>
    <t>КАКН(рм3 сем.)\ФФ</t>
  </si>
  <si>
    <t>Културна антропология и културно наследство (3 сем.)\КАКН(рм3 сем.)\ФФ\мр</t>
  </si>
  <si>
    <t>КАКН(рм3 сем.)\ФФ\мр</t>
  </si>
  <si>
    <t>Културни връзки и геополитика на Европейския съюз-на английски (2 сем.)</t>
  </si>
  <si>
    <t>795943|30300843-ФКНФ-мрв|КВиГЕС(рм2 сем ч.ез.)</t>
  </si>
  <si>
    <t>КВиГЕС(рм2 сем ч.ез.)</t>
  </si>
  <si>
    <t>30300843-ФКНФ-мрв</t>
  </si>
  <si>
    <t>КВиГЕС(рм2 сем ч.ез.)\ФКНФ</t>
  </si>
  <si>
    <t>Културни връзки и геополитика на Европейския съюз-на английски (2 сем.)\КВиГЕС(рм2 сем ч.ез.)\ФКНФ\мр</t>
  </si>
  <si>
    <t>КВиГЕС(рм2 сем ч.ез.)\ФКНФ\мр</t>
  </si>
  <si>
    <t>704950|40500523-ФМИ-мрв|ММИ-4сем.(рм4 сем.)</t>
  </si>
  <si>
    <t>ММИ-4сем.(рм4 сем.)</t>
  </si>
  <si>
    <t>ММИ-4сем.(рм4 сем.)\ФМИ</t>
  </si>
  <si>
    <t>Математическо моделиране в икономиката (4 сем.)\ММИ-4сем.(рм4 сем.)\ФМИ\мр</t>
  </si>
  <si>
    <t>ММИ-4сем.(рм4 сем.)\ФМИ\мр</t>
  </si>
  <si>
    <t>839654|10201922-ФНОИ-брс|МПХК(а.е.)(рб2 сем ч.ез.)</t>
  </si>
  <si>
    <t>МПХК(а.е.)(рб2 сем ч.ез.)</t>
  </si>
  <si>
    <t>МПХК(а.е.)(рб2 сем ч.ез.)\ФНОИ</t>
  </si>
  <si>
    <t>Медийна педагогика и художествена комуникация\МПХК(а.е.)(рб2 сем ч.ез.)\ФНОИ\бр</t>
  </si>
  <si>
    <t>МПХК(а.е.)(рб2 сем ч.ез.)\ФНОИ\бр</t>
  </si>
  <si>
    <t>Международен финансов мениджмънт</t>
  </si>
  <si>
    <t>456845|30808733-СтФ-мрв|МФМ на АЕ - неик.(рмнс ч.ез.)</t>
  </si>
  <si>
    <t>30808733-СтФ-мрв</t>
  </si>
  <si>
    <t>Международен финансов мениджмънт\МФМ на АЕ - неик.(рмнс ч.ез.)\СтФ\мр</t>
  </si>
  <si>
    <t>456845|30808733-СтФ-мрв|МФМ на АЕ(рм3 сем. ч.ез.)</t>
  </si>
  <si>
    <t>Международен финансов мениджмънт\МФМ на АЕ(рм3 сем. ч.ез.)\СтФ\мр</t>
  </si>
  <si>
    <t>Международна търговия и инвестиции</t>
  </si>
  <si>
    <t>956907|30808512-СтФ-брс|МТИАЕ(рб ч.ез.)</t>
  </si>
  <si>
    <t>МТИАЕ(рб ч.ез.)</t>
  </si>
  <si>
    <t>30808512-СтФ-брс</t>
  </si>
  <si>
    <t>МТИАЕ(рб ч.ез.)\СтФ</t>
  </si>
  <si>
    <t>Международна търговия и инвестиции\МТИАЕ(рб ч.ез.)\СтФ\бр</t>
  </si>
  <si>
    <t>МТИАЕ(рб ч.ез.)\СтФ\бр</t>
  </si>
  <si>
    <t>Международни организации и многостранна дипломация (2 сем.)</t>
  </si>
  <si>
    <t>733497|30300823-ЮФ-мрв|МОМД(рм2 сем)</t>
  </si>
  <si>
    <t>МОМД(рм2 сем)</t>
  </si>
  <si>
    <t>30300823-ЮФ-мрв</t>
  </si>
  <si>
    <t>МОМД(рм2 сем)\ЮФ</t>
  </si>
  <si>
    <t>Международни организации и многостранна дипломация (2 сем.)\МОМД(рм2 сем)\ЮФ\мр</t>
  </si>
  <si>
    <t>МОМД(рм2 сем)\ЮФ\мр</t>
  </si>
  <si>
    <t>Мениджмънт на услуги и организации за неформално образование</t>
  </si>
  <si>
    <t>11243|10100113-ФП-мзв|Мениджмънт</t>
  </si>
  <si>
    <t>10100113-ФП-мзв</t>
  </si>
  <si>
    <t>Мениджмънт на услуги и организации за неформално образование\Мениджмънт\ФП\мз</t>
  </si>
  <si>
    <t>11243|10100113-ФП-мзв|Мениджмънт на услуги(змс)</t>
  </si>
  <si>
    <t>Мениджмънт на услуги и организации за неформално образование\Мениджмънт на услуги(змс)\ФП\мз</t>
  </si>
  <si>
    <t>11245|10100113-ФП-мзв|Мениджмънт</t>
  </si>
  <si>
    <t>11245|10100113-ФП-мзв|Мениджмънт на услуги(змнс)</t>
  </si>
  <si>
    <t>Мениджмънт на услуги и организации за неформално образование\Мениджмънт на услуги(змнс)\ФП\мз</t>
  </si>
  <si>
    <t>Методика на чуждоезиковото обучение в междукултурна среда</t>
  </si>
  <si>
    <t>983437|10303263-ФКНФ-мрв|МЧОвМС(кит.)(рм2 сем)</t>
  </si>
  <si>
    <t>МЧОвМС(кит.)(рм2 сем)</t>
  </si>
  <si>
    <t>10303263-ФКНФ-мрв</t>
  </si>
  <si>
    <t>МЧОвМС(кит.)(рм2 сем)\ФКНФ</t>
  </si>
  <si>
    <t>Методика на чуждоезиковото обучение в междукултурна среда\МЧОвМС(кит.)(рм2 сем)\ФКНФ\мр</t>
  </si>
  <si>
    <t>МЧОвМС(кит.)(рм2 сем)\ФКНФ\мр</t>
  </si>
  <si>
    <t>983437|10303263-ФКНФ-мрв|МЧОвМС(яп.)(рм2 сем)</t>
  </si>
  <si>
    <t>МЧОвМС(яп.)(рм2 сем)</t>
  </si>
  <si>
    <t>МЧОвМС(яп.)(рм2 сем)\ФКНФ</t>
  </si>
  <si>
    <t>Методика на чуждоезиковото обучение в междукултурна среда\МЧОвМС(яп.)(рм2 сем)\ФКНФ\мр</t>
  </si>
  <si>
    <t>МЧОвМС(яп.)(рм2 сем)\ФКНФ\мр</t>
  </si>
  <si>
    <t>Методика на чуждоезиковото обучение – китайски език</t>
  </si>
  <si>
    <t>1042751|10303392-ФКНФ-брс|МЧО-кит.е.(рбФБ)</t>
  </si>
  <si>
    <t>МЧО-кит.е.(рбФБ)</t>
  </si>
  <si>
    <t>10303392-ФКНФ-брс</t>
  </si>
  <si>
    <t>МЧО-кит.е.(рбФБ)\ФКНФ</t>
  </si>
  <si>
    <t>Методика на чуждоезиковото обучение – китайски език\МЧО-кит.е.(рбФБ)\ФКНФ\бр</t>
  </si>
  <si>
    <t>МЧО-кит.е.(рбФБ)\ФКНФ\бр</t>
  </si>
  <si>
    <t>Методика на чуждоезиковото обучение – японски език</t>
  </si>
  <si>
    <t>1042752|10303402-ФКНФ-брс|МЧО-яп.ез.(рбФБ)</t>
  </si>
  <si>
    <t>МЧО-яп.ез.(рбФБ)</t>
  </si>
  <si>
    <t>10303402-ФКНФ-брс</t>
  </si>
  <si>
    <t>МЧО-яп.ез.(рбФБ)\ФКНФ</t>
  </si>
  <si>
    <t>Методика на чуждоезиковото обучение – японски език\МЧО-яп.ез.(рбФБ)\ФКНФ\бр</t>
  </si>
  <si>
    <t>МЧО-яп.ез.(рбФБ)\ФКНФ\бр</t>
  </si>
  <si>
    <t>833547|4060003315-ФМИ-мрв|Мех&amp;роб-на англ.аз.(рм ч.ез.)</t>
  </si>
  <si>
    <t>Мех&amp;роб-на англ.аз.(рм ч.ез.)</t>
  </si>
  <si>
    <t>Мех&amp;роб-на англ.аз.(рм ч.ез.)\ФМИ</t>
  </si>
  <si>
    <t>Мехатроника и роботика\Мех&amp;роб-на англ.аз.(рм ч.ез.)\ФМИ\мр</t>
  </si>
  <si>
    <t>Мех&amp;роб-на англ.аз.(рм ч.ез.)\ФМИ\мр</t>
  </si>
  <si>
    <t>Музеология (2 сем.)</t>
  </si>
  <si>
    <t>936201|20200713-ИФ-мрв|Музеология 2 сем.(рм2 сем)</t>
  </si>
  <si>
    <t>Музеология 2 сем.(рм2 сем)</t>
  </si>
  <si>
    <t>20200713-ИФ-мрв</t>
  </si>
  <si>
    <t>Музеология 2 сем.(рм2 сем)\ИФ</t>
  </si>
  <si>
    <t>Музеология (2 сем.)\Музеология 2 сем.(рм2 сем)\ИФ\мр</t>
  </si>
  <si>
    <t>Музеология 2 сем.(рм2 сем)\ИФ\мр</t>
  </si>
  <si>
    <t>936202|20200713-ИФ-мзв|Музеология 2 сем.(зм2 сем)</t>
  </si>
  <si>
    <t>Музеология 2 сем.(зм2 сем)</t>
  </si>
  <si>
    <t>20200713-ИФ-мзв</t>
  </si>
  <si>
    <t>Музеология 2 сем.(зм2 сем)\ИФ</t>
  </si>
  <si>
    <t>Музеология (2 сем.)\Музеология 2 сем.(зм2 сем)\ИФ\мз</t>
  </si>
  <si>
    <t>Музеология 2 сем.(зм2 сем)\ИФ\мз</t>
  </si>
  <si>
    <t>Музикална педагогика - ръководство на фолклорна формация (2 сем)</t>
  </si>
  <si>
    <t>Музикална педагогика - ръководство на фолклорна формация (2 сем)\МП-РФФ(рм2 сем)\ФНОИ\мр</t>
  </si>
  <si>
    <t>549417|10302963-ФНОИ-мрв|МП-РФФ-М(рм2 сем)</t>
  </si>
  <si>
    <t>МП-РФФ-М(рм2 сем)</t>
  </si>
  <si>
    <t>МП-РФФ-М(рм2 сем)\ФНОИ</t>
  </si>
  <si>
    <t>Музикална педагогика - ръководство на фолклорна формация (2 сем)\МП-РФФ-М(рм2 сем)\ФНОИ\мр</t>
  </si>
  <si>
    <t>МП-РФФ-М(рм2 сем)\ФНОИ\мр</t>
  </si>
  <si>
    <t>556242|10302963-ФНОИ-мрв|МП-РФФ(рм2</t>
  </si>
  <si>
    <t>МП-РФФ(рм2</t>
  </si>
  <si>
    <t>МП-РФФ(рм2\ФНОИ</t>
  </si>
  <si>
    <t>Музикална педагогика - ръководство на фолклорна формация (2 сем)\МП-РФФ(рм2\ФНОИ\мр</t>
  </si>
  <si>
    <t>МП-РФФ(рм2\ФНОИ\мр</t>
  </si>
  <si>
    <t>Музикална педагогика – ръководство на музикална формация</t>
  </si>
  <si>
    <t>927676|10303203-ФНОИ-мрв|МПрмф(рм2 сем)</t>
  </si>
  <si>
    <t>МПрмф(рм2 сем)</t>
  </si>
  <si>
    <t>10303203-ФНОИ-мрв</t>
  </si>
  <si>
    <t>МПрмф(рм2 сем)\ФНОИ</t>
  </si>
  <si>
    <t>Музикална педагогика – ръководство на музикална формация\МПрмф(рм2 сем)\ФНОИ\мр</t>
  </si>
  <si>
    <t>МПрмф(рм2 сем)\ФНОИ\мр</t>
  </si>
  <si>
    <t>Новогръцки език и култура</t>
  </si>
  <si>
    <t>1113247|20104123-ФКНФ-мрв|НовЕзКулт(рм2 сем)</t>
  </si>
  <si>
    <t>НовЕзКулт(рм2 сем)</t>
  </si>
  <si>
    <t>20104123-ФКНФ-мрв</t>
  </si>
  <si>
    <t>НовЕзКулт(рм2 сем)\ФКНФ</t>
  </si>
  <si>
    <t>Новогръцки език и култура\НовЕзКулт(рм2 сем)\ФКНФ\мр</t>
  </si>
  <si>
    <t>НовЕзКулт(рм2 сем)\ФКНФ\мр</t>
  </si>
  <si>
    <t>1113248|20104123-ФКНФ-мрв|НовЕзКулт(рм4 сем.)</t>
  </si>
  <si>
    <t>НовЕзКулт(рм4 сем.)</t>
  </si>
  <si>
    <t>НовЕзКулт(рм4 сем.)\ФКНФ</t>
  </si>
  <si>
    <t>Новогръцки език и култура\НовЕзКулт(рм4 сем.)\ФКНФ\мр</t>
  </si>
  <si>
    <t>НовЕзКулт(рм4 сем.)\ФКНФ\мр</t>
  </si>
  <si>
    <t>11237|10100023-ФП-мрв|ОМ(рм2 сем)</t>
  </si>
  <si>
    <t>10100023-ФП-мрв</t>
  </si>
  <si>
    <t>187549|10100023-ФП-мрв|ОМ-л-анг.(рм2 семл ч.ез.)</t>
  </si>
  <si>
    <t>Образователен мениджмънт\ОМ-л-анг.(рм2 семл ч.ез.)\ФП\мр</t>
  </si>
  <si>
    <t>11240|10100023-ФП-мзв|ОМ(зм2 сем)</t>
  </si>
  <si>
    <t>10100023-ФП-мзв</t>
  </si>
  <si>
    <t>664992|10100023-ФП-мзв|ОМ-а.е.-задочна-ЧЕ(зм2 семл ч.ез.)</t>
  </si>
  <si>
    <t>Образователен мениджмънт\ОМ-а.е.-задочна-ЧЕ(зм2 семл ч.ез.)\ФП\мз</t>
  </si>
  <si>
    <t>Обучението по гражданско и интеркултурно образование в средното училище (2сем)</t>
  </si>
  <si>
    <t>Обучението по гражданско и интеркултурно образование в средното училище (2сем)\ОГИОК(рм2 сем)\ИФ\мр</t>
  </si>
  <si>
    <t>549617|10302973-ИФ-мрв|ОГИОК-М(рм2 сем)</t>
  </si>
  <si>
    <t>ОГИОК-М(рм2 сем)</t>
  </si>
  <si>
    <t>ОГИОК-М(рм2 сем)\ИФ</t>
  </si>
  <si>
    <t>Обучението по гражданско и интеркултурно образование в средното училище (2сем)\ОГИОК-М(рм2 сем)\ИФ\мр</t>
  </si>
  <si>
    <t>ОГИОК-М(рм2 сем)\ИФ\мр</t>
  </si>
  <si>
    <t>960212|10302973-ИФ-мрв|ОГИОСУ- СУ(рм)</t>
  </si>
  <si>
    <t>ОГИОСУ- СУ(рм)</t>
  </si>
  <si>
    <t>ОГИОСУ- СУ(рм)\ИФ</t>
  </si>
  <si>
    <t>Обучението по гражданско и интеркултурно образование в средното училище (2сем)\ОГИОСУ- СУ(рм)\ИФ\мр</t>
  </si>
  <si>
    <t>ОГИОСУ- СУ(рм)\ИФ\мр</t>
  </si>
  <si>
    <t>783609|2010026303-ФКНФ-мрв|ОКК(рм2 сем)</t>
  </si>
  <si>
    <t>ОКК(рм2 сем)</t>
  </si>
  <si>
    <t>ОКК(рм2 сем)\ФКНФ</t>
  </si>
  <si>
    <t>Общество и култура на Корея\ОКК(рм2 сем)\ФКНФ\мр</t>
  </si>
  <si>
    <t>ОКК(рм2 сем)\ФКНФ\мр</t>
  </si>
  <si>
    <t>Османската империя и българите: история и наследство</t>
  </si>
  <si>
    <t>1053049|20201133-ИФ-мрв|ОИБ(рмнс)</t>
  </si>
  <si>
    <t>ОИБ(рмнс)</t>
  </si>
  <si>
    <t>20201133-ИФ-мрв</t>
  </si>
  <si>
    <t>ОИБ(рмнс)\ИФ</t>
  </si>
  <si>
    <t>Османската империя и българите: история и наследство\ОИБ(рмнс)\ИФ\мр</t>
  </si>
  <si>
    <t>ОИБ(рмнс)\ИФ\мр</t>
  </si>
  <si>
    <t>1053049|20201133-ИФ-мрв|ОИБ(рмс)</t>
  </si>
  <si>
    <t>ОИБ(рмс)</t>
  </si>
  <si>
    <t>ОИБ(рмс)\ИФ</t>
  </si>
  <si>
    <t>Османската империя и българите: история и наследство\ОИБ(рмс)\ИФ\мр</t>
  </si>
  <si>
    <t>ОИБ(рмс)\ИФ\мр</t>
  </si>
  <si>
    <t>1053050|20201133-ИФ-мзв|ОИБ(змнс)</t>
  </si>
  <si>
    <t>ОИБ(змнс)</t>
  </si>
  <si>
    <t>20201133-ИФ-мзв</t>
  </si>
  <si>
    <t>ОИБ(змнс)\ИФ</t>
  </si>
  <si>
    <t>Османската империя и българите: история и наследство\ОИБ(змнс)\ИФ\мз</t>
  </si>
  <si>
    <t>ОИБ(змнс)\ИФ\мз</t>
  </si>
  <si>
    <t>1053050|20201133-ИФ-мзв|ОИБ(змс)</t>
  </si>
  <si>
    <t>ОИБ(змс)</t>
  </si>
  <si>
    <t>ОИБ(змс)\ИФ</t>
  </si>
  <si>
    <t>Османската империя и българите: история и наследство\ОИБ(змс)\ИФ\мз</t>
  </si>
  <si>
    <t>ОИБ(змс)\ИФ\мз</t>
  </si>
  <si>
    <t>Педагогика и пластичен код на визуалните изкуства</t>
  </si>
  <si>
    <t>927674|10303193-ФНОИ-мрв|ППВИ(рм2 сем)</t>
  </si>
  <si>
    <t>ППВИ(рм2 сем)</t>
  </si>
  <si>
    <t>10303193-ФНОИ-мрв</t>
  </si>
  <si>
    <t>ППВИ(рм2 сем)\ФНОИ</t>
  </si>
  <si>
    <t>Педагогика и пластичен код на визуалните изкуства\ППВИ(рм2 сем)\ФНОИ\мр</t>
  </si>
  <si>
    <t>ППВИ(рм2 сем)\ФНОИ\мр</t>
  </si>
  <si>
    <t>927675|10303193-ФНОИ-мрв|ППВИ(др.проф.напр.)(рм3 сем.)</t>
  </si>
  <si>
    <t>ППВИ(др.проф.напр.)(рм3 сем.)</t>
  </si>
  <si>
    <t>ППВИ(др.проф.напр.)(рм3 сем.)\ФНОИ</t>
  </si>
  <si>
    <t>Педагогика и пластичен код на визуалните изкуства\ППВИ(др.проф.напр.)(рм3 сем.)\ФНОИ\мр</t>
  </si>
  <si>
    <t>ППВИ(др.проф.напр.)(рм3 сем.)\ФНОИ\мр</t>
  </si>
  <si>
    <t>Педагогика на обучението по география и история (2 сем.)</t>
  </si>
  <si>
    <t>Педагогика на обучението по география и история (2 сем.)\ПОГИ (60)(рм)\ГГФ\мр</t>
  </si>
  <si>
    <t>960672|10302993-ГГФ-мрв|ПОГИ(рм)</t>
  </si>
  <si>
    <t>ПОГИ(рм)</t>
  </si>
  <si>
    <t>ПОГИ(рм)\ГГФ</t>
  </si>
  <si>
    <t>Педагогика на обучението по география и история (2 сем.)\ПОГИ(рм)\ГГФ\мр</t>
  </si>
  <si>
    <t>ПОГИ(рм)\ГГФ\мр</t>
  </si>
  <si>
    <t>842523|4010003327-ФзФ-мрв|PTTF(рм3 сем. ч.ез.)</t>
  </si>
  <si>
    <t>PTTF(рм3 сем. ч.ез.)</t>
  </si>
  <si>
    <t>PTTF(рм3 сем. ч.ез.)\ФзФ</t>
  </si>
  <si>
    <t>Плазмени технологии и термоядрен синтез (3 сем.)\PTTF(рм3 сем. ч.ез.)\ФзФ\мр</t>
  </si>
  <si>
    <t>PTTF(рм3 сем. ч.ез.)\ФзФ\мр</t>
  </si>
  <si>
    <t>842523|4010003327-ФзФ-мрв|ПТТС(рм3 сем. ч.ез.)</t>
  </si>
  <si>
    <t>ПТТС(рм3 сем. ч.ез.)</t>
  </si>
  <si>
    <t>ПТТС(рм3 сем. ч.ез.)\ФзФ</t>
  </si>
  <si>
    <t>Плазмени технологии и термоядрен синтез (3 сем.)\ПТТС(рм3 сем. ч.ез.)\ФзФ\мр</t>
  </si>
  <si>
    <t>ПТТС(рм3 сем. ч.ез.)\ФзФ\мр</t>
  </si>
  <si>
    <t>Политика за национална сигурност (2 сем.)</t>
  </si>
  <si>
    <t>961081|30300893-ФФ-мрв|ПНС(рм2 сем)</t>
  </si>
  <si>
    <t>ПНС(рм2 сем)</t>
  </si>
  <si>
    <t>30300893-ФФ-мрв</t>
  </si>
  <si>
    <t>ПНС(рм2 сем)\ФФ</t>
  </si>
  <si>
    <t>Политика за национална сигурност (2 сем.)\ПНС(рм2 сем)\ФФ\мр</t>
  </si>
  <si>
    <t>ПНС(рм2 сем)\ФФ\мр</t>
  </si>
  <si>
    <t>961082|30300893-ФФ-мзв|ПНС(зм2 сем)</t>
  </si>
  <si>
    <t>ПНС(зм2 сем)</t>
  </si>
  <si>
    <t>30300893-ФФ-мзв</t>
  </si>
  <si>
    <t>ПНС(зм2 сем)\ФФ</t>
  </si>
  <si>
    <t>Политика за национална сигурност (2 сем.)\ПНС(зм2 сем)\ФФ\мз</t>
  </si>
  <si>
    <t>ПНС(зм2 сем)\ФФ\мз</t>
  </si>
  <si>
    <t>1000036|3030001312-ФФ-мрв|ППГС(рм2 сем ч.ез.)</t>
  </si>
  <si>
    <t>ППГС(рм2 сем ч.ез.)</t>
  </si>
  <si>
    <t>3030001312-ФФ-мрв</t>
  </si>
  <si>
    <t>ППГС(рм2 сем ч.ез.)\ФФ</t>
  </si>
  <si>
    <t>Политически патологии на глобалния свят (анг.ез.) - 2 сем.\ППГС(рм2 сем ч.ез.)\ФФ\мр</t>
  </si>
  <si>
    <t>ППГС(рм2 сем ч.ез.)\ФФ\мр</t>
  </si>
  <si>
    <t>Православно богословие</t>
  </si>
  <si>
    <t>928046|20400203-ФБ-мзв|ПБ(зм4 сем.)</t>
  </si>
  <si>
    <t>ПБ(зм4 сем.)</t>
  </si>
  <si>
    <t>20400203-ФБ-мзв</t>
  </si>
  <si>
    <t>ПБ(зм4 сем.)\ФБ</t>
  </si>
  <si>
    <t>Православно богословие\ПБ(зм4 сем.)\ФБ\мз</t>
  </si>
  <si>
    <t>ПБ(зм4 сем.)\ФБ\мз</t>
  </si>
  <si>
    <t>839347|1020006324-ФНОИ-мрв|ППзав.др.спец.ро(рм4 сем.)</t>
  </si>
  <si>
    <t>ППзав.др.спец.ро(рм4 сем.)</t>
  </si>
  <si>
    <t>1020006324-ФНОИ-мрв</t>
  </si>
  <si>
    <t>ППзав.др.спец.ро(рм4 сем.)\ФНОИ</t>
  </si>
  <si>
    <t>Предучилищна педагогика (за завършили други специалности)\ППзав.др.спец.ро(рм4 сем.)\ФНОИ\мр</t>
  </si>
  <si>
    <t>ППзав.др.спец.ро(рм4 сем.)\ФНОИ\мр</t>
  </si>
  <si>
    <t>839442|10201763-ФНОИ-мрв|ППучителиро(рм2 сем)</t>
  </si>
  <si>
    <t>ППучителиро(рм2 сем)</t>
  </si>
  <si>
    <t>10201763-ФНОИ-мрв</t>
  </si>
  <si>
    <t>ППучителиро(рм2 сем)\ФНОИ</t>
  </si>
  <si>
    <t>Предучилищна педагогика (за завършили специалности с учителска правоспособност)\ППучителиро(рм2 сем)\ФНОИ\мр</t>
  </si>
  <si>
    <t>ППучителиро(рм2 сем)\ФНОИ\мр</t>
  </si>
  <si>
    <t>Приложна геоинформатика</t>
  </si>
  <si>
    <t>929189|40401043-ГГФ-мрв|ПГ(рм2 сем)</t>
  </si>
  <si>
    <t>ПГ(рм2 сем)</t>
  </si>
  <si>
    <t>40401043-ГГФ-мрв</t>
  </si>
  <si>
    <t>ПГ(рм2 сем)\ГГФ</t>
  </si>
  <si>
    <t>Приложна геоинформатика\ПГ(рм2 сем)\ГГФ\мр</t>
  </si>
  <si>
    <t>ПГ(рм2 сем)\ГГФ\мр</t>
  </si>
  <si>
    <t>929191|40401043-ГГФ-мрв|ПГ(рмнсл)</t>
  </si>
  <si>
    <t>ПГ(рмнсл)</t>
  </si>
  <si>
    <t>ПГ(рмнсл)\ГГФ</t>
  </si>
  <si>
    <t>Приложна геоинформатика\ПГ(рмнсл)\ГГФ\мр</t>
  </si>
  <si>
    <t>ПГ(рмнсл)\ГГФ\мр</t>
  </si>
  <si>
    <t>929190|40401043-ГГФ-мзв|ПГ(зм2 сем)</t>
  </si>
  <si>
    <t>ПГ(зм2 сем)</t>
  </si>
  <si>
    <t>40401043-ГГФ-мзв</t>
  </si>
  <si>
    <t>ПГ(зм2 сем)\ГГФ</t>
  </si>
  <si>
    <t>Приложна геоинформатика\ПГ(зм2 сем)\ГГФ\мз</t>
  </si>
  <si>
    <t>ПГ(зм2 сем)\ГГФ\мз</t>
  </si>
  <si>
    <t>929192|40401043-ГГФ-мзв|ПГ(змнсл)</t>
  </si>
  <si>
    <t>ПГ(змнсл)</t>
  </si>
  <si>
    <t>ПГ(змнсл)\ГГФ</t>
  </si>
  <si>
    <t>Приложна геоинформатика\ПГ(змнсл)\ГГФ\мз</t>
  </si>
  <si>
    <t>ПГ(змнсл)\ГГФ\мз</t>
  </si>
  <si>
    <t>Приложна иконометрия и икономическо моделиране</t>
  </si>
  <si>
    <t>12862|30808753-СтФ-мрв|ПИИМ на англ. ез.(рм3 сем. ч.ез.)</t>
  </si>
  <si>
    <t>30808753-СтФ-мрв</t>
  </si>
  <si>
    <t>Приложна иконометрия и икономическо моделиране\ПИИМ на англ. ез.(рм3 сем. ч.ез.)\СтФ\мр</t>
  </si>
  <si>
    <t>12862|30808753-СтФ-мрв|ПИИМ3 на АЕ(рм3 сем. ч.ез.)</t>
  </si>
  <si>
    <t>ПИИМ3 на АЕ(рм3 сем. ч.ез.)</t>
  </si>
  <si>
    <t>ПИИМ3 на АЕ(рм3 сем. ч.ез.)\СтФ</t>
  </si>
  <si>
    <t>Приложна иконометрия и икономическо моделиране\ПИИМ3 на АЕ(рм3 сем. ч.ез.)\СтФ\мр</t>
  </si>
  <si>
    <t>ПИИМ3 на АЕ(рм3 сем. ч.ез.)\СтФ\мр</t>
  </si>
  <si>
    <t>12862|30808753-СтФ-мрв|ПИИМангл.(рм3 сем. ч.ез.)</t>
  </si>
  <si>
    <t>Приложна иконометрия и икономическо моделиране\ПИИМангл.(рм3 сем. ч.ез.)\СтФ\мр</t>
  </si>
  <si>
    <t>66147|30808753-СтФ-мрв|ПИИМ на англ. ез.(рм4 сем.л ч.ез.)</t>
  </si>
  <si>
    <t>Приложна иконометрия и икономическо моделиране\ПИИМ на англ. ез.(рм4 сем.л ч.ез.)\СтФ\мр</t>
  </si>
  <si>
    <t>66147|30808753-СтФ-мрв|ПИИМ4 на АЕ(рм4 сем.л ч.ез.)</t>
  </si>
  <si>
    <t>ПИИМ4 на АЕ(рм4 сем.л ч.ез.)</t>
  </si>
  <si>
    <t>ПИИМ4 на АЕ(рм4 сем.л ч.ез.)\СтФ</t>
  </si>
  <si>
    <t>Приложна иконометрия и икономическо моделиране\ПИИМ4 на АЕ(рм4 сем.л ч.ез.)\СтФ\мр</t>
  </si>
  <si>
    <t>ПИИМ4 на АЕ(рм4 сем.л ч.ез.)\СтФ\мр</t>
  </si>
  <si>
    <t>66147|30808753-СтФ-мрв|ПИИМангл(рм4 сем.л ч.ез.)</t>
  </si>
  <si>
    <t>Приложна иконометрия и икономическо моделиране\ПИИМангл(рм4 сем.л ч.ез.)\СтФ\мр</t>
  </si>
  <si>
    <t>12876|3080393315-СтФ-мрв|ПИ - ПБ(рм4 сем.)</t>
  </si>
  <si>
    <t>ПИ - ПБ(рм4 сем.)</t>
  </si>
  <si>
    <t>ПИ - ПБ(рм4 сем.)\СтФ</t>
  </si>
  <si>
    <t>Приложна икономика-ПБ\ПИ - ПБ(рм4 сем.)\СтФ\мр</t>
  </si>
  <si>
    <t>ПИ - ПБ(рм4 сем.)\СтФ\мр</t>
  </si>
  <si>
    <t>Приобщаващо образование (2 сем)</t>
  </si>
  <si>
    <t>556241|10201013-ФНОИ-мзв|ПО(зм2 сем)</t>
  </si>
  <si>
    <t>ПО(зм2 сем)</t>
  </si>
  <si>
    <t>ПО(зм2 сем)\ФНОИ</t>
  </si>
  <si>
    <t>Приобщаващо образование (2 сем)\ПО(зм2 сем)\ФНОИ\мз</t>
  </si>
  <si>
    <t>ПО(зм2 сем)\ФНОИ\мз</t>
  </si>
  <si>
    <t>Приобщаващо образование (2 сем)\ПОзо(зм2 сем)\ФНОИ\мз</t>
  </si>
  <si>
    <t>571995|10201013-ФНОИ-мзв|ПОзо-M(зм2 сем)</t>
  </si>
  <si>
    <t>ПОзо-M(зм2 сем)</t>
  </si>
  <si>
    <t>ПОзо-M(зм2 сем)\ФНОИ</t>
  </si>
  <si>
    <t>Приобщаващо образование (2 сем)\ПОзо-M(зм2 сем)\ФНОИ\мз</t>
  </si>
  <si>
    <t>ПОзо-M(зм2 сем)\ФНОИ\мз</t>
  </si>
  <si>
    <t>Професионален копирайтинг</t>
  </si>
  <si>
    <t>846679|30501503-ФЖМК-мзв|ПКр(зм)</t>
  </si>
  <si>
    <t>ПКр(зм)</t>
  </si>
  <si>
    <t>30501503-ФЖМК-мзв</t>
  </si>
  <si>
    <t>ПКр(зм)\ФЖМК</t>
  </si>
  <si>
    <t>Професионален копирайтинг\ПКр(зм)\ФЖМК\мз</t>
  </si>
  <si>
    <t>ПКр(зм)\ФЖМК\мз</t>
  </si>
  <si>
    <t>Радиобиология (3 сем.)</t>
  </si>
  <si>
    <t>733396|40300973-БФ-мрв|Радиобиология (рм)</t>
  </si>
  <si>
    <t>Радиобиология (рм)</t>
  </si>
  <si>
    <t>40300973-БФ-мрв</t>
  </si>
  <si>
    <t>Радиобиология (рм)\БФ</t>
  </si>
  <si>
    <t>Радиобиология (3 сем.)\Радиобиология (рм)\БФ\мр</t>
  </si>
  <si>
    <t>Радиобиология (рм)\БФ\мр</t>
  </si>
  <si>
    <t>904071|5110001304-БФ-мрв|РБТАЕ(рм ч.ез.)</t>
  </si>
  <si>
    <t>РБТАЕ(рм ч.ез.)</t>
  </si>
  <si>
    <t>РБТАЕ(рм ч.ез.)\БФ</t>
  </si>
  <si>
    <t>Растителни биотехнологии\РБТАЕ(рм ч.ез.)\БФ\мр</t>
  </si>
  <si>
    <t>РБТАЕ(рм ч.ез.)\БФ\мр</t>
  </si>
  <si>
    <t>904071|5110001304-БФ-мрв|РБТАЕ(рмс)</t>
  </si>
  <si>
    <t>РБТАЕ(рмс)</t>
  </si>
  <si>
    <t>РБТАЕ(рмс)\БФ</t>
  </si>
  <si>
    <t>Растителни биотехнологии\РБТАЕ(рмс)\БФ\мр</t>
  </si>
  <si>
    <t>РБТАЕ(рмс)\БФ\мр</t>
  </si>
  <si>
    <t>Регионални измерения на глобалните тенденции – Китай, Източна и Югоизточна Европа, ХІХ-ХХ век (4 сем.)</t>
  </si>
  <si>
    <t>745945|20201063-ИФ-мрв|Regional dimensions(рм ч.ез.)</t>
  </si>
  <si>
    <t>Regional dimensions(рм ч.ез.)</t>
  </si>
  <si>
    <t>20201063-ИФ-мрв</t>
  </si>
  <si>
    <t>Regional dimensions(рм ч.ез.)\ИФ</t>
  </si>
  <si>
    <t>Регионални измерения на глобалните тенденции – Китай, Източна и Югоизточна Европа, ХІХ-ХХ век (4 сем.)\Regional dimensions(рм ч.ез.)\ИФ\мр</t>
  </si>
  <si>
    <t>Regional dimensions(рм ч.ез.)\ИФ\мр</t>
  </si>
  <si>
    <t>12425|4040002306-ГГФ-мрв|РРУ(рмнс)3сем.(рм3 сем.л)</t>
  </si>
  <si>
    <t>РРУ(рмнс)3сем.(рм3 сем.л)</t>
  </si>
  <si>
    <t>РРУ(рмнс)3сем.(рм3 сем.л)\ГГФ</t>
  </si>
  <si>
    <t>Регионално развитие и управление\РРУ(рмнс)3сем.(рм3 сем.л)\ГГФ\мр</t>
  </si>
  <si>
    <t>РРУ(рмнс)3сем.(рм3 сем.л)\ГГФ\мр</t>
  </si>
  <si>
    <t>12425|4040002306-ГГФ-мрв|РРУ/ неспециалисти(рм3 сем.л)</t>
  </si>
  <si>
    <t>РРУ/ неспециалисти(рм3 сем.л)</t>
  </si>
  <si>
    <t>РРУ/ неспециалисти(рм3 сем.л)\ГГФ</t>
  </si>
  <si>
    <t>Регионално развитие и управление\РРУ/ неспециалисти(рм3 сем.л)\ГГФ\мр</t>
  </si>
  <si>
    <t>РРУ/ неспециалисти(рм3 сем.л)\ГГФ\мр</t>
  </si>
  <si>
    <t>10905|2030002305-ФФ-мзв|Р(зм)</t>
  </si>
  <si>
    <t>Реторика (2 семестъра)\Р(зм)\ФФ\мз</t>
  </si>
  <si>
    <t>10905|2030002305-ФФ-мзв|Р(змс)</t>
  </si>
  <si>
    <t>Реторика (2 семестъра)\Р(змс)\ФФ\мз</t>
  </si>
  <si>
    <t>10905|2030002305-ФФ-мзв|Рет(змс)</t>
  </si>
  <si>
    <t>Реторика (2 семестъра)\Рет(змс)\ФФ\мз</t>
  </si>
  <si>
    <t>Семиотика, език и реклама (на английски език)(3 сем.)</t>
  </si>
  <si>
    <t>Семиотика, език и реклама (на английски език)(3 сем.)\СЕиР(рм ч.ез.)\ФКНФ\мр</t>
  </si>
  <si>
    <t>Семиотика, език и реклама (на английски език)(3 сем.)\СЕиР(рм)\ФКНФ\мр</t>
  </si>
  <si>
    <t>11649|2010022306-ФКНФ-мрв|СЕиР(рм3 сем. ч.ез.)</t>
  </si>
  <si>
    <t>СЕиР(рм3 сем. ч.ез.)</t>
  </si>
  <si>
    <t>СЕиР(рм3 сем. ч.ез.)\ФКНФ</t>
  </si>
  <si>
    <t>Семиотика, език и реклама (на английски език)(3 сем.)\СЕиР(рм3 сем. ч.ез.)\ФКНФ\мр</t>
  </si>
  <si>
    <t>СЕиР(рм3 сем. ч.ез.)\ФКНФ\мр</t>
  </si>
  <si>
    <t>840909|1020010308-ФНОИ-мзв|Срдю(зм)</t>
  </si>
  <si>
    <t>Срдю(зм)</t>
  </si>
  <si>
    <t>1020010308-ФНОИ-мзв</t>
  </si>
  <si>
    <t>Срдю(зм)\ФНОИ</t>
  </si>
  <si>
    <t>Социално-педагогическа работа с деца и юноши\Срдю(зм)\ФНОИ\мз</t>
  </si>
  <si>
    <t>Срдю(зм)\ФНОИ\мз</t>
  </si>
  <si>
    <t>840909|1020010308-ФНОИ-мзв|Срдю(зм3 сем.)</t>
  </si>
  <si>
    <t>Срдю(зм3 сем.)</t>
  </si>
  <si>
    <t>Срдю(зм3 сем.)\ФНОИ</t>
  </si>
  <si>
    <t>Социално-педагогическа работа с деца и юноши\Срдю(зм3 сем.)\ФНОИ\мз</t>
  </si>
  <si>
    <t>Срдю(зм3 сем.)\ФНОИ\мз</t>
  </si>
  <si>
    <t>Социология (преди 1997)</t>
  </si>
  <si>
    <t>587343|30100563-ФФ-мрс|Соц(рм-97)</t>
  </si>
  <si>
    <t>Соц(рм-97)</t>
  </si>
  <si>
    <t>30100563-ФФ-мрс</t>
  </si>
  <si>
    <t>Соц(рм-97)\ФФ</t>
  </si>
  <si>
    <t>Социология (преди 1997)\Соц(рм-97)\ФФ\мр</t>
  </si>
  <si>
    <t>Соц(рм-97)\ФФ\мр</t>
  </si>
  <si>
    <t>Специална педагогика и приобщаващо образование (2 сем.)</t>
  </si>
  <si>
    <t>725800|10202363-ФНОИ-мрв|СППО(рм2 сем)</t>
  </si>
  <si>
    <t>СППО(рм2 сем)</t>
  </si>
  <si>
    <t>10202363-ФНОИ-мрв</t>
  </si>
  <si>
    <t>СППО(рм2 сем)\ФНОИ</t>
  </si>
  <si>
    <t>Специална педагогика и приобщаващо образование (2 сем.)\СППО(рм2 сем)\ФНОИ\мр</t>
  </si>
  <si>
    <t>СППО(рм2 сем)\ФНОИ\мр</t>
  </si>
  <si>
    <t>747122|10202363-ФНОИ-мзв|СППОзо(зм2 сем)</t>
  </si>
  <si>
    <t>СППОзо(зм2 сем)</t>
  </si>
  <si>
    <t>10202363-ФНОИ-мзв</t>
  </si>
  <si>
    <t>СППОзо(зм2 сем)\ФНОИ</t>
  </si>
  <si>
    <t>Специална педагогика и приобщаващо образование (2 сем.)\СППОзо(зм2 сем)\ФНОИ\мз</t>
  </si>
  <si>
    <t>СППОзо(зм2 сем)\ФНОИ\мз</t>
  </si>
  <si>
    <t>Счетоводство и анализ на големи данни</t>
  </si>
  <si>
    <t>12891|30808743-СтФ-мрв|СчАГД (2сем.)(рм2 сем)</t>
  </si>
  <si>
    <t>30808743-СтФ-мрв</t>
  </si>
  <si>
    <t>Счетоводство и анализ на големи данни\СчАГД (2сем.)(рм2 сем)\СтФ\мр</t>
  </si>
  <si>
    <t>12891|30808743-СтФ-мрв|СчАГД(рм2 сем)</t>
  </si>
  <si>
    <t>Счетоводство и анализ на големи данни\СчАГД(рм2 сем)\СтФ\мр</t>
  </si>
  <si>
    <t>12891|30808743-СтФ-мрв|Счетоводство и АГД(рмнс)</t>
  </si>
  <si>
    <t>Счетоводство и анализ на големи данни\Счетоводство и АГД(рмнс)\СтФ\мр</t>
  </si>
  <si>
    <t>12893|30808743-СтФ-мрв|СчАГД (4 сем.)(рм4 сем.)</t>
  </si>
  <si>
    <t>Счетоводство и анализ на големи данни\СчАГД (4 сем.)(рм4 сем.)\СтФ\мр</t>
  </si>
  <si>
    <t>12893|30808743-СтФ-мрв|СчАГД(рм4 сем.)</t>
  </si>
  <si>
    <t>Счетоводство и анализ на големи данни\СчАГД(рм4 сем.)\СтФ\мр</t>
  </si>
  <si>
    <t>12893|30808743-СтФ-мрв|СчАГДЛ(рм4</t>
  </si>
  <si>
    <t>Счетоводство и анализ на големи данни\СчАГДЛ(рм4\СтФ\мр</t>
  </si>
  <si>
    <t>Счетоводство и одит</t>
  </si>
  <si>
    <t>12864|30802843-СтФ-мрв|Счет. и одит неик.(рмнс)</t>
  </si>
  <si>
    <t>30802843-СтФ-мрв</t>
  </si>
  <si>
    <t>Счетоводство и одит\Счет. и одит неик.(рмнс)\СтФ\мр</t>
  </si>
  <si>
    <t>12864|30802843-СтФ-мрв|Счетоводство и От(рмнс)</t>
  </si>
  <si>
    <t>Счетоводство и одит\Счетоводство и От(рмнс)\СтФ\мр</t>
  </si>
  <si>
    <t>12864|30802843-СтФ-мрв|Счетоводство и одит(рм3 сем.)</t>
  </si>
  <si>
    <t>Счетоводство и одит\Счетоводство и одит(рм3 сем.)\СтФ\мр</t>
  </si>
  <si>
    <t>187909|30802843-СтФ-мрв|Счет. и одит зимен 4(рм4 сем.)</t>
  </si>
  <si>
    <t>Счетоводство и одит\Счет. и одит зимен 4(рм4 сем.)\СтФ\мр</t>
  </si>
  <si>
    <t>187909|30802843-СтФ-мрв|Счетоводство и одит4(рм4 сем.л)</t>
  </si>
  <si>
    <t>Счетоводство и одит\Счетоводство и одит4(рм4 сем.л)\СтФ\мр</t>
  </si>
  <si>
    <t>Счетоводство и устойчивост</t>
  </si>
  <si>
    <t>956904|30808523-СтФ-мрв|Счет и устойчивост(рм3 сем.)</t>
  </si>
  <si>
    <t>Счет и устойчивост(рм3 сем.)</t>
  </si>
  <si>
    <t>30808523-СтФ-мрв</t>
  </si>
  <si>
    <t>Счет и устойчивост(рм3 сем.)\СтФ</t>
  </si>
  <si>
    <t>Счетоводство и устойчивост\Счет и устойчивост(рм3 сем.)\СтФ\мр</t>
  </si>
  <si>
    <t>Счет и устойчивост(рм3 сем.)\СтФ\мр</t>
  </si>
  <si>
    <t>956904|30808523-СтФ-мрв|Счет. и уст. неик.(рмнс)</t>
  </si>
  <si>
    <t>Счет. и уст. неик.(рмнс)</t>
  </si>
  <si>
    <t>Счет. и уст. неик.(рмнс)\СтФ</t>
  </si>
  <si>
    <t>Счетоводство и устойчивост\Счет. и уст. неик.(рмнс)\СтФ\мр</t>
  </si>
  <si>
    <t>Счет. и уст. неик.(рмнс)\СтФ\мр</t>
  </si>
  <si>
    <t>Счетоводство, финанси и дигитални приложения</t>
  </si>
  <si>
    <t>Счетоводство, финанси и дигитални приложения\СФДП АЕ(рб ч.ез.)\СтФ\бр</t>
  </si>
  <si>
    <t>1001242|4020015304-ФХФ-мрв|ССХМА англ. ез.(рм3 сем. ч.ез.)</t>
  </si>
  <si>
    <t>ССХМА англ. ез.(рм3 сем. ч.ез.)</t>
  </si>
  <si>
    <t>ССХМА англ. ез.(рм3 сем. ч.ез.)\ФХФ</t>
  </si>
  <si>
    <t>Съвременни спектрални и хроматографски методи за анализ\ССХМА англ. ез.(рм3 сем. ч.ез.)\ФХФ\мр</t>
  </si>
  <si>
    <t>ССХМА англ. ез.(рм3 сем. ч.ез.)\ФХФ\мр</t>
  </si>
  <si>
    <t>Съдържателни аспекти на профилираната подготовка по математика (3 сем.)</t>
  </si>
  <si>
    <t>777470|10303163-ФМИ-мрв|САППМ(рмл)</t>
  </si>
  <si>
    <t>САППМ(рмл)</t>
  </si>
  <si>
    <t>10303163-ФМИ-мрв</t>
  </si>
  <si>
    <t>САППМ(рмл)\ФМИ</t>
  </si>
  <si>
    <t>Съдържателни аспекти на профилираната подготовка по математика (3 сем.)\САППМ(рмл)\ФМИ\мр</t>
  </si>
  <si>
    <t>САППМ(рмл)\ФМИ\мр</t>
  </si>
  <si>
    <t>Технологии за големи данни (3 сем.)</t>
  </si>
  <si>
    <t>725251|40601403-ФМИ-мрв|ТГД(рм)</t>
  </si>
  <si>
    <t>ТГД(рм)</t>
  </si>
  <si>
    <t>40601403-ФМИ-мрв</t>
  </si>
  <si>
    <t>ТГД(рм)\ФМИ</t>
  </si>
  <si>
    <t>Технологии за големи данни (3 сем.)\ТГД(рм)\ФМИ\мр</t>
  </si>
  <si>
    <t>ТГД(рм)\ФМИ\мр</t>
  </si>
  <si>
    <t>458208|10302913-ФМИ-мрв|ТОППИТ-М(рм)</t>
  </si>
  <si>
    <t>ТОППИТ-М(рм)</t>
  </si>
  <si>
    <t>ТОППИТ-М(рм)\ФМИ</t>
  </si>
  <si>
    <t>Технологии за обучение в профилирана подготовка по информационни технологии (2 сем.)\ТОППИТ-М(рм)\ФМИ\мр</t>
  </si>
  <si>
    <t>ТОППИТ-М(рм)\ФМИ\мр</t>
  </si>
  <si>
    <t>858897|10302913-ФМИ-мрв|ТОППИТ(рм)</t>
  </si>
  <si>
    <t>980149|10302913-ФМИ-мдв|ТОППИТ(дм)</t>
  </si>
  <si>
    <t>ТОППИТ(дм)</t>
  </si>
  <si>
    <t>10302913-ФМИ-мдв</t>
  </si>
  <si>
    <t>ТОППИТ(дм)\ФМИ</t>
  </si>
  <si>
    <t>Технологии за обучение в профилирана подготовка по информационни технологии (2 сем.)\ТОППИТ(дм)\ФМИ\мд</t>
  </si>
  <si>
    <t>ТОППИТ(дм)\ФМИ\мд</t>
  </si>
  <si>
    <t>770551|3050015308-ФФ-мрв|УЕС(рм2 сем)</t>
  </si>
  <si>
    <t>УЕС(рм2 сем)</t>
  </si>
  <si>
    <t>3050015308-ФФ-мрв</t>
  </si>
  <si>
    <t>УЕС(рм2 сем)\ФФ</t>
  </si>
  <si>
    <t>Управление на електронно съдържание\УЕС(рм2 сем)\ФФ\мр</t>
  </si>
  <si>
    <t>УЕС(рм2 сем)\ФФ\мр</t>
  </si>
  <si>
    <t>770551|3050015308-ФФ-мрв|УЕСл(рм2 семл)</t>
  </si>
  <si>
    <t>УЕСл(рм2 семл)</t>
  </si>
  <si>
    <t>УЕСл(рм2 семл)\ФФ</t>
  </si>
  <si>
    <t>Управление на електронно съдържание\УЕСл(рм2 семл)\ФФ\мр</t>
  </si>
  <si>
    <t>УЕСл(рм2 семл)\ФФ\мр</t>
  </si>
  <si>
    <t>Управление на иновациите в публичния сектор</t>
  </si>
  <si>
    <t>12802|30711713-СтФ-мрв|УИПС(рм3 сем.)</t>
  </si>
  <si>
    <t>30711713-СтФ-мрв</t>
  </si>
  <si>
    <t>Управление на иновациите в публичния сектор\УИПС(рм3 сем.)\СтФ\мр</t>
  </si>
  <si>
    <t>12803|30711713-СтФ-мрв|УИПС(рм5 сем.)</t>
  </si>
  <si>
    <t>Управление на иновациите в публичния сектор\УИПС(рм5 сем.)\СтФ\мр</t>
  </si>
  <si>
    <t>12803|30711713-СтФ-мрв|УИПС-ПБ(рм</t>
  </si>
  <si>
    <t>Управление на иновациите в публичния сектор\УИПС-ПБ(рм\СтФ\мр</t>
  </si>
  <si>
    <t>12803|30711713-СтФ-мрв|УИПС-ПБ(рм5 сем.)</t>
  </si>
  <si>
    <t>Управление на иновациите в публичния сектор\УИПС-ПБ(рм5 сем.)\СтФ\мр</t>
  </si>
  <si>
    <t>12019|4010011311-ФзФ-мрв|ФЗАО(рм4 сем.)</t>
  </si>
  <si>
    <t>ФЗАО(рм4 сем.)</t>
  </si>
  <si>
    <t>4010011311-ФзФ-мрв</t>
  </si>
  <si>
    <t>ФЗАО(рм4 сем.)\ФзФ</t>
  </si>
  <si>
    <t>Физика на земята, атмосферата и океана (4 сем.)\ФЗАО(рм4 сем.)\ФзФ\мр</t>
  </si>
  <si>
    <t>ФЗАО(рм4 сем.)\ФзФ\мр</t>
  </si>
  <si>
    <t>842521|4010003314-ФзФ-мрв|NPPI(рм3 сем. ч.ез.)</t>
  </si>
  <si>
    <t>NPPI(рм3 сем. ч.ез.)</t>
  </si>
  <si>
    <t>NPPI(рм3 сем. ч.ез.)\ФзФ</t>
  </si>
  <si>
    <t>Физика на ядрото и елементарните частици\NPPI(рм3 сем. ч.ез.)\ФзФ\мр</t>
  </si>
  <si>
    <t>NPPI(рм3 сем. ч.ез.)\ФзФ\мр</t>
  </si>
  <si>
    <t>842521|4010003314-ФзФ-мрв|NPPI(рм3 сем.)</t>
  </si>
  <si>
    <t>NPPI(рм3 сем.)</t>
  </si>
  <si>
    <t>NPPI(рм3 сем.)\ФзФ</t>
  </si>
  <si>
    <t>Физика на ядрото и елементарните частици\NPPI(рм3 сем.)\ФзФ\мр</t>
  </si>
  <si>
    <t>NPPI(рм3 сем.)\ФзФ\мр</t>
  </si>
  <si>
    <t>842522|4010003315-ФзФ-мрв|NPPII(рм5 сем. ч.ез.)</t>
  </si>
  <si>
    <t>NPPII(рм5 сем. ч.ез.)</t>
  </si>
  <si>
    <t>NPPII(рм5 сем. ч.ез.)\ФзФ</t>
  </si>
  <si>
    <t>Физика на ядрото и елементарните частици\NPPII(рм5 сем. ч.ез.)\ФзФ\мр</t>
  </si>
  <si>
    <t>NPPII(рм5 сем. ч.ез.)\ФзФ\мр</t>
  </si>
  <si>
    <t>842522|4010003315-ФзФ-мрв|NPPII(рм5 сем.)</t>
  </si>
  <si>
    <t>NPPII(рм5 сем.)</t>
  </si>
  <si>
    <t>NPPII(рм5 сем.)\ФзФ</t>
  </si>
  <si>
    <t>Физика на ядрото и елементарните частици\NPPII(рм5 сем.)\ФзФ\мр</t>
  </si>
  <si>
    <t>NPPII(рм5 сем.)\ФзФ\мр</t>
  </si>
  <si>
    <t>Филмова и сценична музика (2 сем.)</t>
  </si>
  <si>
    <t>725046|80301723-ФБ-мрв|ФСМ(рм2 сем)</t>
  </si>
  <si>
    <t>ФСМ(рм2 сем)</t>
  </si>
  <si>
    <t>80301723-ФБ-мрв</t>
  </si>
  <si>
    <t>ФСМ(рм2 сем)\ФБ</t>
  </si>
  <si>
    <t>Филмова и сценична музика (2 сем.)\ФСМ(рм2 сем)\ФБ\мр</t>
  </si>
  <si>
    <t>ФСМ(рм2 сем)\ФБ\мр</t>
  </si>
  <si>
    <t>12882|30802853-СтФ-мрв|ФБД (неиконом.)(рмнс)</t>
  </si>
  <si>
    <t>30802853-СтФ-мрв</t>
  </si>
  <si>
    <t>Финанси и банково дело\ФБД (неиконом.)(рмнс)\СтФ\мр</t>
  </si>
  <si>
    <t>12882|30802853-СтФ-мрв|ФБД(рм3 сем.)</t>
  </si>
  <si>
    <t>12882|30802853-СтФ-мрв|Финанси и БД 3 сем.(рм3 сем.)</t>
  </si>
  <si>
    <t>Финанси и банково дело\Финанси и БД 3 сем.(рм3 сем.)\СтФ\мр</t>
  </si>
  <si>
    <t>12882|30802853-СтФ-мрв|Финанси и банково де(рм3 сем.)</t>
  </si>
  <si>
    <t>Финанси и банково дело\Финанси и банково де(рм3 сем.)\СтФ\мр</t>
  </si>
  <si>
    <t>12882|30802853-СтФ-мрв|Финанси и банково де(рмнс)</t>
  </si>
  <si>
    <t>Финанси и банково дело\Финанси и банково де(рмнс)\СтФ\мр</t>
  </si>
  <si>
    <t>Финанси и инвестиции</t>
  </si>
  <si>
    <t>Финанси и инвестиции\Финанси и инвест Н(рмнс)\СтФ\мр</t>
  </si>
  <si>
    <t>Финанси и инвестиции\Финанси и инвестиции(рм2 сем)\СтФ\мр</t>
  </si>
  <si>
    <t>188282|30807023-СтФ-мрв|Финанси и инвестиции(рм4 сем.л)</t>
  </si>
  <si>
    <t>Финанси и инвестиции\Финанси и инвестиции(рм4 сем.л)\СтФ\мр</t>
  </si>
  <si>
    <t>Финанси, инвестиции и финтех</t>
  </si>
  <si>
    <t>Финанси, инвестиции и финтех\ФИФ иконом. 3 сем.(рм3 сем.)\СтФ\мр</t>
  </si>
  <si>
    <t>Финанси, инвестиции и финтех\ФИФ неиконом. 3 сем.(рмнс)\СтФ\мр</t>
  </si>
  <si>
    <t>287083|30807543-СтФ-мрв|ФИФ 4 сем. зимен (рм4 сем.)</t>
  </si>
  <si>
    <t>Финанси, инвестиции и финтех\ФИФ 4 сем. зимен (рм4 сем.)\СтФ\мр</t>
  </si>
  <si>
    <t>287083|30807543-СтФ-мрв|ФИФ 4 сем. летен(рм4 сем.л)</t>
  </si>
  <si>
    <t>Финанси, инвестиции и финтех\ФИФ 4 сем. летен(рм4 сем.л)\СтФ\мр</t>
  </si>
  <si>
    <t>1001241|4020015305-ФХФ-мрв|ФМ англ.ез./р.о./маг(рм3 сем. ч.ез.)</t>
  </si>
  <si>
    <t>ФМ англ.ез./р.о./маг(рм3 сем. ч.ез.)</t>
  </si>
  <si>
    <t>ФМ англ.ез./р.о./маг(рм3 сем. ч.ез.)\ФХФ</t>
  </si>
  <si>
    <t>Функционални материали\ФМ англ.ез./р.о./маг(рм3 сем. ч.ез.)\ФХФ\мр</t>
  </si>
  <si>
    <t>ФМ англ.ез./р.о./маг(рм3 сем. ч.ез.)\ФХФ\мр</t>
  </si>
  <si>
    <t>Химия за  бъдещето - на английски език (2 сем)</t>
  </si>
  <si>
    <t>457733|40200663-ФХФ-мрв|Хим за бъдещетоАЕ(рм3 сем. ч.ез.)</t>
  </si>
  <si>
    <t>Хим за бъдещетоАЕ(рм3 сем. ч.ез.)</t>
  </si>
  <si>
    <t>Хим за бъдещетоАЕ(рм3 сем. ч.ез.)\ФХФ</t>
  </si>
  <si>
    <t>Химия за  бъдещето - на английски език (2 сем)\Хим за бъдещетоАЕ(рм3 сем. ч.ез.)\ФХФ\мр</t>
  </si>
  <si>
    <t>Хим за бъдещетоАЕ(рм3 сем. ч.ез.)\ФХФ\мр</t>
  </si>
  <si>
    <t>Чужд език (английски), литература, медии (на английски език)-2 сем.</t>
  </si>
  <si>
    <t>732357|20104003-ФКНФ-мрв|ЧЕЛитМед(рм2 сем ч.ез.)</t>
  </si>
  <si>
    <t>ЧЕЛитМед(рм2 сем ч.ез.)</t>
  </si>
  <si>
    <t>20104003-ФКНФ-мрв</t>
  </si>
  <si>
    <t>ЧЕЛитМед(рм2 сем ч.ез.)\ФКНФ</t>
  </si>
  <si>
    <t>Чужд език (английски), литература, медии (на английски език)-2 сем.\ЧЕЛитМед(рм2 сем ч.ез.)\ФКНФ\мр</t>
  </si>
  <si>
    <t>ЧЕЛитМед(рм2 сем ч.ез.)\ФКНФ\мр</t>
  </si>
  <si>
    <t>Ядрена енергетика и технологии (3 сем.)</t>
  </si>
  <si>
    <t>Ядрена енергетика и технологии (3 сем.)\ЯЕТ(рм3 сем.)\ФзФ\мр</t>
  </si>
  <si>
    <t>Ядрена енергетика и технологии (3 сем.)\ЯЕТ(рм3 сем.л)\ФзФ\мр</t>
  </si>
  <si>
    <t>Ядрена енергетика и технологии (3 сем.)\ЯТЯЕ(рм)\ФзФ\мр</t>
  </si>
  <si>
    <t>Ядрена енергетика и технологии (3 сем.)\ЯТЯТ(рм3 сем.л)\ФзФ\мр</t>
  </si>
  <si>
    <t xml:space="preserve">Ядрена енергетика и технологии (4 семестъра) </t>
  </si>
  <si>
    <t>Ядрена енергетика и технологии (4 семестъра) \ЯЕТ(рм4 сем.)\ФзФ\мр</t>
  </si>
  <si>
    <t>Ядрена енергетика и технологии (4 семестъра) \ЯЕТ(рм4 сем.л)\ФзФ\мр</t>
  </si>
  <si>
    <t>857503|4010004304-ФзФ-мзв|ЯЕТ 4 сем.(зм4 сем.)</t>
  </si>
  <si>
    <t>ЯЕТ 4 сем.(зм4 сем.)</t>
  </si>
  <si>
    <t>4010004304-ФзФ-мзв</t>
  </si>
  <si>
    <t>ЯЕТ 4 сем.(зм4 сем.)\ФзФ</t>
  </si>
  <si>
    <t>Ядрена енергетика и технологии (4 семестъра) \ЯЕТ 4 сем.(зм4 сем.)\ФзФ\мз</t>
  </si>
  <si>
    <t>ЯЕТ 4 сем.(зм4 сем.)\ФзФ\мз</t>
  </si>
  <si>
    <t>Ядрена енергетика и технологии (5 семестъра)</t>
  </si>
  <si>
    <t>Ядрена енергетика и технологии (5 семестъра)\ЯЕТ(зм5 сем.)\ФзФ\мз</t>
  </si>
  <si>
    <t>Ядрена енергетика и технологии (5 семестъра)\ЯЕТНС(зм5 сем.л)\ФзФ\мз</t>
  </si>
  <si>
    <t>Ядрена енергетика и технологии (6 семестъра)</t>
  </si>
  <si>
    <t>Ядрена енергетика и технологии (6 семестъра)\ЯЕТ(змс)\ФзФ\мз</t>
  </si>
  <si>
    <t>Ядрена енергетика и технологии (6 семестъра)\ЯЕТПБ(зм6 сем.л)\ФзФ\мз</t>
  </si>
  <si>
    <t>Ядрена енергетика и технологии (6 семестъра)\ЯЕТПБ(змл)\ФзФ\мз</t>
  </si>
  <si>
    <t>11997|4010004302-ФзФ-мзв|ЯЕТПБТЯЕ(з</t>
  </si>
  <si>
    <t>ЯЕТПБТЯЕ(з</t>
  </si>
  <si>
    <t>ЯЕТПБТЯЕ(з\ФзФ</t>
  </si>
  <si>
    <t>Ядрена енергетика и технологии (6 семестъра)\ЯЕТПБТЯЕ(з\ФзФ\мз</t>
  </si>
  <si>
    <t>ЯЕТПБТЯЕ(з\ФзФ\мз</t>
  </si>
  <si>
    <t>Ядрени технологии, мениджмънт и иновации с обучение на английски език (4 сем.)</t>
  </si>
  <si>
    <t>813395|30711523-СтФ-мзв|ЯдрТМИ(зм4 сем.л ч.ез.)</t>
  </si>
  <si>
    <t>ЯдрТМИ(зм4 сем.л ч.ез.)</t>
  </si>
  <si>
    <t>30711523-СтФ-мзв</t>
  </si>
  <si>
    <t>ЯдрТМИ(зм4 сем.л ч.ез.)\СтФ</t>
  </si>
  <si>
    <t>Ядрени технологии, мениджмънт и иновации с обучение на английски език (4 сем.)\ЯдрТМИ(зм4 сем.л ч.ез.)\СтФ\мз</t>
  </si>
  <si>
    <t>ЯдрТМИ(зм4 сем.л ч.ез.)\СтФ\мз</t>
  </si>
  <si>
    <t>2022/2023-Септември–31.08.2025-10:57:56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</si>
</sst>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164" formatCode="General;General;"/>
    <numFmt numFmtId="165" formatCode="General;General;\–"/>
    <numFmt numFmtId="166" formatCode="0;General;"/>
    <numFmt numFmtId="167" formatCode="dd/mm/yyyy;;\-"/>
    <numFmt numFmtId="168" formatCode="@\,"/>
    <numFmt numFmtId="169" formatCode="_-* #,##0.0_-;\-* #,##0.0_-;_-* &quot;-&quot;??_-;_-@_-"/>
    <numFmt numFmtId="170" formatCode="General\ \с\т\у\д\е\н\т\и"/>
    <numFmt numFmtId="171" formatCode="General\ \и\ \п\о\в\е\ч\е\ \с\т\у\д\е\н\т\и"/>
    <numFmt numFmtId="172" formatCode="0.0"/>
    <numFmt numFmtId="173" formatCode="General;;;&quot;(Бак/Маг/Лект) ОЗ&quot;"/>
    <numFmt numFmtId="174" formatCode="General;;;&quot;(Бак/Маг/Лект) АЗ&quot;"/>
    <numFmt numFmtId="175" formatCode="General;;;&quot;(Бак/Маг/Лект/Док) ОЗ&quot;"/>
    <numFmt numFmtId="176" formatCode="General;;;&quot;(Бак/Маг/Лект/Док) АЗ&quot;"/>
    <numFmt numFmtId="177" formatCode="hh:mm:ss;@"/>
  </numFmts>
  <fonts count="2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2"/>
      <color rgb="FF333333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11"/>
      <color theme="1"/>
      <name val="Arial"/>
      <family val="2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u/>
      <sz val="11"/>
      <color theme="1"/>
      <name val="Arial"/>
      <family val="2"/>
      <charset val="204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i/>
      <sz val="11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name val="Calibri"/>
      <family val="2"/>
      <scheme val="minor"/>
    </font>
    <font>
      <b/>
      <sz val="18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b/>
      <sz val="12"/>
      <color rgb="FFFF0000"/>
      <name val="Arial Narrow"/>
      <family val="2"/>
    </font>
    <font>
      <b/>
      <sz val="11"/>
      <color rgb="FFFF0000"/>
      <name val="Arial Narrow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b/>
      <sz val="11"/>
      <name val="Arial Narrow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2"/>
      <color rgb="FFFF0000"/>
      <name val="Arial Narrow"/>
      <family val="2"/>
    </font>
    <font>
      <sz val="12"/>
      <color theme="1"/>
      <name val="Arial Narrow"/>
      <family val="2"/>
      <charset val="204"/>
    </font>
    <font>
      <b/>
      <sz val="14"/>
      <color rgb="FF333333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name val="Arial Narrow"/>
      <family val="2"/>
      <charset val="204"/>
    </font>
    <font>
      <b/>
      <sz val="9"/>
      <color indexed="81"/>
      <name val="Tahoma"/>
      <family val="2"/>
      <charset val="204"/>
    </font>
    <font>
      <sz val="11"/>
      <color rgb="FFFF0000"/>
      <name val="Calibri"/>
      <family val="2"/>
      <scheme val="minor"/>
    </font>
    <font>
      <b/>
      <sz val="12"/>
      <name val="Arial"/>
      <family val="2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b/>
      <sz val="18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sz val="13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b/>
      <i/>
      <sz val="20"/>
      <color theme="1"/>
      <name val="Arial"/>
      <family val="2"/>
      <charset val="204"/>
    </font>
    <font>
      <sz val="12"/>
      <color rgb="FFFF000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i/>
      <sz val="16"/>
      <color theme="1"/>
      <name val="Arial"/>
      <family val="2"/>
      <charset val="204"/>
    </font>
    <font>
      <b/>
      <sz val="9"/>
      <color theme="1"/>
      <name val="Arial"/>
      <family val="2"/>
    </font>
    <font>
      <b/>
      <i/>
      <sz val="13"/>
      <color theme="1"/>
      <name val="Arial"/>
      <family val="2"/>
    </font>
    <font>
      <b/>
      <sz val="11"/>
      <color rgb="FF002060"/>
      <name val="Arial Narrow"/>
      <family val="2"/>
    </font>
    <font>
      <b/>
      <sz val="10"/>
      <color theme="1"/>
      <name val="Arial Narrow"/>
      <family val="2"/>
      <charset val="204"/>
    </font>
    <font>
      <b/>
      <sz val="11"/>
      <color theme="1" tint="0.3499862666707357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5" tint="-0.249977111117893"/>
      <name val="Arial Narrow"/>
      <family val="2"/>
    </font>
    <font>
      <b/>
      <sz val="10"/>
      <color theme="5" tint="-0.249977111117893"/>
      <name val="Arial Narrow"/>
      <family val="2"/>
    </font>
    <font>
      <b/>
      <sz val="11"/>
      <color theme="9" tint="-0.499984740745262"/>
      <name val="Arial Narrow"/>
      <family val="2"/>
    </font>
    <font>
      <sz val="10"/>
      <color theme="5" tint="-0.249977111117893"/>
      <name val="Arial Narrow"/>
      <family val="2"/>
    </font>
    <font>
      <b/>
      <sz val="10"/>
      <color theme="5" tint="-0.249977111117893"/>
      <name val="Arial Narrow"/>
      <family val="2"/>
      <charset val="204"/>
    </font>
    <font>
      <b/>
      <sz val="10"/>
      <color theme="5" tint="-0.249977111117893"/>
      <name val="Calibri"/>
      <family val="2"/>
      <charset val="204"/>
      <scheme val="minor"/>
    </font>
    <font>
      <sz val="16"/>
      <color theme="1"/>
      <name val="Arial Narrow"/>
      <family val="2"/>
    </font>
    <font>
      <sz val="22"/>
      <color theme="1"/>
      <name val="Arial Narrow"/>
      <family val="2"/>
    </font>
    <font>
      <b/>
      <sz val="10"/>
      <color theme="5" tint="-0.249977111117893"/>
      <name val="Calibri"/>
      <family val="2"/>
      <scheme val="minor"/>
    </font>
    <font>
      <b/>
      <sz val="16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20"/>
      <color theme="1"/>
      <name val="Arial Narrow"/>
      <family val="2"/>
    </font>
    <font>
      <sz val="18"/>
      <color theme="1"/>
      <name val="Arial Narrow"/>
      <family val="2"/>
    </font>
    <font>
      <sz val="9"/>
      <color theme="1"/>
      <name val="Arial Narrow"/>
      <family val="2"/>
    </font>
    <font>
      <sz val="12"/>
      <name val="Arial Narrow"/>
      <family val="2"/>
      <charset val="204"/>
    </font>
    <font>
      <i/>
      <sz val="12"/>
      <color theme="1"/>
      <name val="Arial Narrow"/>
      <family val="2"/>
      <charset val="204"/>
    </font>
    <font>
      <b/>
      <sz val="12"/>
      <color rgb="FF0070C0"/>
      <name val="Arial Narrow"/>
      <family val="2"/>
      <charset val="204"/>
    </font>
    <font>
      <b/>
      <u/>
      <sz val="12"/>
      <color theme="1"/>
      <name val="Arial Narrow"/>
      <family val="2"/>
      <charset val="204"/>
    </font>
    <font>
      <b/>
      <u/>
      <sz val="11"/>
      <color rgb="FFFF0000"/>
      <name val="Arial Narrow"/>
      <family val="2"/>
      <charset val="204"/>
    </font>
    <font>
      <b/>
      <sz val="11"/>
      <color theme="5" tint="-0.249977111117893"/>
      <name val="Calibri"/>
      <family val="2"/>
      <charset val="204"/>
      <scheme val="minor"/>
    </font>
    <font>
      <b/>
      <sz val="10"/>
      <name val="Arial Narrow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3737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b/>
      <u/>
      <sz val="16"/>
      <name val="Arial Narrow"/>
      <family val="2"/>
      <charset val="204"/>
    </font>
    <font>
      <b/>
      <u/>
      <sz val="16"/>
      <name val="Arial Narrow"/>
      <family val="2"/>
    </font>
    <font>
      <b/>
      <u/>
      <sz val="11"/>
      <color theme="10"/>
      <name val="Calibri"/>
      <family val="2"/>
      <charset val="204"/>
      <scheme val="minor"/>
    </font>
    <font>
      <sz val="11"/>
      <color rgb="FF0070C0"/>
      <name val="Arial Narrow"/>
      <family val="2"/>
    </font>
    <font>
      <b/>
      <u/>
      <sz val="16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9"/>
      <color theme="5" tint="-0.249977111117893"/>
      <name val="Arial Narrow"/>
      <family val="2"/>
    </font>
    <font>
      <b/>
      <i/>
      <sz val="12"/>
      <color theme="1" tint="0.249977111117893"/>
      <name val="Arial Narrow"/>
      <family val="2"/>
      <charset val="204"/>
    </font>
    <font>
      <b/>
      <sz val="14"/>
      <color theme="5" tint="-0.249977111117893"/>
      <name val="Calibri"/>
      <family val="2"/>
      <charset val="204"/>
      <scheme val="minor"/>
    </font>
    <font>
      <b/>
      <i/>
      <sz val="12"/>
      <color theme="1" tint="0.34998626667073579"/>
      <name val="Arial Narrow"/>
      <family val="2"/>
      <charset val="204"/>
    </font>
    <font>
      <sz val="22"/>
      <color theme="1"/>
      <name val="Calibri"/>
      <family val="2"/>
      <scheme val="minor"/>
    </font>
    <font>
      <b/>
      <i/>
      <sz val="1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b/>
      <sz val="9"/>
      <color theme="1"/>
      <name val="Arial"/>
      <family val="2"/>
      <charset val="204"/>
    </font>
    <font>
      <b/>
      <u/>
      <sz val="11"/>
      <color rgb="FF0000FF"/>
      <name val="Arial Narrow"/>
      <family val="2"/>
    </font>
    <font>
      <b/>
      <u/>
      <sz val="11"/>
      <color rgb="FF0000FF"/>
      <name val="Arial Narrow"/>
      <family val="2"/>
      <charset val="204"/>
    </font>
    <font>
      <b/>
      <sz val="11"/>
      <color rgb="FF0000FF"/>
      <name val="Arial Narrow"/>
      <family val="2"/>
      <charset val="204"/>
    </font>
    <font>
      <b/>
      <u/>
      <sz val="11"/>
      <color theme="10"/>
      <name val="Arial Narrow"/>
      <family val="2"/>
      <charset val="204"/>
    </font>
    <font>
      <b/>
      <u/>
      <sz val="10"/>
      <color rgb="FF0000FF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00FF"/>
      <name val="Calibri"/>
      <family val="2"/>
      <charset val="204"/>
      <scheme val="minor"/>
    </font>
    <font>
      <b/>
      <u/>
      <sz val="11"/>
      <color rgb="FF0000FF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0"/>
      <color rgb="FFC00000"/>
      <name val="Arial Narrow"/>
      <family val="2"/>
      <charset val="204"/>
    </font>
    <font>
      <b/>
      <sz val="11"/>
      <color rgb="FFC00000"/>
      <name val="Arial Narrow"/>
      <family val="2"/>
      <charset val="204"/>
    </font>
    <font>
      <b/>
      <sz val="16"/>
      <color rgb="FFC00000"/>
      <name val="Arial Narrow"/>
      <family val="2"/>
      <charset val="204"/>
    </font>
    <font>
      <sz val="10"/>
      <color rgb="FFFF0000"/>
      <name val="Arial Narrow"/>
      <family val="2"/>
    </font>
    <font>
      <b/>
      <sz val="10"/>
      <color rgb="FFFF0000"/>
      <name val="Arial Narrow"/>
      <family val="2"/>
    </font>
    <font>
      <sz val="10"/>
      <color rgb="FFFF0000"/>
      <name val="Calibri"/>
      <family val="2"/>
      <scheme val="minor"/>
    </font>
    <font>
      <b/>
      <i/>
      <sz val="12"/>
      <color theme="1"/>
      <name val="Arial"/>
      <family val="2"/>
      <charset val="204"/>
    </font>
    <font>
      <b/>
      <i/>
      <sz val="14"/>
      <color theme="1"/>
      <name val="Arial Narrow"/>
      <family val="2"/>
      <charset val="204"/>
    </font>
    <font>
      <b/>
      <i/>
      <sz val="12"/>
      <color theme="1" tint="0.34998626667073579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2"/>
      <color rgb="FFC00000"/>
      <name val="Arial Narrow"/>
      <family val="2"/>
      <charset val="204"/>
    </font>
    <font>
      <b/>
      <sz val="12"/>
      <color theme="1" tint="0.34998626667073579"/>
      <name val="Arial"/>
      <family val="2"/>
      <charset val="204"/>
    </font>
    <font>
      <sz val="10"/>
      <color theme="1"/>
      <name val="Arial Narrow"/>
      <family val="2"/>
      <charset val="204"/>
    </font>
    <font>
      <b/>
      <i/>
      <sz val="12"/>
      <name val="Arial Narrow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i/>
      <sz val="13"/>
      <name val="Arial"/>
      <family val="2"/>
    </font>
    <font>
      <b/>
      <sz val="11"/>
      <color theme="9" tint="-0.499984740745262"/>
      <name val="Arial Narrow"/>
      <family val="2"/>
      <charset val="204"/>
    </font>
    <font>
      <b/>
      <sz val="12"/>
      <color theme="5" tint="-0.249977111117893"/>
      <name val="Arial Narrow"/>
      <family val="2"/>
    </font>
    <font>
      <b/>
      <sz val="10"/>
      <color rgb="FFC00000"/>
      <name val="Arial Narrow"/>
      <family val="2"/>
    </font>
    <font>
      <sz val="11"/>
      <color rgb="FFFF0000"/>
      <name val="Arial Narrow"/>
      <family val="2"/>
    </font>
    <font>
      <sz val="11"/>
      <color theme="9" tint="-0.499984740745262"/>
      <name val="Arial Narrow"/>
      <family val="2"/>
      <charset val="204"/>
    </font>
    <font>
      <i/>
      <sz val="12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vertAlign val="superscript"/>
      <sz val="10"/>
      <color theme="1"/>
      <name val="Arial Narrow"/>
      <family val="2"/>
      <charset val="204"/>
    </font>
    <font>
      <b/>
      <sz val="10"/>
      <color theme="1"/>
      <name val="Times New Roman"/>
      <family val="1"/>
      <charset val="204"/>
    </font>
    <font>
      <vertAlign val="superscript"/>
      <sz val="11"/>
      <color theme="1"/>
      <name val="Arial Narrow"/>
      <family val="2"/>
      <charset val="204"/>
    </font>
    <font>
      <b/>
      <sz val="24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u/>
      <sz val="10"/>
      <color theme="0" tint="-0.499984740745262"/>
      <name val="Arial"/>
      <family val="2"/>
      <charset val="204"/>
    </font>
    <font>
      <i/>
      <sz val="8"/>
      <color theme="1"/>
      <name val="Times New Roman"/>
      <family val="1"/>
      <charset val="204"/>
    </font>
    <font>
      <b/>
      <sz val="10"/>
      <color theme="5" tint="-0.499984740745262"/>
      <name val="Calibri"/>
      <family val="2"/>
      <charset val="204"/>
      <scheme val="minor"/>
    </font>
    <font>
      <b/>
      <sz val="11"/>
      <color theme="5" tint="-0.499984740745262"/>
      <name val="Arial Narrow"/>
      <family val="2"/>
      <charset val="204"/>
    </font>
    <font>
      <b/>
      <sz val="11"/>
      <color theme="5" tint="-0.499984740745262"/>
      <name val="Calibri"/>
      <family val="2"/>
      <charset val="204"/>
      <scheme val="minor"/>
    </font>
    <font>
      <sz val="12"/>
      <color theme="5" tint="-0.499984740745262"/>
      <name val="Arial"/>
      <family val="2"/>
      <charset val="204"/>
    </font>
    <font>
      <b/>
      <sz val="11"/>
      <color theme="5" tint="-0.499984740745262"/>
      <name val="Arial"/>
      <family val="2"/>
      <charset val="204"/>
    </font>
    <font>
      <i/>
      <sz val="12"/>
      <color theme="5" tint="-0.499984740745262"/>
      <name val="Arial"/>
      <family val="2"/>
      <charset val="204"/>
    </font>
    <font>
      <i/>
      <sz val="11"/>
      <color theme="1"/>
      <name val="Arial Narrow"/>
      <family val="2"/>
      <charset val="204"/>
    </font>
    <font>
      <b/>
      <vertAlign val="superscript"/>
      <sz val="12"/>
      <color theme="1"/>
      <name val="Arial Narrow"/>
      <family val="2"/>
      <charset val="204"/>
    </font>
    <font>
      <sz val="9"/>
      <color theme="1"/>
      <name val="Times New Roman"/>
      <family val="1"/>
      <charset val="204"/>
    </font>
    <font>
      <vertAlign val="superscript"/>
      <sz val="9"/>
      <color theme="1"/>
      <name val="Times New Roman"/>
      <family val="1"/>
      <charset val="204"/>
    </font>
    <font>
      <i/>
      <sz val="12"/>
      <name val="Arial Narrow"/>
      <family val="2"/>
      <charset val="204"/>
    </font>
    <font>
      <i/>
      <sz val="12"/>
      <color theme="0"/>
      <name val="Arial"/>
      <family val="2"/>
      <charset val="204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i/>
      <sz val="11"/>
      <name val="Arial Narrow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5" tint="-0.24994659260841701"/>
      <name val="Arial Narrow"/>
      <family val="2"/>
      <charset val="204"/>
    </font>
    <font>
      <b/>
      <sz val="9"/>
      <color theme="5" tint="-0.249977111117893"/>
      <name val="Arial Narrow"/>
      <family val="2"/>
    </font>
    <font>
      <b/>
      <sz val="14"/>
      <color rgb="FFFF0000"/>
      <name val="Calibri"/>
      <family val="2"/>
      <charset val="204"/>
      <scheme val="minor"/>
    </font>
    <font>
      <sz val="10"/>
      <color rgb="FF0000CC"/>
      <name val="Arial Narrow"/>
      <family val="2"/>
      <charset val="204"/>
    </font>
    <font>
      <sz val="10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u/>
      <sz val="9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8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9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sz val="18"/>
      <color theme="1"/>
      <name val="Times New Roman"/>
      <family val="1"/>
      <charset val="204"/>
    </font>
    <font>
      <b/>
      <sz val="10"/>
      <color theme="5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2"/>
      <color theme="9" tint="-0.499984740745262"/>
      <name val="Arial Narrow"/>
      <family val="2"/>
      <charset val="204"/>
    </font>
    <font>
      <b/>
      <sz val="20"/>
      <color theme="1"/>
      <name val="Arial Narrow"/>
      <family val="2"/>
      <charset val="204"/>
    </font>
    <font>
      <b/>
      <sz val="16"/>
      <color theme="0"/>
      <name val="Arial Narrow"/>
      <family val="2"/>
      <charset val="204"/>
    </font>
    <font>
      <b/>
      <sz val="9"/>
      <color theme="0"/>
      <name val="Arial Narrow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theme="9" tint="-0.499984740745262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vertAlign val="superscript"/>
      <sz val="9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gray0625">
        <fgColor auto="1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7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auto="1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auto="1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7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double">
        <color auto="1"/>
      </right>
      <top style="hair">
        <color auto="1"/>
      </top>
      <bottom style="double">
        <color auto="1"/>
      </bottom>
      <diagonal/>
    </border>
  </borders>
  <cellStyleXfs count="7">
    <xf numFmtId="0" fontId="0" fillId="0" borderId="0"/>
    <xf numFmtId="0" fontId="19" fillId="0" borderId="0" applyNumberFormat="0" applyFill="0" applyBorder="0" applyAlignment="0" applyProtection="0"/>
    <xf numFmtId="0" fontId="69" fillId="10" borderId="0" applyBorder="0">
      <alignment horizontal="center" vertical="center" wrapText="1"/>
    </xf>
    <xf numFmtId="9" fontId="128" fillId="0" borderId="0" applyFont="0" applyFill="0" applyBorder="0" applyAlignment="0" applyProtection="0"/>
    <xf numFmtId="0" fontId="216" fillId="0" borderId="0"/>
    <xf numFmtId="0" fontId="128" fillId="0" borderId="0"/>
    <xf numFmtId="0" fontId="7" fillId="0" borderId="0"/>
  </cellStyleXfs>
  <cellXfs count="2980">
    <xf numFmtId="0" fontId="0" fillId="0" borderId="0" xfId="0"/>
    <xf numFmtId="0" fontId="18" fillId="0" borderId="0" xfId="0" applyFont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5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24" fillId="0" borderId="0" xfId="0" applyFont="1" applyAlignment="1" applyProtection="1">
      <alignment horizontal="center"/>
      <protection hidden="1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4" xfId="0" applyBorder="1"/>
    <xf numFmtId="0" fontId="0" fillId="2" borderId="26" xfId="0" applyFill="1" applyBorder="1"/>
    <xf numFmtId="0" fontId="0" fillId="2" borderId="25" xfId="0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4" xfId="0" applyFill="1" applyBorder="1"/>
    <xf numFmtId="0" fontId="24" fillId="0" borderId="0" xfId="0" applyFont="1" applyProtection="1">
      <protection hidden="1"/>
    </xf>
    <xf numFmtId="0" fontId="31" fillId="0" borderId="0" xfId="0" applyFont="1" applyAlignment="1" applyProtection="1">
      <alignment horizontal="right"/>
      <protection hidden="1"/>
    </xf>
    <xf numFmtId="0" fontId="0" fillId="2" borderId="4" xfId="0" applyFill="1" applyBorder="1" applyAlignment="1">
      <alignment horizontal="center"/>
    </xf>
    <xf numFmtId="0" fontId="0" fillId="2" borderId="1" xfId="0" applyFill="1" applyBorder="1"/>
    <xf numFmtId="0" fontId="0" fillId="2" borderId="3" xfId="0" applyFill="1" applyBorder="1"/>
    <xf numFmtId="0" fontId="25" fillId="2" borderId="0" xfId="0" applyFont="1" applyFill="1" applyAlignment="1" applyProtection="1">
      <alignment horizontal="right" vertical="center" wrapText="1"/>
      <protection hidden="1"/>
    </xf>
    <xf numFmtId="0" fontId="25" fillId="2" borderId="27" xfId="0" applyFont="1" applyFill="1" applyBorder="1" applyAlignment="1" applyProtection="1">
      <alignment horizontal="right" vertical="center" wrapText="1"/>
      <protection hidden="1"/>
    </xf>
    <xf numFmtId="0" fontId="36" fillId="0" borderId="3" xfId="0" applyFont="1" applyBorder="1"/>
    <xf numFmtId="0" fontId="36" fillId="0" borderId="8" xfId="0" applyFont="1" applyBorder="1"/>
    <xf numFmtId="0" fontId="0" fillId="3" borderId="26" xfId="0" applyFill="1" applyBorder="1"/>
    <xf numFmtId="0" fontId="0" fillId="3" borderId="25" xfId="0" applyFill="1" applyBorder="1" applyAlignment="1">
      <alignment horizontal="center" vertical="center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center"/>
    </xf>
    <xf numFmtId="0" fontId="18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3" fillId="0" borderId="0" xfId="0" applyFont="1" applyProtection="1">
      <protection hidden="1"/>
    </xf>
    <xf numFmtId="0" fontId="40" fillId="0" borderId="0" xfId="0" applyFont="1" applyProtection="1"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vertical="center"/>
      <protection hidden="1"/>
    </xf>
    <xf numFmtId="0" fontId="38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40" fillId="0" borderId="0" xfId="0" applyFont="1" applyAlignment="1" applyProtection="1">
      <alignment horizontal="center" wrapText="1"/>
      <protection locked="0" hidden="1"/>
    </xf>
    <xf numFmtId="0" fontId="40" fillId="0" borderId="0" xfId="0" applyFont="1" applyProtection="1">
      <protection locked="0" hidden="1"/>
    </xf>
    <xf numFmtId="0" fontId="42" fillId="0" borderId="0" xfId="0" applyFont="1" applyAlignment="1" applyProtection="1">
      <alignment horizontal="center" wrapText="1"/>
      <protection locked="0" hidden="1"/>
    </xf>
    <xf numFmtId="0" fontId="46" fillId="0" borderId="0" xfId="0" applyFont="1" applyProtection="1">
      <protection hidden="1"/>
    </xf>
    <xf numFmtId="0" fontId="39" fillId="0" borderId="0" xfId="0" applyFont="1" applyProtection="1">
      <protection hidden="1"/>
    </xf>
    <xf numFmtId="0" fontId="40" fillId="0" borderId="0" xfId="0" applyFont="1" applyAlignment="1" applyProtection="1">
      <alignment wrapText="1"/>
      <protection hidden="1"/>
    </xf>
    <xf numFmtId="0" fontId="53" fillId="0" borderId="0" xfId="0" applyFont="1" applyAlignment="1" applyProtection="1">
      <alignment wrapText="1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0" fillId="4" borderId="4" xfId="0" applyFill="1" applyBorder="1"/>
    <xf numFmtId="0" fontId="40" fillId="0" borderId="0" xfId="0" applyFont="1"/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 wrapText="1"/>
    </xf>
    <xf numFmtId="0" fontId="0" fillId="0" borderId="37" xfId="0" applyBorder="1"/>
    <xf numFmtId="0" fontId="0" fillId="2" borderId="38" xfId="0" applyFill="1" applyBorder="1"/>
    <xf numFmtId="0" fontId="0" fillId="0" borderId="39" xfId="0" applyBorder="1"/>
    <xf numFmtId="0" fontId="56" fillId="2" borderId="36" xfId="0" applyFont="1" applyFill="1" applyBorder="1"/>
    <xf numFmtId="0" fontId="0" fillId="2" borderId="39" xfId="0" applyFill="1" applyBorder="1"/>
    <xf numFmtId="0" fontId="41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horizontal="left"/>
      <protection hidden="1"/>
    </xf>
    <xf numFmtId="0" fontId="36" fillId="0" borderId="1" xfId="0" applyFont="1" applyBorder="1" applyAlignment="1">
      <alignment horizontal="right" wrapText="1"/>
    </xf>
    <xf numFmtId="0" fontId="36" fillId="0" borderId="10" xfId="0" applyFont="1" applyBorder="1" applyAlignment="1">
      <alignment horizontal="right" wrapText="1"/>
    </xf>
    <xf numFmtId="0" fontId="59" fillId="0" borderId="0" xfId="0" applyFont="1"/>
    <xf numFmtId="0" fontId="0" fillId="0" borderId="0" xfId="0" applyAlignment="1">
      <alignment vertical="center"/>
    </xf>
    <xf numFmtId="0" fontId="67" fillId="0" borderId="0" xfId="0" applyFont="1"/>
    <xf numFmtId="0" fontId="0" fillId="0" borderId="0" xfId="0" applyAlignment="1">
      <alignment vertical="top"/>
    </xf>
    <xf numFmtId="0" fontId="59" fillId="0" borderId="0" xfId="0" applyFont="1" applyAlignment="1">
      <alignment vertical="top"/>
    </xf>
    <xf numFmtId="0" fontId="0" fillId="0" borderId="0" xfId="0" applyAlignment="1">
      <alignment vertical="center" wrapText="1"/>
    </xf>
    <xf numFmtId="0" fontId="40" fillId="0" borderId="0" xfId="0" applyFont="1" applyAlignment="1" applyProtection="1">
      <alignment horizontal="left"/>
      <protection hidden="1"/>
    </xf>
    <xf numFmtId="0" fontId="50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71" fillId="0" borderId="0" xfId="0" applyFont="1" applyAlignment="1" applyProtection="1">
      <alignment vertical="center" wrapText="1"/>
      <protection hidden="1"/>
    </xf>
    <xf numFmtId="0" fontId="0" fillId="0" borderId="0" xfId="0" applyAlignment="1">
      <alignment vertical="top" wrapText="1"/>
    </xf>
    <xf numFmtId="0" fontId="75" fillId="0" borderId="4" xfId="0" applyFont="1" applyBorder="1" applyAlignment="1">
      <alignment horizontal="left" vertical="center" wrapText="1"/>
    </xf>
    <xf numFmtId="0" fontId="56" fillId="3" borderId="4" xfId="0" applyFont="1" applyFill="1" applyBorder="1" applyAlignment="1">
      <alignment horizontal="center"/>
    </xf>
    <xf numFmtId="0" fontId="75" fillId="0" borderId="4" xfId="0" applyFont="1" applyBorder="1" applyAlignment="1">
      <alignment vertical="center" wrapText="1"/>
    </xf>
    <xf numFmtId="16" fontId="75" fillId="0" borderId="4" xfId="0" applyNumberFormat="1" applyFont="1" applyBorder="1" applyAlignment="1">
      <alignment vertical="center" wrapText="1"/>
    </xf>
    <xf numFmtId="0" fontId="75" fillId="0" borderId="9" xfId="0" applyFont="1" applyBorder="1" applyAlignment="1">
      <alignment vertical="center" wrapText="1"/>
    </xf>
    <xf numFmtId="0" fontId="51" fillId="0" borderId="4" xfId="0" applyFont="1" applyBorder="1" applyAlignment="1">
      <alignment vertical="center" wrapText="1"/>
    </xf>
    <xf numFmtId="0" fontId="51" fillId="0" borderId="29" xfId="0" applyFont="1" applyBorder="1" applyAlignment="1">
      <alignment vertical="center" wrapText="1"/>
    </xf>
    <xf numFmtId="0" fontId="51" fillId="0" borderId="9" xfId="0" applyFont="1" applyBorder="1" applyAlignment="1">
      <alignment vertical="center" wrapText="1"/>
    </xf>
    <xf numFmtId="0" fontId="56" fillId="3" borderId="29" xfId="0" applyFont="1" applyFill="1" applyBorder="1" applyAlignment="1">
      <alignment horizontal="center"/>
    </xf>
    <xf numFmtId="0" fontId="40" fillId="0" borderId="0" xfId="0" applyFont="1" applyAlignment="1" applyProtection="1">
      <alignment vertical="center" wrapText="1"/>
      <protection hidden="1"/>
    </xf>
    <xf numFmtId="0" fontId="49" fillId="0" borderId="0" xfId="0" applyFont="1" applyAlignment="1" applyProtection="1">
      <alignment horizontal="center"/>
      <protection hidden="1"/>
    </xf>
    <xf numFmtId="0" fontId="57" fillId="0" borderId="0" xfId="0" applyFont="1" applyAlignment="1">
      <alignment horizontal="center"/>
    </xf>
    <xf numFmtId="0" fontId="67" fillId="0" borderId="0" xfId="0" applyFont="1" applyAlignment="1">
      <alignment vertical="top" wrapText="1"/>
    </xf>
    <xf numFmtId="0" fontId="53" fillId="0" borderId="0" xfId="0" applyFont="1" applyAlignment="1" applyProtection="1">
      <alignment horizontal="right" vertical="center" wrapText="1"/>
      <protection hidden="1"/>
    </xf>
    <xf numFmtId="0" fontId="52" fillId="0" borderId="0" xfId="1" applyFont="1" applyFill="1" applyBorder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0" fontId="52" fillId="0" borderId="0" xfId="1" applyFont="1" applyFill="1" applyBorder="1" applyAlignment="1" applyProtection="1">
      <alignment horizontal="center" vertical="center"/>
      <protection hidden="1"/>
    </xf>
    <xf numFmtId="49" fontId="0" fillId="0" borderId="0" xfId="0" applyNumberFormat="1"/>
    <xf numFmtId="0" fontId="0" fillId="0" borderId="0" xfId="0" applyAlignment="1" applyProtection="1">
      <alignment vertical="center"/>
      <protection hidden="1"/>
    </xf>
    <xf numFmtId="0" fontId="26" fillId="2" borderId="0" xfId="0" applyFont="1" applyFill="1" applyAlignment="1" applyProtection="1">
      <alignment horizontal="center" vertical="center" wrapText="1"/>
      <protection hidden="1"/>
    </xf>
    <xf numFmtId="164" fontId="24" fillId="0" borderId="19" xfId="0" applyNumberFormat="1" applyFont="1" applyBorder="1" applyAlignment="1" applyProtection="1">
      <alignment horizontal="center" vertical="center"/>
      <protection hidden="1"/>
    </xf>
    <xf numFmtId="164" fontId="24" fillId="0" borderId="1" xfId="0" applyNumberFormat="1" applyFont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right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34" fillId="0" borderId="0" xfId="0" applyFont="1" applyAlignment="1" applyProtection="1">
      <alignment horizontal="right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56" fillId="2" borderId="4" xfId="0" applyFont="1" applyFill="1" applyBorder="1" applyAlignment="1">
      <alignment horizontal="center"/>
    </xf>
    <xf numFmtId="0" fontId="0" fillId="0" borderId="29" xfId="0" applyBorder="1"/>
    <xf numFmtId="165" fontId="25" fillId="4" borderId="59" xfId="0" applyNumberFormat="1" applyFont="1" applyFill="1" applyBorder="1" applyAlignment="1" applyProtection="1">
      <alignment horizontal="center" vertical="center" wrapText="1"/>
      <protection hidden="1"/>
    </xf>
    <xf numFmtId="166" fontId="25" fillId="0" borderId="14" xfId="0" applyNumberFormat="1" applyFont="1" applyBorder="1" applyAlignment="1" applyProtection="1">
      <alignment horizontal="center" vertical="center" wrapText="1"/>
      <protection hidden="1"/>
    </xf>
    <xf numFmtId="0" fontId="94" fillId="0" borderId="0" xfId="0" applyFont="1" applyAlignment="1" applyProtection="1">
      <alignment horizontal="center" vertical="center"/>
      <protection hidden="1"/>
    </xf>
    <xf numFmtId="0" fontId="93" fillId="0" borderId="0" xfId="0" applyFont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 vertical="center"/>
      <protection hidden="1"/>
    </xf>
    <xf numFmtId="0" fontId="38" fillId="3" borderId="31" xfId="0" applyFont="1" applyFill="1" applyBorder="1" applyAlignment="1" applyProtection="1">
      <alignment horizontal="center" vertical="center" wrapText="1"/>
      <protection hidden="1"/>
    </xf>
    <xf numFmtId="0" fontId="88" fillId="12" borderId="0" xfId="0" applyFont="1" applyFill="1" applyAlignment="1" applyProtection="1">
      <alignment horizontal="center" vertical="center" wrapText="1"/>
      <protection hidden="1"/>
    </xf>
    <xf numFmtId="0" fontId="89" fillId="11" borderId="0" xfId="0" applyFont="1" applyFill="1" applyAlignment="1" applyProtection="1">
      <alignment horizontal="center" vertical="center"/>
      <protection hidden="1"/>
    </xf>
    <xf numFmtId="0" fontId="89" fillId="11" borderId="54" xfId="0" applyFont="1" applyFill="1" applyBorder="1" applyAlignment="1" applyProtection="1">
      <alignment horizontal="center" vertical="center"/>
      <protection hidden="1"/>
    </xf>
    <xf numFmtId="0" fontId="88" fillId="12" borderId="55" xfId="0" applyFont="1" applyFill="1" applyBorder="1" applyAlignment="1" applyProtection="1">
      <alignment horizontal="center" vertical="center" wrapText="1"/>
      <protection hidden="1"/>
    </xf>
    <xf numFmtId="0" fontId="38" fillId="3" borderId="64" xfId="0" applyFont="1" applyFill="1" applyBorder="1" applyAlignment="1" applyProtection="1">
      <alignment horizontal="center" vertical="center" wrapText="1"/>
      <protection hidden="1"/>
    </xf>
    <xf numFmtId="0" fontId="38" fillId="3" borderId="65" xfId="0" applyFont="1" applyFill="1" applyBorder="1" applyAlignment="1" applyProtection="1">
      <alignment horizontal="center" vertical="center" wrapText="1"/>
      <protection hidden="1"/>
    </xf>
    <xf numFmtId="0" fontId="88" fillId="12" borderId="54" xfId="0" applyFont="1" applyFill="1" applyBorder="1" applyAlignment="1" applyProtection="1">
      <alignment horizontal="center" vertical="center" wrapText="1"/>
      <protection hidden="1"/>
    </xf>
    <xf numFmtId="0" fontId="91" fillId="12" borderId="50" xfId="0" applyFont="1" applyFill="1" applyBorder="1" applyAlignment="1" applyProtection="1">
      <alignment horizontal="center" vertical="center" wrapText="1"/>
      <protection hidden="1"/>
    </xf>
    <xf numFmtId="0" fontId="91" fillId="12" borderId="49" xfId="0" applyFont="1" applyFill="1" applyBorder="1" applyAlignment="1" applyProtection="1">
      <alignment horizontal="center" vertical="center" wrapText="1"/>
      <protection hidden="1"/>
    </xf>
    <xf numFmtId="0" fontId="91" fillId="12" borderId="69" xfId="0" applyFont="1" applyFill="1" applyBorder="1" applyAlignment="1" applyProtection="1">
      <alignment horizontal="center" vertical="center" wrapText="1"/>
      <protection hidden="1"/>
    </xf>
    <xf numFmtId="0" fontId="90" fillId="12" borderId="50" xfId="0" applyFont="1" applyFill="1" applyBorder="1" applyAlignment="1" applyProtection="1">
      <alignment horizontal="center" vertical="center" wrapText="1"/>
      <protection hidden="1"/>
    </xf>
    <xf numFmtId="0" fontId="90" fillId="12" borderId="49" xfId="0" applyFont="1" applyFill="1" applyBorder="1" applyAlignment="1" applyProtection="1">
      <alignment horizontal="center" vertical="center" wrapText="1"/>
      <protection hidden="1"/>
    </xf>
    <xf numFmtId="0" fontId="90" fillId="12" borderId="69" xfId="0" applyFont="1" applyFill="1" applyBorder="1" applyAlignment="1" applyProtection="1">
      <alignment horizontal="center" vertical="center" wrapText="1"/>
      <protection hidden="1"/>
    </xf>
    <xf numFmtId="0" fontId="90" fillId="12" borderId="43" xfId="0" applyFont="1" applyFill="1" applyBorder="1" applyAlignment="1" applyProtection="1">
      <alignment horizontal="center" vertical="center" wrapText="1"/>
      <protection hidden="1"/>
    </xf>
    <xf numFmtId="0" fontId="90" fillId="12" borderId="56" xfId="0" applyFont="1" applyFill="1" applyBorder="1" applyAlignment="1" applyProtection="1">
      <alignment horizontal="center" vertical="center" wrapText="1"/>
      <protection hidden="1"/>
    </xf>
    <xf numFmtId="0" fontId="88" fillId="12" borderId="50" xfId="0" applyFont="1" applyFill="1" applyBorder="1" applyAlignment="1" applyProtection="1">
      <alignment horizontal="center" vertical="center" wrapText="1"/>
      <protection hidden="1"/>
    </xf>
    <xf numFmtId="0" fontId="88" fillId="12" borderId="49" xfId="0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/>
      <protection locked="0" hidden="1"/>
    </xf>
    <xf numFmtId="0" fontId="0" fillId="0" borderId="3" xfId="0" applyBorder="1" applyAlignment="1">
      <alignment horizontal="left"/>
    </xf>
    <xf numFmtId="0" fontId="39" fillId="0" borderId="50" xfId="0" applyFont="1" applyBorder="1" applyAlignment="1">
      <alignment horizontal="center" vertical="center" wrapText="1"/>
    </xf>
    <xf numFmtId="0" fontId="39" fillId="0" borderId="49" xfId="0" applyFont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 wrapText="1"/>
    </xf>
    <xf numFmtId="0" fontId="38" fillId="0" borderId="45" xfId="0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97" fillId="0" borderId="50" xfId="0" applyFont="1" applyBorder="1" applyAlignment="1">
      <alignment horizontal="center" vertical="center" wrapText="1"/>
    </xf>
    <xf numFmtId="0" fontId="97" fillId="0" borderId="49" xfId="0" applyFont="1" applyBorder="1" applyAlignment="1">
      <alignment horizontal="center" vertical="center" wrapText="1"/>
    </xf>
    <xf numFmtId="0" fontId="38" fillId="0" borderId="54" xfId="0" applyFont="1" applyBorder="1" applyAlignment="1" applyProtection="1">
      <alignment horizontal="center" vertical="center" wrapText="1"/>
      <protection hidden="1"/>
    </xf>
    <xf numFmtId="0" fontId="38" fillId="0" borderId="55" xfId="0" applyFont="1" applyBorder="1" applyAlignment="1" applyProtection="1">
      <alignment horizontal="center" vertical="center" wrapText="1"/>
      <protection hidden="1"/>
    </xf>
    <xf numFmtId="0" fontId="38" fillId="0" borderId="68" xfId="0" applyFont="1" applyBorder="1" applyAlignment="1" applyProtection="1">
      <alignment horizontal="center" vertical="center" wrapText="1"/>
      <protection hidden="1"/>
    </xf>
    <xf numFmtId="0" fontId="88" fillId="12" borderId="0" xfId="0" applyFont="1" applyFill="1" applyAlignment="1">
      <alignment horizontal="center" vertical="center"/>
    </xf>
    <xf numFmtId="0" fontId="88" fillId="12" borderId="0" xfId="0" applyFont="1" applyFill="1" applyAlignment="1">
      <alignment horizontal="center" vertical="center" wrapText="1"/>
    </xf>
    <xf numFmtId="0" fontId="88" fillId="12" borderId="54" xfId="0" applyFont="1" applyFill="1" applyBorder="1" applyAlignment="1">
      <alignment horizontal="center" vertical="center"/>
    </xf>
    <xf numFmtId="0" fontId="88" fillId="12" borderId="55" xfId="0" applyFont="1" applyFill="1" applyBorder="1" applyAlignment="1">
      <alignment horizontal="center" vertical="center"/>
    </xf>
    <xf numFmtId="0" fontId="88" fillId="12" borderId="66" xfId="0" applyFont="1" applyFill="1" applyBorder="1" applyAlignment="1" applyProtection="1">
      <alignment horizontal="center" wrapText="1"/>
      <protection hidden="1"/>
    </xf>
    <xf numFmtId="0" fontId="88" fillId="12" borderId="68" xfId="0" applyFont="1" applyFill="1" applyBorder="1" applyAlignment="1">
      <alignment horizontal="center" vertical="center"/>
    </xf>
    <xf numFmtId="0" fontId="92" fillId="12" borderId="0" xfId="0" applyFont="1" applyFill="1" applyAlignment="1">
      <alignment horizontal="center" vertical="center" wrapText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18" fillId="2" borderId="0" xfId="0" applyFont="1" applyFill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0" fontId="100" fillId="0" borderId="0" xfId="0" applyFont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166" fontId="27" fillId="0" borderId="23" xfId="0" applyNumberFormat="1" applyFont="1" applyBorder="1" applyAlignment="1" applyProtection="1">
      <alignment horizontal="center" vertical="center" wrapText="1"/>
      <protection hidden="1"/>
    </xf>
    <xf numFmtId="166" fontId="27" fillId="0" borderId="13" xfId="0" applyNumberFormat="1" applyFont="1" applyBorder="1" applyAlignment="1" applyProtection="1">
      <alignment horizontal="center" vertical="center" wrapText="1"/>
      <protection hidden="1"/>
    </xf>
    <xf numFmtId="166" fontId="27" fillId="0" borderId="19" xfId="0" applyNumberFormat="1" applyFont="1" applyBorder="1" applyAlignment="1" applyProtection="1">
      <alignment horizontal="center" vertical="center"/>
      <protection hidden="1"/>
    </xf>
    <xf numFmtId="166" fontId="27" fillId="0" borderId="20" xfId="0" applyNumberFormat="1" applyFont="1" applyBorder="1" applyAlignment="1" applyProtection="1">
      <alignment horizontal="center" vertical="center"/>
      <protection hidden="1"/>
    </xf>
    <xf numFmtId="0" fontId="103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101" fillId="0" borderId="0" xfId="0" applyFont="1" applyAlignment="1" applyProtection="1">
      <alignment vertical="center" wrapText="1"/>
      <protection hidden="1"/>
    </xf>
    <xf numFmtId="0" fontId="102" fillId="0" borderId="0" xfId="0" applyFont="1" applyAlignment="1" applyProtection="1">
      <alignment vertical="center" wrapText="1"/>
      <protection hidden="1"/>
    </xf>
    <xf numFmtId="0" fontId="103" fillId="0" borderId="0" xfId="0" applyFont="1" applyAlignment="1" applyProtection="1">
      <alignment vertical="center" wrapText="1"/>
      <protection hidden="1"/>
    </xf>
    <xf numFmtId="0" fontId="100" fillId="0" borderId="0" xfId="0" applyFont="1" applyAlignment="1" applyProtection="1">
      <alignment vertical="center"/>
      <protection hidden="1"/>
    </xf>
    <xf numFmtId="0" fontId="24" fillId="2" borderId="23" xfId="0" applyFont="1" applyFill="1" applyBorder="1" applyAlignment="1" applyProtection="1">
      <alignment horizontal="center" vertical="center"/>
      <protection hidden="1"/>
    </xf>
    <xf numFmtId="164" fontId="25" fillId="0" borderId="80" xfId="0" applyNumberFormat="1" applyFont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right"/>
    </xf>
    <xf numFmtId="0" fontId="98" fillId="13" borderId="81" xfId="0" applyFont="1" applyFill="1" applyBorder="1"/>
    <xf numFmtId="0" fontId="0" fillId="14" borderId="81" xfId="0" applyFill="1" applyBorder="1"/>
    <xf numFmtId="0" fontId="0" fillId="0" borderId="81" xfId="0" applyBorder="1"/>
    <xf numFmtId="0" fontId="59" fillId="0" borderId="0" xfId="0" applyFont="1" applyAlignment="1">
      <alignment horizontal="right" vertical="top" wrapText="1"/>
    </xf>
    <xf numFmtId="0" fontId="104" fillId="11" borderId="4" xfId="0" applyFont="1" applyFill="1" applyBorder="1"/>
    <xf numFmtId="0" fontId="104" fillId="11" borderId="4" xfId="0" applyFont="1" applyFill="1" applyBorder="1" applyAlignment="1">
      <alignment horizontal="left" vertical="top" wrapText="1"/>
    </xf>
    <xf numFmtId="0" fontId="104" fillId="11" borderId="4" xfId="0" applyFont="1" applyFill="1" applyBorder="1" applyAlignment="1">
      <alignment horizontal="left" vertical="center" wrapText="1"/>
    </xf>
    <xf numFmtId="0" fontId="104" fillId="0" borderId="0" xfId="0" applyFont="1"/>
    <xf numFmtId="0" fontId="39" fillId="0" borderId="44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39" fillId="0" borderId="56" xfId="0" applyFont="1" applyBorder="1" applyAlignment="1">
      <alignment horizontal="center" vertical="center" wrapText="1"/>
    </xf>
    <xf numFmtId="0" fontId="105" fillId="0" borderId="0" xfId="0" applyFont="1" applyAlignment="1" applyProtection="1">
      <alignment horizontal="center" vertical="center"/>
      <protection hidden="1"/>
    </xf>
    <xf numFmtId="0" fontId="106" fillId="0" borderId="0" xfId="0" applyFont="1" applyAlignment="1" applyProtection="1">
      <alignment horizontal="center" vertical="center"/>
      <protection hidden="1"/>
    </xf>
    <xf numFmtId="0" fontId="93" fillId="0" borderId="0" xfId="0" applyFont="1" applyProtection="1">
      <protection hidden="1"/>
    </xf>
    <xf numFmtId="49" fontId="106" fillId="0" borderId="0" xfId="0" applyNumberFormat="1" applyFont="1" applyAlignment="1" applyProtection="1">
      <alignment horizontal="center" vertical="center"/>
      <protection hidden="1"/>
    </xf>
    <xf numFmtId="49" fontId="107" fillId="0" borderId="0" xfId="0" applyNumberFormat="1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10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79" fillId="7" borderId="4" xfId="0" applyFont="1" applyFill="1" applyBorder="1" applyAlignment="1" applyProtection="1">
      <alignment horizontal="center" vertical="center" wrapText="1"/>
      <protection hidden="1"/>
    </xf>
    <xf numFmtId="0" fontId="62" fillId="2" borderId="4" xfId="0" applyFont="1" applyFill="1" applyBorder="1" applyAlignment="1" applyProtection="1">
      <alignment horizontal="center" vertical="center" wrapText="1"/>
      <protection hidden="1"/>
    </xf>
    <xf numFmtId="0" fontId="79" fillId="2" borderId="27" xfId="0" applyFont="1" applyFill="1" applyBorder="1" applyAlignment="1" applyProtection="1">
      <alignment horizontal="right" vertical="center" wrapText="1"/>
      <protection hidden="1"/>
    </xf>
    <xf numFmtId="0" fontId="79" fillId="2" borderId="0" xfId="0" applyFont="1" applyFill="1" applyAlignment="1" applyProtection="1">
      <alignment horizontal="right" vertical="center" wrapText="1"/>
      <protection hidden="1"/>
    </xf>
    <xf numFmtId="0" fontId="62" fillId="2" borderId="0" xfId="0" applyFont="1" applyFill="1" applyAlignment="1" applyProtection="1">
      <alignment horizontal="center" vertical="center" wrapText="1"/>
      <protection hidden="1"/>
    </xf>
    <xf numFmtId="0" fontId="62" fillId="2" borderId="28" xfId="0" applyFont="1" applyFill="1" applyBorder="1" applyAlignment="1" applyProtection="1">
      <alignment horizontal="center" vertical="center" wrapText="1"/>
      <protection hidden="1"/>
    </xf>
    <xf numFmtId="0" fontId="62" fillId="2" borderId="0" xfId="0" applyFont="1" applyFill="1" applyProtection="1">
      <protection hidden="1"/>
    </xf>
    <xf numFmtId="0" fontId="62" fillId="2" borderId="28" xfId="0" applyFont="1" applyFill="1" applyBorder="1" applyProtection="1">
      <protection hidden="1"/>
    </xf>
    <xf numFmtId="0" fontId="91" fillId="12" borderId="0" xfId="0" applyFont="1" applyFill="1" applyAlignment="1">
      <alignment horizontal="center" vertical="center"/>
    </xf>
    <xf numFmtId="0" fontId="91" fillId="12" borderId="68" xfId="0" applyFont="1" applyFill="1" applyBorder="1" applyAlignment="1">
      <alignment horizontal="center" vertical="center"/>
    </xf>
    <xf numFmtId="0" fontId="91" fillId="12" borderId="54" xfId="0" applyFont="1" applyFill="1" applyBorder="1" applyAlignment="1">
      <alignment horizontal="center" vertical="center"/>
    </xf>
    <xf numFmtId="0" fontId="91" fillId="12" borderId="55" xfId="0" applyFont="1" applyFill="1" applyBorder="1" applyAlignment="1">
      <alignment horizontal="center" vertical="center"/>
    </xf>
    <xf numFmtId="0" fontId="95" fillId="12" borderId="43" xfId="0" applyFont="1" applyFill="1" applyBorder="1" applyAlignment="1">
      <alignment horizontal="center" vertical="center"/>
    </xf>
    <xf numFmtId="0" fontId="95" fillId="12" borderId="44" xfId="0" applyFont="1" applyFill="1" applyBorder="1" applyAlignment="1">
      <alignment horizontal="center" vertical="center"/>
    </xf>
    <xf numFmtId="0" fontId="95" fillId="12" borderId="56" xfId="0" applyFont="1" applyFill="1" applyBorder="1" applyAlignment="1">
      <alignment horizontal="center" vertical="center"/>
    </xf>
    <xf numFmtId="0" fontId="69" fillId="3" borderId="18" xfId="0" applyFont="1" applyFill="1" applyBorder="1" applyAlignment="1">
      <alignment horizontal="center" vertical="center"/>
    </xf>
    <xf numFmtId="0" fontId="38" fillId="0" borderId="67" xfId="0" applyFont="1" applyBorder="1" applyAlignment="1" applyProtection="1">
      <alignment horizontal="center" vertical="center" wrapText="1"/>
      <protection hidden="1"/>
    </xf>
    <xf numFmtId="0" fontId="38" fillId="0" borderId="63" xfId="0" applyFont="1" applyBorder="1" applyAlignment="1" applyProtection="1">
      <alignment horizontal="center" vertical="center"/>
      <protection hidden="1"/>
    </xf>
    <xf numFmtId="0" fontId="38" fillId="0" borderId="64" xfId="0" applyFont="1" applyBorder="1" applyAlignment="1" applyProtection="1">
      <alignment horizontal="center" vertical="center"/>
      <protection hidden="1"/>
    </xf>
    <xf numFmtId="0" fontId="38" fillId="0" borderId="31" xfId="0" applyFont="1" applyBorder="1" applyAlignment="1" applyProtection="1">
      <alignment horizontal="center" vertical="center"/>
      <protection hidden="1"/>
    </xf>
    <xf numFmtId="0" fontId="38" fillId="0" borderId="65" xfId="0" applyFont="1" applyBorder="1" applyAlignment="1" applyProtection="1">
      <alignment horizontal="center" vertical="center" wrapText="1"/>
      <protection hidden="1"/>
    </xf>
    <xf numFmtId="0" fontId="38" fillId="0" borderId="33" xfId="0" applyFont="1" applyBorder="1" applyAlignment="1" applyProtection="1">
      <alignment horizontal="center" vertical="center" wrapText="1"/>
      <protection hidden="1"/>
    </xf>
    <xf numFmtId="0" fontId="97" fillId="0" borderId="43" xfId="0" applyFont="1" applyBorder="1" applyAlignment="1">
      <alignment horizontal="center" vertical="center" wrapText="1"/>
    </xf>
    <xf numFmtId="0" fontId="40" fillId="0" borderId="0" xfId="0" applyFont="1" applyAlignment="1" applyProtection="1">
      <alignment horizontal="left" vertical="top" indent="1"/>
      <protection hidden="1"/>
    </xf>
    <xf numFmtId="0" fontId="69" fillId="3" borderId="24" xfId="0" applyFont="1" applyFill="1" applyBorder="1" applyAlignment="1">
      <alignment horizontal="center" vertical="center"/>
    </xf>
    <xf numFmtId="0" fontId="69" fillId="3" borderId="20" xfId="0" applyFont="1" applyFill="1" applyBorder="1" applyAlignment="1">
      <alignment horizontal="center" vertical="center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justify" vertical="top" wrapText="1"/>
    </xf>
    <xf numFmtId="0" fontId="0" fillId="0" borderId="0" xfId="0" applyAlignment="1">
      <alignment horizontal="justify" vertical="top"/>
    </xf>
    <xf numFmtId="0" fontId="16" fillId="0" borderId="0" xfId="0" applyFont="1" applyAlignment="1">
      <alignment horizontal="justify" vertical="top"/>
    </xf>
    <xf numFmtId="0" fontId="116" fillId="0" borderId="0" xfId="0" quotePrefix="1" applyFont="1" applyAlignment="1">
      <alignment vertical="top"/>
    </xf>
    <xf numFmtId="0" fontId="117" fillId="10" borderId="18" xfId="2" applyFont="1" applyBorder="1">
      <alignment horizontal="center" vertical="center" wrapText="1"/>
    </xf>
    <xf numFmtId="0" fontId="117" fillId="10" borderId="19" xfId="2" applyFont="1" applyBorder="1">
      <alignment horizontal="center" vertical="center" wrapText="1"/>
    </xf>
    <xf numFmtId="0" fontId="117" fillId="10" borderId="20" xfId="2" applyFont="1" applyBorder="1">
      <alignment horizontal="center" vertical="center" wrapText="1"/>
    </xf>
    <xf numFmtId="0" fontId="117" fillId="10" borderId="17" xfId="2" applyFont="1" applyBorder="1">
      <alignment horizontal="center" vertical="center" wrapText="1"/>
    </xf>
    <xf numFmtId="0" fontId="117" fillId="3" borderId="24" xfId="0" applyFont="1" applyFill="1" applyBorder="1" applyAlignment="1">
      <alignment horizontal="center" vertical="center" wrapText="1"/>
    </xf>
    <xf numFmtId="0" fontId="117" fillId="3" borderId="18" xfId="0" applyFont="1" applyFill="1" applyBorder="1" applyAlignment="1">
      <alignment horizontal="center" vertical="center" wrapText="1"/>
    </xf>
    <xf numFmtId="0" fontId="117" fillId="3" borderId="20" xfId="0" applyFont="1" applyFill="1" applyBorder="1" applyAlignment="1">
      <alignment horizontal="center" vertical="center" wrapText="1"/>
    </xf>
    <xf numFmtId="0" fontId="119" fillId="3" borderId="20" xfId="1" applyFont="1" applyFill="1" applyBorder="1" applyAlignment="1">
      <alignment horizontal="center" vertical="center" wrapText="1"/>
    </xf>
    <xf numFmtId="0" fontId="120" fillId="3" borderId="24" xfId="0" applyFont="1" applyFill="1" applyBorder="1" applyAlignment="1" applyProtection="1">
      <alignment horizontal="center" vertical="center" wrapText="1"/>
      <protection hidden="1"/>
    </xf>
    <xf numFmtId="0" fontId="120" fillId="3" borderId="18" xfId="0" applyFont="1" applyFill="1" applyBorder="1" applyAlignment="1" applyProtection="1">
      <alignment horizontal="center" vertical="center" wrapText="1"/>
      <protection hidden="1"/>
    </xf>
    <xf numFmtId="0" fontId="120" fillId="3" borderId="20" xfId="0" applyFont="1" applyFill="1" applyBorder="1" applyAlignment="1" applyProtection="1">
      <alignment horizontal="center" vertical="center" wrapText="1"/>
      <protection hidden="1"/>
    </xf>
    <xf numFmtId="0" fontId="117" fillId="10" borderId="24" xfId="0" applyFont="1" applyFill="1" applyBorder="1" applyAlignment="1">
      <alignment horizontal="center" vertical="center" wrapText="1"/>
    </xf>
    <xf numFmtId="0" fontId="117" fillId="10" borderId="19" xfId="0" applyFont="1" applyFill="1" applyBorder="1" applyAlignment="1">
      <alignment horizontal="center" vertical="center" wrapText="1"/>
    </xf>
    <xf numFmtId="0" fontId="119" fillId="3" borderId="17" xfId="1" applyFont="1" applyFill="1" applyBorder="1" applyAlignment="1">
      <alignment horizontal="center" vertical="center" wrapText="1"/>
    </xf>
    <xf numFmtId="0" fontId="119" fillId="3" borderId="19" xfId="1" applyFont="1" applyFill="1" applyBorder="1" applyAlignment="1">
      <alignment horizontal="center" vertical="center" wrapText="1"/>
    </xf>
    <xf numFmtId="0" fontId="117" fillId="3" borderId="17" xfId="0" applyFont="1" applyFill="1" applyBorder="1" applyAlignment="1">
      <alignment horizontal="center" vertical="center" wrapText="1"/>
    </xf>
    <xf numFmtId="0" fontId="117" fillId="10" borderId="17" xfId="0" applyFont="1" applyFill="1" applyBorder="1" applyAlignment="1">
      <alignment horizontal="center" vertical="center" wrapText="1"/>
    </xf>
    <xf numFmtId="0" fontId="117" fillId="10" borderId="20" xfId="0" applyFont="1" applyFill="1" applyBorder="1" applyAlignment="1">
      <alignment horizontal="center" vertical="center" wrapText="1"/>
    </xf>
    <xf numFmtId="0" fontId="40" fillId="0" borderId="0" xfId="0" applyFont="1" applyProtection="1">
      <protection locked="0"/>
    </xf>
    <xf numFmtId="0" fontId="47" fillId="0" borderId="0" xfId="0" applyFont="1" applyAlignment="1" applyProtection="1">
      <alignment horizontal="left"/>
      <protection locked="0"/>
    </xf>
    <xf numFmtId="0" fontId="126" fillId="0" borderId="0" xfId="0" applyFont="1" applyAlignment="1" applyProtection="1">
      <alignment horizontal="center" vertical="center"/>
      <protection hidden="1"/>
    </xf>
    <xf numFmtId="0" fontId="70" fillId="8" borderId="0" xfId="0" applyFont="1" applyFill="1" applyAlignment="1" applyProtection="1">
      <alignment horizontal="center" vertical="center" wrapText="1"/>
      <protection locked="0"/>
    </xf>
    <xf numFmtId="0" fontId="70" fillId="8" borderId="54" xfId="0" applyFont="1" applyFill="1" applyBorder="1" applyAlignment="1" applyProtection="1">
      <alignment horizontal="center" vertical="center" wrapText="1"/>
      <protection locked="0"/>
    </xf>
    <xf numFmtId="1" fontId="70" fillId="8" borderId="55" xfId="0" applyNumberFormat="1" applyFont="1" applyFill="1" applyBorder="1" applyAlignment="1" applyProtection="1">
      <alignment horizontal="center" vertical="center" wrapText="1"/>
      <protection locked="0"/>
    </xf>
    <xf numFmtId="0" fontId="70" fillId="8" borderId="55" xfId="0" applyFont="1" applyFill="1" applyBorder="1" applyAlignment="1" applyProtection="1">
      <alignment horizontal="center" vertical="center" wrapText="1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70" fillId="0" borderId="55" xfId="0" applyFont="1" applyBorder="1" applyAlignment="1" applyProtection="1">
      <alignment horizontal="center" vertical="center" wrapText="1"/>
      <protection locked="0"/>
    </xf>
    <xf numFmtId="0" fontId="70" fillId="9" borderId="0" xfId="0" applyFont="1" applyFill="1" applyAlignment="1" applyProtection="1">
      <alignment horizontal="center" vertical="center" wrapText="1"/>
      <protection locked="0"/>
    </xf>
    <xf numFmtId="0" fontId="70" fillId="9" borderId="55" xfId="0" applyFont="1" applyFill="1" applyBorder="1" applyAlignment="1" applyProtection="1">
      <alignment horizontal="center" vertical="center" wrapText="1"/>
      <protection locked="0"/>
    </xf>
    <xf numFmtId="0" fontId="70" fillId="0" borderId="21" xfId="0" applyFont="1" applyBorder="1" applyAlignment="1" applyProtection="1">
      <alignment horizontal="center" vertical="center" wrapText="1"/>
      <protection locked="0"/>
    </xf>
    <xf numFmtId="0" fontId="70" fillId="0" borderId="13" xfId="0" applyFont="1" applyBorder="1" applyAlignment="1" applyProtection="1">
      <alignment horizontal="center" vertical="center" wrapText="1"/>
      <protection locked="0"/>
    </xf>
    <xf numFmtId="0" fontId="70" fillId="0" borderId="54" xfId="0" applyFont="1" applyBorder="1" applyAlignment="1" applyProtection="1">
      <alignment horizontal="center" vertical="center" wrapText="1"/>
      <protection locked="0"/>
    </xf>
    <xf numFmtId="1" fontId="70" fillId="0" borderId="14" xfId="0" applyNumberFormat="1" applyFont="1" applyBorder="1" applyAlignment="1" applyProtection="1">
      <alignment horizontal="center" vertical="center" wrapText="1"/>
      <protection locked="0"/>
    </xf>
    <xf numFmtId="0" fontId="70" fillId="0" borderId="42" xfId="0" applyFont="1" applyBorder="1" applyAlignment="1" applyProtection="1">
      <alignment horizontal="center" vertical="center" wrapText="1"/>
      <protection locked="0"/>
    </xf>
    <xf numFmtId="0" fontId="70" fillId="0" borderId="14" xfId="0" applyFont="1" applyBorder="1" applyAlignment="1" applyProtection="1">
      <alignment horizontal="center" vertical="center" wrapText="1"/>
      <protection locked="0"/>
    </xf>
    <xf numFmtId="1" fontId="70" fillId="0" borderId="20" xfId="0" applyNumberFormat="1" applyFont="1" applyBorder="1" applyAlignment="1" applyProtection="1">
      <alignment horizontal="center" vertical="center" wrapText="1"/>
      <protection locked="0"/>
    </xf>
    <xf numFmtId="0" fontId="70" fillId="0" borderId="24" xfId="0" applyFont="1" applyBorder="1" applyAlignment="1" applyProtection="1">
      <alignment horizontal="center" vertical="center" wrapText="1"/>
      <protection locked="0"/>
    </xf>
    <xf numFmtId="0" fontId="70" fillId="0" borderId="20" xfId="0" applyFont="1" applyBorder="1" applyAlignment="1" applyProtection="1">
      <alignment horizontal="center" vertical="center" wrapText="1"/>
      <protection locked="0"/>
    </xf>
    <xf numFmtId="0" fontId="89" fillId="11" borderId="0" xfId="0" applyFont="1" applyFill="1" applyAlignment="1" applyProtection="1">
      <alignment horizontal="center" vertical="center" wrapText="1"/>
      <protection hidden="1"/>
    </xf>
    <xf numFmtId="0" fontId="89" fillId="11" borderId="54" xfId="0" applyFont="1" applyFill="1" applyBorder="1" applyAlignment="1" applyProtection="1">
      <alignment horizontal="center" vertical="center" wrapText="1"/>
      <protection hidden="1"/>
    </xf>
    <xf numFmtId="0" fontId="89" fillId="11" borderId="55" xfId="0" applyFont="1" applyFill="1" applyBorder="1" applyAlignment="1" applyProtection="1">
      <alignment horizontal="center" vertical="center" wrapText="1"/>
      <protection hidden="1"/>
    </xf>
    <xf numFmtId="0" fontId="89" fillId="11" borderId="43" xfId="0" applyFont="1" applyFill="1" applyBorder="1" applyAlignment="1" applyProtection="1">
      <alignment horizontal="center" vertical="center" wrapText="1"/>
      <protection hidden="1"/>
    </xf>
    <xf numFmtId="0" fontId="89" fillId="11" borderId="44" xfId="0" applyFont="1" applyFill="1" applyBorder="1" applyAlignment="1" applyProtection="1">
      <alignment horizontal="center" vertical="center" wrapText="1"/>
      <protection hidden="1"/>
    </xf>
    <xf numFmtId="0" fontId="89" fillId="11" borderId="56" xfId="0" applyFont="1" applyFill="1" applyBorder="1" applyAlignment="1" applyProtection="1">
      <alignment horizontal="center" vertical="center" wrapText="1"/>
      <protection hidden="1"/>
    </xf>
    <xf numFmtId="0" fontId="89" fillId="11" borderId="43" xfId="0" applyFont="1" applyFill="1" applyBorder="1" applyAlignment="1" applyProtection="1">
      <alignment horizontal="center" vertical="center"/>
      <protection hidden="1"/>
    </xf>
    <xf numFmtId="0" fontId="89" fillId="11" borderId="44" xfId="0" applyFont="1" applyFill="1" applyBorder="1" applyAlignment="1" applyProtection="1">
      <alignment horizontal="center" vertical="center"/>
      <protection hidden="1"/>
    </xf>
    <xf numFmtId="0" fontId="70" fillId="0" borderId="43" xfId="0" applyFont="1" applyBorder="1" applyAlignment="1" applyProtection="1">
      <alignment horizontal="center" vertical="center" wrapText="1"/>
      <protection locked="0"/>
    </xf>
    <xf numFmtId="0" fontId="70" fillId="0" borderId="44" xfId="0" applyFont="1" applyBorder="1" applyAlignment="1" applyProtection="1">
      <alignment horizontal="center" vertical="center" wrapText="1"/>
      <protection locked="0"/>
    </xf>
    <xf numFmtId="0" fontId="70" fillId="0" borderId="56" xfId="0" applyFont="1" applyBorder="1" applyAlignment="1" applyProtection="1">
      <alignment horizontal="center" vertical="center" wrapText="1"/>
      <protection locked="0"/>
    </xf>
    <xf numFmtId="0" fontId="70" fillId="9" borderId="54" xfId="0" applyFont="1" applyFill="1" applyBorder="1" applyAlignment="1" applyProtection="1">
      <alignment horizontal="center" vertical="center" wrapText="1"/>
      <protection locked="0"/>
    </xf>
    <xf numFmtId="0" fontId="70" fillId="9" borderId="43" xfId="0" applyFont="1" applyFill="1" applyBorder="1" applyAlignment="1" applyProtection="1">
      <alignment horizontal="center" vertical="center" wrapText="1"/>
      <protection locked="0"/>
    </xf>
    <xf numFmtId="0" fontId="70" fillId="9" borderId="44" xfId="0" applyFont="1" applyFill="1" applyBorder="1" applyAlignment="1" applyProtection="1">
      <alignment horizontal="center" vertical="center" wrapText="1"/>
      <protection locked="0"/>
    </xf>
    <xf numFmtId="0" fontId="70" fillId="9" borderId="56" xfId="0" applyFont="1" applyFill="1" applyBorder="1" applyAlignment="1" applyProtection="1">
      <alignment horizontal="center" vertical="center" wrapText="1"/>
      <protection locked="0"/>
    </xf>
    <xf numFmtId="0" fontId="40" fillId="0" borderId="54" xfId="0" applyFont="1" applyBorder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  <protection locked="0"/>
    </xf>
    <xf numFmtId="0" fontId="40" fillId="0" borderId="55" xfId="0" applyFont="1" applyBorder="1" applyAlignment="1" applyProtection="1">
      <alignment horizontal="center" vertical="center" wrapText="1"/>
      <protection locked="0"/>
    </xf>
    <xf numFmtId="0" fontId="70" fillId="0" borderId="4" xfId="0" applyFont="1" applyBorder="1" applyAlignment="1" applyProtection="1">
      <alignment horizontal="center" vertical="center" wrapText="1"/>
      <protection locked="0"/>
    </xf>
    <xf numFmtId="0" fontId="70" fillId="0" borderId="0" xfId="0" applyFont="1"/>
    <xf numFmtId="0" fontId="69" fillId="0" borderId="0" xfId="0" applyFont="1" applyAlignment="1">
      <alignment horizontal="left" vertical="center" indent="2"/>
    </xf>
    <xf numFmtId="0" fontId="69" fillId="0" borderId="0" xfId="0" applyFont="1" applyAlignment="1">
      <alignment horizontal="right" vertical="center"/>
    </xf>
    <xf numFmtId="0" fontId="70" fillId="0" borderId="4" xfId="0" applyFont="1" applyBorder="1" applyAlignment="1" applyProtection="1">
      <alignment horizontal="left" vertical="center"/>
      <protection locked="0"/>
    </xf>
    <xf numFmtId="14" fontId="70" fillId="0" borderId="4" xfId="0" applyNumberFormat="1" applyFont="1" applyBorder="1" applyAlignment="1" applyProtection="1">
      <alignment horizontal="left" vertical="center"/>
      <protection locked="0"/>
    </xf>
    <xf numFmtId="0" fontId="69" fillId="0" borderId="0" xfId="0" applyFont="1" applyAlignment="1">
      <alignment horizontal="right" vertical="center" indent="1"/>
    </xf>
    <xf numFmtId="166" fontId="25" fillId="0" borderId="13" xfId="0" applyNumberFormat="1" applyFont="1" applyBorder="1" applyAlignment="1" applyProtection="1">
      <alignment horizontal="center" vertical="center" wrapText="1"/>
      <protection hidden="1"/>
    </xf>
    <xf numFmtId="0" fontId="17" fillId="0" borderId="19" xfId="0" applyFont="1" applyBorder="1" applyAlignment="1" applyProtection="1">
      <alignment vertical="center"/>
      <protection hidden="1"/>
    </xf>
    <xf numFmtId="0" fontId="17" fillId="0" borderId="17" xfId="0" applyFont="1" applyBorder="1" applyAlignment="1" applyProtection="1">
      <alignment vertical="center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3" xfId="0" applyFont="1" applyBorder="1" applyAlignment="1" applyProtection="1">
      <alignment vertical="center"/>
      <protection hidden="1"/>
    </xf>
    <xf numFmtId="0" fontId="17" fillId="0" borderId="14" xfId="0" applyFont="1" applyBorder="1" applyAlignment="1" applyProtection="1">
      <alignment vertical="center"/>
      <protection hidden="1"/>
    </xf>
    <xf numFmtId="0" fontId="17" fillId="0" borderId="20" xfId="0" applyFont="1" applyBorder="1" applyAlignment="1" applyProtection="1">
      <alignment vertical="center"/>
      <protection hidden="1"/>
    </xf>
    <xf numFmtId="0" fontId="82" fillId="0" borderId="0" xfId="0" applyFont="1" applyAlignment="1" applyProtection="1">
      <alignment vertical="center" wrapText="1"/>
      <protection hidden="1"/>
    </xf>
    <xf numFmtId="0" fontId="17" fillId="2" borderId="36" xfId="0" applyFont="1" applyFill="1" applyBorder="1" applyAlignment="1" applyProtection="1">
      <alignment horizontal="center" vertical="center"/>
      <protection hidden="1"/>
    </xf>
    <xf numFmtId="165" fontId="85" fillId="4" borderId="86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34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90" xfId="0" applyNumberFormat="1" applyFont="1" applyFill="1" applyBorder="1" applyAlignment="1" applyProtection="1">
      <alignment horizontal="center" vertical="center" wrapText="1"/>
      <protection hidden="1"/>
    </xf>
    <xf numFmtId="0" fontId="65" fillId="0" borderId="24" xfId="0" applyFont="1" applyBorder="1" applyAlignment="1" applyProtection="1">
      <alignment horizontal="center" vertical="center"/>
      <protection hidden="1"/>
    </xf>
    <xf numFmtId="0" fontId="65" fillId="0" borderId="20" xfId="0" applyFont="1" applyBorder="1" applyAlignment="1" applyProtection="1">
      <alignment horizontal="center" vertical="center"/>
      <protection hidden="1"/>
    </xf>
    <xf numFmtId="165" fontId="85" fillId="4" borderId="94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85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84" xfId="0" applyNumberFormat="1" applyFont="1" applyFill="1" applyBorder="1" applyAlignment="1" applyProtection="1">
      <alignment horizontal="center" vertical="center" wrapText="1"/>
      <protection hidden="1"/>
    </xf>
    <xf numFmtId="164" fontId="25" fillId="0" borderId="21" xfId="0" applyNumberFormat="1" applyFont="1" applyBorder="1" applyAlignment="1" applyProtection="1">
      <alignment horizontal="center" vertical="center" wrapText="1"/>
      <protection hidden="1"/>
    </xf>
    <xf numFmtId="164" fontId="25" fillId="0" borderId="13" xfId="0" applyNumberFormat="1" applyFont="1" applyBorder="1" applyAlignment="1" applyProtection="1">
      <alignment horizontal="center" vertical="center" wrapText="1"/>
      <protection hidden="1"/>
    </xf>
    <xf numFmtId="164" fontId="25" fillId="0" borderId="26" xfId="0" applyNumberFormat="1" applyFont="1" applyBorder="1" applyAlignment="1" applyProtection="1">
      <alignment horizontal="center" vertical="center" wrapText="1"/>
      <protection hidden="1"/>
    </xf>
    <xf numFmtId="164" fontId="25" fillId="0" borderId="25" xfId="0" applyNumberFormat="1" applyFont="1" applyBorder="1" applyAlignment="1" applyProtection="1">
      <alignment horizontal="center" vertical="center" wrapText="1"/>
      <protection hidden="1"/>
    </xf>
    <xf numFmtId="164" fontId="25" fillId="0" borderId="57" xfId="0" applyNumberFormat="1" applyFont="1" applyBorder="1" applyAlignment="1" applyProtection="1">
      <alignment horizontal="center" vertical="center" wrapText="1"/>
      <protection hidden="1"/>
    </xf>
    <xf numFmtId="164" fontId="25" fillId="0" borderId="79" xfId="0" applyNumberFormat="1" applyFont="1" applyBorder="1" applyAlignment="1" applyProtection="1">
      <alignment horizontal="center" vertical="center" wrapText="1"/>
      <protection hidden="1"/>
    </xf>
    <xf numFmtId="164" fontId="25" fillId="0" borderId="78" xfId="0" applyNumberFormat="1" applyFont="1" applyBorder="1" applyAlignment="1" applyProtection="1">
      <alignment horizontal="center" vertical="center" wrapText="1"/>
      <protection hidden="1"/>
    </xf>
    <xf numFmtId="164" fontId="25" fillId="0" borderId="76" xfId="0" applyNumberFormat="1" applyFont="1" applyBorder="1" applyAlignment="1" applyProtection="1">
      <alignment horizontal="center" vertical="center" wrapText="1"/>
      <protection hidden="1"/>
    </xf>
    <xf numFmtId="164" fontId="25" fillId="0" borderId="87" xfId="0" applyNumberFormat="1" applyFont="1" applyBorder="1" applyAlignment="1" applyProtection="1">
      <alignment horizontal="center" vertical="center" wrapText="1"/>
      <protection hidden="1"/>
    </xf>
    <xf numFmtId="164" fontId="25" fillId="0" borderId="73" xfId="0" applyNumberFormat="1" applyFont="1" applyBorder="1" applyAlignment="1" applyProtection="1">
      <alignment horizontal="center" vertical="center" wrapText="1"/>
      <protection hidden="1"/>
    </xf>
    <xf numFmtId="164" fontId="25" fillId="0" borderId="59" xfId="0" applyNumberFormat="1" applyFont="1" applyBorder="1" applyAlignment="1" applyProtection="1">
      <alignment horizontal="center" vertical="center" wrapText="1"/>
      <protection hidden="1"/>
    </xf>
    <xf numFmtId="164" fontId="25" fillId="0" borderId="39" xfId="0" applyNumberFormat="1" applyFont="1" applyBorder="1" applyAlignment="1" applyProtection="1">
      <alignment horizontal="center" vertical="center" wrapText="1"/>
      <protection hidden="1"/>
    </xf>
    <xf numFmtId="164" fontId="25" fillId="0" borderId="91" xfId="0" applyNumberFormat="1" applyFont="1" applyBorder="1" applyAlignment="1" applyProtection="1">
      <alignment horizontal="center" vertical="center" wrapText="1"/>
      <protection hidden="1"/>
    </xf>
    <xf numFmtId="164" fontId="27" fillId="0" borderId="24" xfId="0" applyNumberFormat="1" applyFont="1" applyBorder="1" applyAlignment="1" applyProtection="1">
      <alignment horizontal="center" vertical="center"/>
      <protection hidden="1"/>
    </xf>
    <xf numFmtId="164" fontId="27" fillId="0" borderId="20" xfId="0" applyNumberFormat="1" applyFont="1" applyBorder="1" applyAlignment="1" applyProtection="1">
      <alignment horizontal="center" vertical="center"/>
      <protection hidden="1"/>
    </xf>
    <xf numFmtId="164" fontId="27" fillId="0" borderId="16" xfId="0" applyNumberFormat="1" applyFont="1" applyBorder="1" applyAlignment="1" applyProtection="1">
      <alignment horizontal="center" vertical="center"/>
      <protection hidden="1"/>
    </xf>
    <xf numFmtId="164" fontId="27" fillId="0" borderId="35" xfId="0" applyNumberFormat="1" applyFont="1" applyBorder="1" applyAlignment="1" applyProtection="1">
      <alignment horizontal="center" vertical="center"/>
      <protection hidden="1"/>
    </xf>
    <xf numFmtId="164" fontId="25" fillId="0" borderId="73" xfId="0" applyNumberFormat="1" applyFont="1" applyBorder="1" applyAlignment="1" applyProtection="1">
      <alignment horizontal="center" vertical="center"/>
      <protection hidden="1"/>
    </xf>
    <xf numFmtId="164" fontId="25" fillId="0" borderId="59" xfId="0" applyNumberFormat="1" applyFont="1" applyBorder="1" applyAlignment="1" applyProtection="1">
      <alignment horizontal="center" vertical="center"/>
      <protection hidden="1"/>
    </xf>
    <xf numFmtId="164" fontId="25" fillId="0" borderId="26" xfId="0" applyNumberFormat="1" applyFont="1" applyBorder="1" applyAlignment="1" applyProtection="1">
      <alignment horizontal="center" vertical="center"/>
      <protection hidden="1"/>
    </xf>
    <xf numFmtId="164" fontId="25" fillId="0" borderId="42" xfId="0" applyNumberFormat="1" applyFont="1" applyBorder="1" applyAlignment="1" applyProtection="1">
      <alignment horizontal="center" vertical="center"/>
      <protection hidden="1"/>
    </xf>
    <xf numFmtId="164" fontId="25" fillId="0" borderId="14" xfId="0" applyNumberFormat="1" applyFont="1" applyBorder="1" applyAlignment="1" applyProtection="1">
      <alignment horizontal="center" vertical="center"/>
      <protection hidden="1"/>
    </xf>
    <xf numFmtId="164" fontId="25" fillId="0" borderId="3" xfId="0" applyNumberFormat="1" applyFont="1" applyBorder="1" applyAlignment="1" applyProtection="1">
      <alignment horizontal="center" vertical="center"/>
      <protection hidden="1"/>
    </xf>
    <xf numFmtId="164" fontId="25" fillId="0" borderId="79" xfId="0" applyNumberFormat="1" applyFont="1" applyBorder="1" applyAlignment="1" applyProtection="1">
      <alignment horizontal="center" vertical="center"/>
      <protection hidden="1"/>
    </xf>
    <xf numFmtId="164" fontId="25" fillId="0" borderId="78" xfId="0" applyNumberFormat="1" applyFont="1" applyBorder="1" applyAlignment="1" applyProtection="1">
      <alignment horizontal="center" vertical="center"/>
      <protection hidden="1"/>
    </xf>
    <xf numFmtId="164" fontId="25" fillId="0" borderId="76" xfId="0" applyNumberFormat="1" applyFont="1" applyBorder="1" applyAlignment="1" applyProtection="1">
      <alignment horizontal="center" vertical="center"/>
      <protection hidden="1"/>
    </xf>
    <xf numFmtId="0" fontId="17" fillId="0" borderId="58" xfId="0" applyFont="1" applyBorder="1" applyAlignment="1" applyProtection="1">
      <alignment horizontal="center" vertical="center"/>
      <protection hidden="1"/>
    </xf>
    <xf numFmtId="0" fontId="17" fillId="0" borderId="86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39" xfId="0" applyFont="1" applyBorder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17" fillId="0" borderId="34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37" xfId="0" applyFont="1" applyBorder="1" applyAlignment="1" applyProtection="1">
      <alignment horizontal="center" vertical="center"/>
      <protection hidden="1"/>
    </xf>
    <xf numFmtId="0" fontId="17" fillId="0" borderId="15" xfId="0" applyFont="1" applyBorder="1" applyAlignment="1" applyProtection="1">
      <alignment vertical="center"/>
      <protection hidden="1"/>
    </xf>
    <xf numFmtId="0" fontId="17" fillId="0" borderId="35" xfId="0" applyFont="1" applyBorder="1" applyAlignment="1" applyProtection="1">
      <alignment vertical="center"/>
      <protection hidden="1"/>
    </xf>
    <xf numFmtId="0" fontId="17" fillId="0" borderId="16" xfId="0" applyFont="1" applyBorder="1" applyAlignment="1" applyProtection="1">
      <alignment horizontal="center" vertical="center"/>
      <protection hidden="1"/>
    </xf>
    <xf numFmtId="0" fontId="17" fillId="0" borderId="38" xfId="0" applyFont="1" applyBorder="1" applyAlignment="1" applyProtection="1">
      <alignment horizontal="center" vertical="center"/>
      <protection hidden="1"/>
    </xf>
    <xf numFmtId="164" fontId="24" fillId="2" borderId="46" xfId="0" applyNumberFormat="1" applyFont="1" applyFill="1" applyBorder="1" applyAlignment="1" applyProtection="1">
      <alignment horizontal="center" vertical="center"/>
      <protection hidden="1"/>
    </xf>
    <xf numFmtId="164" fontId="24" fillId="2" borderId="35" xfId="0" applyNumberFormat="1" applyFont="1" applyFill="1" applyBorder="1" applyAlignment="1" applyProtection="1">
      <alignment horizontal="center" vertical="center"/>
      <protection hidden="1"/>
    </xf>
    <xf numFmtId="49" fontId="70" fillId="0" borderId="4" xfId="0" applyNumberFormat="1" applyFont="1" applyBorder="1" applyAlignment="1" applyProtection="1">
      <alignment horizontal="left" vertical="center"/>
      <protection locked="0"/>
    </xf>
    <xf numFmtId="9" fontId="0" fillId="0" borderId="0" xfId="3" applyFont="1" applyProtection="1">
      <protection hidden="1"/>
    </xf>
    <xf numFmtId="9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22" fontId="70" fillId="0" borderId="0" xfId="0" applyNumberFormat="1" applyFont="1"/>
    <xf numFmtId="0" fontId="69" fillId="0" borderId="0" xfId="0" applyFont="1" applyAlignment="1" applyProtection="1">
      <alignment horizontal="right" vertical="center"/>
      <protection locked="0"/>
    </xf>
    <xf numFmtId="0" fontId="59" fillId="2" borderId="0" xfId="0" applyFont="1" applyFill="1" applyAlignment="1">
      <alignment horizontal="center"/>
    </xf>
    <xf numFmtId="0" fontId="56" fillId="0" borderId="0" xfId="0" applyFont="1" applyAlignment="1">
      <alignment horizontal="center"/>
    </xf>
    <xf numFmtId="0" fontId="117" fillId="9" borderId="0" xfId="0" applyFont="1" applyFill="1" applyAlignment="1" applyProtection="1">
      <alignment horizontal="left" vertical="center"/>
      <protection hidden="1"/>
    </xf>
    <xf numFmtId="0" fontId="130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31" fillId="13" borderId="96" xfId="0" applyFont="1" applyFill="1" applyBorder="1"/>
    <xf numFmtId="0" fontId="131" fillId="13" borderId="97" xfId="0" applyFont="1" applyFill="1" applyBorder="1"/>
    <xf numFmtId="0" fontId="117" fillId="9" borderId="0" xfId="0" applyFont="1" applyFill="1" applyAlignment="1" applyProtection="1">
      <alignment horizontal="left" vertical="center" wrapText="1"/>
      <protection hidden="1"/>
    </xf>
    <xf numFmtId="0" fontId="69" fillId="0" borderId="0" xfId="0" applyFont="1" applyAlignment="1" applyProtection="1">
      <alignment horizontal="center" vertical="center" wrapText="1"/>
      <protection locked="0" hidden="1"/>
    </xf>
    <xf numFmtId="0" fontId="59" fillId="0" borderId="0" xfId="0" applyFont="1" applyAlignment="1">
      <alignment horizontal="center" vertical="center"/>
    </xf>
    <xf numFmtId="0" fontId="131" fillId="13" borderId="97" xfId="0" applyFont="1" applyFill="1" applyBorder="1" applyAlignment="1">
      <alignment horizontal="left" vertical="center"/>
    </xf>
    <xf numFmtId="0" fontId="89" fillId="11" borderId="55" xfId="0" applyFont="1" applyFill="1" applyBorder="1" applyAlignment="1" applyProtection="1">
      <alignment horizontal="center" vertical="center"/>
      <protection locked="0" hidden="1"/>
    </xf>
    <xf numFmtId="0" fontId="89" fillId="11" borderId="42" xfId="0" applyFont="1" applyFill="1" applyBorder="1" applyAlignment="1" applyProtection="1">
      <alignment horizontal="center" vertical="center"/>
      <protection hidden="1"/>
    </xf>
    <xf numFmtId="0" fontId="89" fillId="11" borderId="24" xfId="0" applyFont="1" applyFill="1" applyBorder="1" applyAlignment="1" applyProtection="1">
      <alignment horizontal="center" vertical="center"/>
      <protection hidden="1"/>
    </xf>
    <xf numFmtId="0" fontId="89" fillId="11" borderId="14" xfId="0" applyFont="1" applyFill="1" applyBorder="1" applyAlignment="1" applyProtection="1">
      <alignment horizontal="center" vertical="center"/>
      <protection locked="0" hidden="1"/>
    </xf>
    <xf numFmtId="0" fontId="89" fillId="11" borderId="20" xfId="0" applyFont="1" applyFill="1" applyBorder="1" applyAlignment="1" applyProtection="1">
      <alignment horizontal="center" vertical="center"/>
      <protection locked="0" hidden="1"/>
    </xf>
    <xf numFmtId="0" fontId="89" fillId="11" borderId="4" xfId="0" applyFont="1" applyFill="1" applyBorder="1" applyAlignment="1" applyProtection="1">
      <alignment horizontal="center" vertical="center"/>
      <protection locked="0" hidden="1"/>
    </xf>
    <xf numFmtId="0" fontId="89" fillId="11" borderId="18" xfId="0" applyFont="1" applyFill="1" applyBorder="1" applyAlignment="1" applyProtection="1">
      <alignment horizontal="center" vertical="center"/>
      <protection locked="0" hidden="1"/>
    </xf>
    <xf numFmtId="0" fontId="89" fillId="11" borderId="56" xfId="0" applyFont="1" applyFill="1" applyBorder="1" applyAlignment="1" applyProtection="1">
      <alignment horizontal="center" vertical="center"/>
      <protection locked="0" hidden="1"/>
    </xf>
    <xf numFmtId="0" fontId="90" fillId="12" borderId="0" xfId="0" applyFont="1" applyFill="1" applyAlignment="1" applyProtection="1">
      <alignment horizontal="center" vertical="center" wrapText="1"/>
      <protection hidden="1"/>
    </xf>
    <xf numFmtId="0" fontId="89" fillId="11" borderId="21" xfId="0" applyFont="1" applyFill="1" applyBorder="1" applyAlignment="1" applyProtection="1">
      <alignment horizontal="center" vertical="center"/>
      <protection hidden="1"/>
    </xf>
    <xf numFmtId="0" fontId="89" fillId="11" borderId="22" xfId="0" applyFont="1" applyFill="1" applyBorder="1" applyAlignment="1" applyProtection="1">
      <alignment horizontal="center" vertical="center"/>
      <protection locked="0" hidden="1"/>
    </xf>
    <xf numFmtId="0" fontId="89" fillId="11" borderId="13" xfId="0" applyFont="1" applyFill="1" applyBorder="1" applyAlignment="1" applyProtection="1">
      <alignment horizontal="center" vertical="center"/>
      <protection locked="0" hidden="1"/>
    </xf>
    <xf numFmtId="0" fontId="89" fillId="11" borderId="54" xfId="0" applyFont="1" applyFill="1" applyBorder="1" applyAlignment="1" applyProtection="1">
      <alignment horizontal="center" vertical="center"/>
      <protection locked="0" hidden="1"/>
    </xf>
    <xf numFmtId="0" fontId="89" fillId="11" borderId="43" xfId="0" applyFont="1" applyFill="1" applyBorder="1" applyAlignment="1" applyProtection="1">
      <alignment horizontal="center" vertical="center"/>
      <protection locked="0" hidden="1"/>
    </xf>
    <xf numFmtId="0" fontId="117" fillId="3" borderId="70" xfId="0" applyFont="1" applyFill="1" applyBorder="1" applyAlignment="1">
      <alignment horizontal="center" vertical="center" wrapText="1"/>
    </xf>
    <xf numFmtId="0" fontId="117" fillId="3" borderId="8" xfId="0" applyFont="1" applyFill="1" applyBorder="1" applyAlignment="1">
      <alignment horizontal="center" vertical="center" wrapText="1"/>
    </xf>
    <xf numFmtId="0" fontId="117" fillId="3" borderId="98" xfId="0" applyFont="1" applyFill="1" applyBorder="1" applyAlignment="1">
      <alignment horizontal="center" vertical="center" wrapText="1"/>
    </xf>
    <xf numFmtId="0" fontId="90" fillId="12" borderId="71" xfId="0" applyFont="1" applyFill="1" applyBorder="1" applyAlignment="1" applyProtection="1">
      <alignment horizontal="center" vertical="center" wrapText="1"/>
      <protection hidden="1"/>
    </xf>
    <xf numFmtId="0" fontId="90" fillId="12" borderId="72" xfId="0" applyFont="1" applyFill="1" applyBorder="1" applyAlignment="1" applyProtection="1">
      <alignment horizontal="center" vertical="center" wrapText="1"/>
      <protection hidden="1"/>
    </xf>
    <xf numFmtId="0" fontId="90" fillId="12" borderId="47" xfId="0" applyFont="1" applyFill="1" applyBorder="1" applyAlignment="1" applyProtection="1">
      <alignment horizontal="center" vertical="center" wrapText="1"/>
      <protection hidden="1"/>
    </xf>
    <xf numFmtId="0" fontId="90" fillId="12" borderId="48" xfId="0" applyFont="1" applyFill="1" applyBorder="1" applyAlignment="1" applyProtection="1">
      <alignment horizontal="center" vertical="center" wrapText="1"/>
      <protection hidden="1"/>
    </xf>
    <xf numFmtId="0" fontId="59" fillId="9" borderId="14" xfId="0" applyFont="1" applyFill="1" applyBorder="1" applyAlignment="1" applyProtection="1">
      <alignment horizontal="center" vertical="center" wrapText="1"/>
      <protection locked="0"/>
    </xf>
    <xf numFmtId="0" fontId="59" fillId="9" borderId="20" xfId="0" applyFont="1" applyFill="1" applyBorder="1" applyAlignment="1" applyProtection="1">
      <alignment horizontal="center" vertical="center" wrapText="1"/>
      <protection locked="0"/>
    </xf>
    <xf numFmtId="0" fontId="59" fillId="9" borderId="4" xfId="0" applyFont="1" applyFill="1" applyBorder="1" applyAlignment="1" applyProtection="1">
      <alignment horizontal="center" vertical="center" wrapText="1"/>
      <protection locked="0"/>
    </xf>
    <xf numFmtId="0" fontId="59" fillId="9" borderId="18" xfId="0" applyFont="1" applyFill="1" applyBorder="1" applyAlignment="1" applyProtection="1">
      <alignment horizontal="center" vertical="center" wrapText="1"/>
      <protection locked="0"/>
    </xf>
    <xf numFmtId="0" fontId="132" fillId="12" borderId="4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120" fillId="9" borderId="0" xfId="0" applyFont="1" applyFill="1" applyAlignment="1">
      <alignment horizontal="left" vertical="center" wrapText="1"/>
    </xf>
    <xf numFmtId="0" fontId="134" fillId="11" borderId="0" xfId="0" applyFont="1" applyFill="1" applyAlignment="1" applyProtection="1">
      <alignment horizontal="center" vertical="center"/>
      <protection hidden="1"/>
    </xf>
    <xf numFmtId="164" fontId="20" fillId="0" borderId="92" xfId="0" applyNumberFormat="1" applyFont="1" applyBorder="1" applyAlignment="1" applyProtection="1">
      <alignment horizontal="center" vertical="center" wrapText="1"/>
      <protection hidden="1"/>
    </xf>
    <xf numFmtId="164" fontId="20" fillId="0" borderId="93" xfId="0" applyNumberFormat="1" applyFont="1" applyBorder="1" applyAlignment="1" applyProtection="1">
      <alignment horizontal="center" vertical="center" wrapText="1"/>
      <protection hidden="1"/>
    </xf>
    <xf numFmtId="164" fontId="133" fillId="0" borderId="73" xfId="0" applyNumberFormat="1" applyFont="1" applyBorder="1" applyAlignment="1" applyProtection="1">
      <alignment horizontal="center" vertical="center" wrapText="1"/>
      <protection locked="0"/>
    </xf>
    <xf numFmtId="164" fontId="133" fillId="0" borderId="59" xfId="0" applyNumberFormat="1" applyFont="1" applyBorder="1" applyAlignment="1" applyProtection="1">
      <alignment horizontal="center" vertical="center" wrapText="1"/>
      <protection locked="0"/>
    </xf>
    <xf numFmtId="164" fontId="135" fillId="0" borderId="42" xfId="0" applyNumberFormat="1" applyFont="1" applyBorder="1" applyAlignment="1" applyProtection="1">
      <alignment horizontal="center" vertical="center" wrapText="1"/>
      <protection locked="0"/>
    </xf>
    <xf numFmtId="164" fontId="135" fillId="0" borderId="14" xfId="0" applyNumberFormat="1" applyFont="1" applyBorder="1" applyAlignment="1" applyProtection="1">
      <alignment horizontal="center" vertical="center" wrapText="1"/>
      <protection locked="0"/>
    </xf>
    <xf numFmtId="164" fontId="135" fillId="0" borderId="79" xfId="0" applyNumberFormat="1" applyFont="1" applyBorder="1" applyAlignment="1" applyProtection="1">
      <alignment horizontal="center" vertical="center" wrapText="1"/>
      <protection locked="0"/>
    </xf>
    <xf numFmtId="164" fontId="135" fillId="0" borderId="78" xfId="0" applyNumberFormat="1" applyFont="1" applyBorder="1" applyAlignment="1" applyProtection="1">
      <alignment horizontal="center" vertical="center" wrapText="1"/>
      <protection locked="0"/>
    </xf>
    <xf numFmtId="0" fontId="69" fillId="3" borderId="19" xfId="0" applyFont="1" applyFill="1" applyBorder="1" applyAlignment="1">
      <alignment horizontal="center" vertical="center" wrapText="1"/>
    </xf>
    <xf numFmtId="0" fontId="79" fillId="2" borderId="28" xfId="0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left"/>
    </xf>
    <xf numFmtId="0" fontId="68" fillId="0" borderId="36" xfId="0" applyFont="1" applyBorder="1" applyAlignment="1" applyProtection="1">
      <alignment horizontal="center" vertical="center" wrapText="1"/>
      <protection hidden="1"/>
    </xf>
    <xf numFmtId="164" fontId="27" fillId="0" borderId="100" xfId="0" applyNumberFormat="1" applyFont="1" applyBorder="1" applyAlignment="1" applyProtection="1">
      <alignment horizontal="center" vertical="center" wrapText="1"/>
      <protection hidden="1"/>
    </xf>
    <xf numFmtId="164" fontId="27" fillId="0" borderId="39" xfId="0" applyNumberFormat="1" applyFont="1" applyBorder="1" applyAlignment="1" applyProtection="1">
      <alignment horizontal="center" vertical="center" wrapText="1"/>
      <protection hidden="1"/>
    </xf>
    <xf numFmtId="164" fontId="27" fillId="0" borderId="37" xfId="0" applyNumberFormat="1" applyFont="1" applyBorder="1" applyAlignment="1" applyProtection="1">
      <alignment horizontal="center" vertical="center" wrapText="1"/>
      <protection hidden="1"/>
    </xf>
    <xf numFmtId="164" fontId="27" fillId="0" borderId="87" xfId="0" applyNumberFormat="1" applyFont="1" applyBorder="1" applyAlignment="1" applyProtection="1">
      <alignment horizontal="center" vertical="center" wrapText="1"/>
      <protection hidden="1"/>
    </xf>
    <xf numFmtId="0" fontId="69" fillId="3" borderId="24" xfId="0" applyFont="1" applyFill="1" applyBorder="1" applyAlignment="1">
      <alignment horizontal="center" vertical="center" wrapText="1"/>
    </xf>
    <xf numFmtId="164" fontId="27" fillId="0" borderId="57" xfId="0" applyNumberFormat="1" applyFont="1" applyBorder="1" applyAlignment="1" applyProtection="1">
      <alignment horizontal="center" vertical="center" wrapText="1"/>
      <protection hidden="1"/>
    </xf>
    <xf numFmtId="164" fontId="27" fillId="0" borderId="38" xfId="0" applyNumberFormat="1" applyFont="1" applyBorder="1" applyAlignment="1" applyProtection="1">
      <alignment horizontal="center" vertical="center" wrapText="1"/>
      <protection hidden="1"/>
    </xf>
    <xf numFmtId="165" fontId="27" fillId="4" borderId="39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38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31" xfId="0" applyFill="1" applyBorder="1" applyProtection="1">
      <protection hidden="1"/>
    </xf>
    <xf numFmtId="0" fontId="18" fillId="2" borderId="31" xfId="0" applyFont="1" applyFill="1" applyBorder="1" applyProtection="1">
      <protection hidden="1"/>
    </xf>
    <xf numFmtId="0" fontId="136" fillId="0" borderId="0" xfId="0" applyFont="1" applyAlignment="1" applyProtection="1">
      <alignment vertical="center"/>
      <protection hidden="1"/>
    </xf>
    <xf numFmtId="0" fontId="101" fillId="0" borderId="0" xfId="0" applyFont="1" applyProtection="1">
      <protection hidden="1"/>
    </xf>
    <xf numFmtId="0" fontId="131" fillId="13" borderId="97" xfId="0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89" fillId="11" borderId="21" xfId="0" applyFont="1" applyFill="1" applyBorder="1" applyAlignment="1" applyProtection="1">
      <alignment horizontal="center" vertical="center"/>
      <protection locked="0" hidden="1"/>
    </xf>
    <xf numFmtId="0" fontId="89" fillId="11" borderId="42" xfId="0" applyFont="1" applyFill="1" applyBorder="1" applyAlignment="1" applyProtection="1">
      <alignment horizontal="center" vertical="center"/>
      <protection locked="0" hidden="1"/>
    </xf>
    <xf numFmtId="0" fontId="89" fillId="11" borderId="24" xfId="0" applyFont="1" applyFill="1" applyBorder="1" applyAlignment="1" applyProtection="1">
      <alignment horizontal="center" vertical="center"/>
      <protection locked="0" hidden="1"/>
    </xf>
    <xf numFmtId="0" fontId="91" fillId="12" borderId="71" xfId="0" applyFont="1" applyFill="1" applyBorder="1" applyAlignment="1" applyProtection="1">
      <alignment horizontal="center" vertical="center" wrapText="1"/>
      <protection hidden="1"/>
    </xf>
    <xf numFmtId="0" fontId="91" fillId="12" borderId="72" xfId="0" applyFont="1" applyFill="1" applyBorder="1" applyAlignment="1" applyProtection="1">
      <alignment horizontal="center" vertical="center" wrapText="1"/>
      <protection hidden="1"/>
    </xf>
    <xf numFmtId="0" fontId="91" fillId="12" borderId="47" xfId="0" applyFont="1" applyFill="1" applyBorder="1" applyAlignment="1" applyProtection="1">
      <alignment horizontal="center" vertical="center" wrapText="1"/>
      <protection hidden="1"/>
    </xf>
    <xf numFmtId="0" fontId="89" fillId="11" borderId="29" xfId="0" applyFont="1" applyFill="1" applyBorder="1" applyAlignment="1" applyProtection="1">
      <alignment horizontal="center" vertical="center"/>
      <protection locked="0" hidden="1"/>
    </xf>
    <xf numFmtId="0" fontId="132" fillId="12" borderId="43" xfId="0" applyFont="1" applyFill="1" applyBorder="1" applyAlignment="1" applyProtection="1">
      <alignment horizontal="center" vertical="center" wrapText="1"/>
      <protection hidden="1"/>
    </xf>
    <xf numFmtId="0" fontId="89" fillId="11" borderId="73" xfId="0" applyFont="1" applyFill="1" applyBorder="1" applyAlignment="1" applyProtection="1">
      <alignment horizontal="center" vertical="center"/>
      <protection locked="0" hidden="1"/>
    </xf>
    <xf numFmtId="0" fontId="91" fillId="12" borderId="48" xfId="0" applyFont="1" applyFill="1" applyBorder="1" applyAlignment="1" applyProtection="1">
      <alignment horizontal="center" vertical="center" wrapText="1"/>
      <protection hidden="1"/>
    </xf>
    <xf numFmtId="0" fontId="91" fillId="12" borderId="44" xfId="0" applyFont="1" applyFill="1" applyBorder="1" applyAlignment="1" applyProtection="1">
      <alignment horizontal="center" vertical="center" wrapText="1"/>
      <protection hidden="1"/>
    </xf>
    <xf numFmtId="0" fontId="91" fillId="12" borderId="56" xfId="0" applyFont="1" applyFill="1" applyBorder="1" applyAlignment="1" applyProtection="1">
      <alignment horizontal="center" vertical="center" wrapText="1"/>
      <protection hidden="1"/>
    </xf>
    <xf numFmtId="0" fontId="84" fillId="0" borderId="44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56" xfId="0" applyFont="1" applyBorder="1" applyAlignment="1">
      <alignment horizontal="center" vertical="center" wrapText="1"/>
    </xf>
    <xf numFmtId="0" fontId="38" fillId="0" borderId="51" xfId="0" applyFont="1" applyBorder="1" applyAlignment="1" applyProtection="1">
      <alignment horizontal="center" vertical="center" wrapText="1"/>
      <protection hidden="1"/>
    </xf>
    <xf numFmtId="0" fontId="38" fillId="0" borderId="52" xfId="0" applyFont="1" applyBorder="1" applyAlignment="1" applyProtection="1">
      <alignment horizontal="center" vertical="center" wrapText="1"/>
      <protection hidden="1"/>
    </xf>
    <xf numFmtId="0" fontId="38" fillId="0" borderId="53" xfId="0" applyFont="1" applyBorder="1" applyAlignment="1" applyProtection="1">
      <alignment horizontal="center" vertical="center" wrapText="1"/>
      <protection hidden="1"/>
    </xf>
    <xf numFmtId="0" fontId="40" fillId="0" borderId="43" xfId="0" applyFont="1" applyBorder="1" applyAlignment="1" applyProtection="1">
      <alignment horizontal="center" vertical="center" wrapText="1"/>
      <protection locked="0"/>
    </xf>
    <xf numFmtId="0" fontId="40" fillId="0" borderId="44" xfId="0" applyFont="1" applyBorder="1" applyAlignment="1" applyProtection="1">
      <alignment horizontal="center" vertical="center" wrapText="1"/>
      <protection locked="0"/>
    </xf>
    <xf numFmtId="0" fontId="40" fillId="0" borderId="56" xfId="0" applyFont="1" applyBorder="1" applyAlignment="1" applyProtection="1">
      <alignment horizontal="center" vertical="center" wrapText="1"/>
      <protection locked="0"/>
    </xf>
    <xf numFmtId="0" fontId="59" fillId="0" borderId="45" xfId="0" applyFont="1" applyBorder="1" applyAlignment="1">
      <alignment horizontal="center"/>
    </xf>
    <xf numFmtId="0" fontId="59" fillId="0" borderId="32" xfId="0" applyFont="1" applyBorder="1"/>
    <xf numFmtId="0" fontId="59" fillId="0" borderId="63" xfId="0" applyFont="1" applyBorder="1"/>
    <xf numFmtId="0" fontId="0" fillId="0" borderId="26" xfId="0" applyBorder="1" applyAlignment="1">
      <alignment horizontal="center"/>
    </xf>
    <xf numFmtId="9" fontId="86" fillId="0" borderId="0" xfId="0" applyNumberFormat="1" applyFont="1" applyAlignment="1">
      <alignment horizontal="center"/>
    </xf>
    <xf numFmtId="0" fontId="139" fillId="0" borderId="26" xfId="0" applyFont="1" applyBorder="1"/>
    <xf numFmtId="0" fontId="139" fillId="0" borderId="25" xfId="0" applyFont="1" applyBorder="1" applyAlignment="1">
      <alignment horizontal="center"/>
    </xf>
    <xf numFmtId="0" fontId="139" fillId="0" borderId="29" xfId="0" applyFont="1" applyBorder="1"/>
    <xf numFmtId="0" fontId="40" fillId="0" borderId="0" xfId="0" applyFont="1" applyAlignment="1" applyProtection="1">
      <alignment horizontal="center"/>
      <protection locked="0" hidden="1"/>
    </xf>
    <xf numFmtId="0" fontId="97" fillId="0" borderId="0" xfId="0" applyFont="1" applyAlignment="1">
      <alignment vertical="center" wrapText="1"/>
    </xf>
    <xf numFmtId="164" fontId="25" fillId="0" borderId="70" xfId="0" applyNumberFormat="1" applyFont="1" applyBorder="1" applyAlignment="1" applyProtection="1">
      <alignment horizontal="center" vertical="center" wrapText="1"/>
      <protection hidden="1"/>
    </xf>
    <xf numFmtId="164" fontId="25" fillId="0" borderId="41" xfId="0" applyNumberFormat="1" applyFont="1" applyBorder="1" applyAlignment="1" applyProtection="1">
      <alignment horizontal="center" vertical="center" wrapText="1"/>
      <protection hidden="1"/>
    </xf>
    <xf numFmtId="164" fontId="25" fillId="0" borderId="8" xfId="0" applyNumberFormat="1" applyFont="1" applyBorder="1" applyAlignment="1" applyProtection="1">
      <alignment horizontal="center" vertical="center" wrapText="1"/>
      <protection hidden="1"/>
    </xf>
    <xf numFmtId="164" fontId="25" fillId="0" borderId="10" xfId="0" applyNumberFormat="1" applyFont="1" applyBorder="1" applyAlignment="1" applyProtection="1">
      <alignment horizontal="center" vertical="center" wrapText="1"/>
      <protection hidden="1"/>
    </xf>
    <xf numFmtId="164" fontId="25" fillId="0" borderId="101" xfId="0" applyNumberFormat="1" applyFont="1" applyBorder="1" applyAlignment="1" applyProtection="1">
      <alignment horizontal="center" vertical="center" wrapText="1"/>
      <protection hidden="1"/>
    </xf>
    <xf numFmtId="164" fontId="27" fillId="0" borderId="73" xfId="0" applyNumberFormat="1" applyFont="1" applyBorder="1" applyAlignment="1" applyProtection="1">
      <alignment horizontal="center" vertical="center" wrapText="1"/>
      <protection hidden="1"/>
    </xf>
    <xf numFmtId="164" fontId="27" fillId="0" borderId="59" xfId="0" applyNumberFormat="1" applyFont="1" applyBorder="1" applyAlignment="1" applyProtection="1">
      <alignment horizontal="center" vertical="center" wrapText="1"/>
      <protection hidden="1"/>
    </xf>
    <xf numFmtId="164" fontId="27" fillId="0" borderId="5" xfId="0" applyNumberFormat="1" applyFont="1" applyBorder="1" applyAlignment="1" applyProtection="1">
      <alignment horizontal="center" vertical="center" wrapText="1"/>
      <protection hidden="1"/>
    </xf>
    <xf numFmtId="164" fontId="27" fillId="0" borderId="86" xfId="0" applyNumberFormat="1" applyFont="1" applyBorder="1" applyAlignment="1" applyProtection="1">
      <alignment horizontal="center" vertical="center" wrapText="1"/>
      <protection hidden="1"/>
    </xf>
    <xf numFmtId="165" fontId="85" fillId="4" borderId="102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62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33" xfId="0" applyNumberFormat="1" applyFont="1" applyFill="1" applyBorder="1" applyAlignment="1" applyProtection="1">
      <alignment horizontal="center" vertical="center" wrapText="1"/>
      <protection hidden="1"/>
    </xf>
    <xf numFmtId="165" fontId="85" fillId="4" borderId="45" xfId="0" applyNumberFormat="1" applyFont="1" applyFill="1" applyBorder="1" applyAlignment="1" applyProtection="1">
      <alignment horizontal="center" vertical="center" wrapText="1"/>
      <protection hidden="1"/>
    </xf>
    <xf numFmtId="164" fontId="25" fillId="0" borderId="56" xfId="0" applyNumberFormat="1" applyFont="1" applyBorder="1" applyAlignment="1" applyProtection="1">
      <alignment horizontal="center" vertical="center" wrapText="1"/>
      <protection hidden="1"/>
    </xf>
    <xf numFmtId="0" fontId="53" fillId="6" borderId="1" xfId="0" applyFont="1" applyFill="1" applyBorder="1" applyAlignment="1" applyProtection="1">
      <alignment horizontal="right" vertical="center"/>
      <protection hidden="1"/>
    </xf>
    <xf numFmtId="49" fontId="69" fillId="0" borderId="4" xfId="0" applyNumberFormat="1" applyFont="1" applyBorder="1" applyAlignment="1" applyProtection="1">
      <alignment horizontal="left" vertical="center"/>
      <protection locked="0"/>
    </xf>
    <xf numFmtId="0" fontId="76" fillId="6" borderId="1" xfId="0" applyFont="1" applyFill="1" applyBorder="1" applyAlignment="1" applyProtection="1">
      <alignment horizontal="right" vertical="center" wrapText="1"/>
      <protection hidden="1"/>
    </xf>
    <xf numFmtId="0" fontId="141" fillId="6" borderId="2" xfId="1" applyFont="1" applyFill="1" applyBorder="1" applyAlignment="1" applyProtection="1">
      <alignment horizontal="center" vertical="center"/>
      <protection hidden="1"/>
    </xf>
    <xf numFmtId="0" fontId="141" fillId="6" borderId="2" xfId="1" applyFont="1" applyFill="1" applyBorder="1" applyAlignment="1" applyProtection="1">
      <alignment horizontal="center" vertical="center" wrapText="1"/>
      <protection hidden="1"/>
    </xf>
    <xf numFmtId="0" fontId="141" fillId="6" borderId="3" xfId="1" applyFont="1" applyFill="1" applyBorder="1" applyAlignment="1" applyProtection="1">
      <alignment horizontal="center" vertical="center" wrapText="1"/>
      <protection hidden="1"/>
    </xf>
    <xf numFmtId="9" fontId="59" fillId="0" borderId="0" xfId="0" applyNumberFormat="1" applyFont="1" applyAlignment="1" applyProtection="1">
      <alignment horizontal="center" vertical="center"/>
      <protection hidden="1"/>
    </xf>
    <xf numFmtId="164" fontId="18" fillId="0" borderId="71" xfId="0" applyNumberFormat="1" applyFont="1" applyBorder="1" applyAlignment="1" applyProtection="1">
      <alignment horizontal="center" vertical="center" wrapText="1"/>
      <protection hidden="1"/>
    </xf>
    <xf numFmtId="164" fontId="18" fillId="0" borderId="72" xfId="0" applyNumberFormat="1" applyFont="1" applyBorder="1" applyAlignment="1" applyProtection="1">
      <alignment horizontal="center" vertical="center" wrapText="1"/>
      <protection hidden="1"/>
    </xf>
    <xf numFmtId="164" fontId="0" fillId="0" borderId="47" xfId="0" applyNumberFormat="1" applyBorder="1" applyAlignment="1" applyProtection="1">
      <alignment horizontal="center" vertical="center"/>
      <protection hidden="1"/>
    </xf>
    <xf numFmtId="164" fontId="135" fillId="0" borderId="73" xfId="0" applyNumberFormat="1" applyFont="1" applyBorder="1" applyAlignment="1" applyProtection="1">
      <alignment horizontal="center" vertical="center" wrapText="1"/>
      <protection locked="0"/>
    </xf>
    <xf numFmtId="164" fontId="135" fillId="0" borderId="59" xfId="0" applyNumberFormat="1" applyFont="1" applyBorder="1" applyAlignment="1" applyProtection="1">
      <alignment horizontal="center" vertical="center" wrapText="1"/>
      <protection locked="0"/>
    </xf>
    <xf numFmtId="166" fontId="27" fillId="0" borderId="46" xfId="0" applyNumberFormat="1" applyFont="1" applyBorder="1" applyAlignment="1" applyProtection="1">
      <alignment horizontal="center" vertical="center" wrapText="1"/>
      <protection hidden="1"/>
    </xf>
    <xf numFmtId="166" fontId="27" fillId="0" borderId="35" xfId="0" applyNumberFormat="1" applyFont="1" applyBorder="1" applyAlignment="1" applyProtection="1">
      <alignment horizontal="center" vertical="center"/>
      <protection hidden="1"/>
    </xf>
    <xf numFmtId="166" fontId="27" fillId="0" borderId="21" xfId="0" applyNumberFormat="1" applyFont="1" applyBorder="1" applyAlignment="1" applyProtection="1">
      <alignment horizontal="center" vertical="center" wrapText="1"/>
      <protection hidden="1"/>
    </xf>
    <xf numFmtId="166" fontId="27" fillId="0" borderId="24" xfId="0" applyNumberFormat="1" applyFont="1" applyBorder="1" applyAlignment="1" applyProtection="1">
      <alignment horizontal="center" vertical="center"/>
      <protection hidden="1"/>
    </xf>
    <xf numFmtId="166" fontId="24" fillId="2" borderId="46" xfId="0" applyNumberFormat="1" applyFont="1" applyFill="1" applyBorder="1" applyAlignment="1" applyProtection="1">
      <alignment horizontal="center" vertical="center"/>
      <protection hidden="1"/>
    </xf>
    <xf numFmtId="166" fontId="24" fillId="2" borderId="35" xfId="0" applyNumberFormat="1" applyFont="1" applyFill="1" applyBorder="1" applyAlignment="1" applyProtection="1">
      <alignment horizontal="center" vertical="center"/>
      <protection hidden="1"/>
    </xf>
    <xf numFmtId="165" fontId="25" fillId="4" borderId="90" xfId="0" applyNumberFormat="1" applyFont="1" applyFill="1" applyBorder="1" applyAlignment="1" applyProtection="1">
      <alignment horizontal="center" vertical="center" wrapText="1"/>
      <protection hidden="1"/>
    </xf>
    <xf numFmtId="165" fontId="25" fillId="4" borderId="86" xfId="0" applyNumberFormat="1" applyFont="1" applyFill="1" applyBorder="1" applyAlignment="1" applyProtection="1">
      <alignment horizontal="center" vertical="center" wrapText="1"/>
      <protection hidden="1"/>
    </xf>
    <xf numFmtId="165" fontId="25" fillId="4" borderId="34" xfId="0" applyNumberFormat="1" applyFont="1" applyFill="1" applyBorder="1" applyAlignment="1" applyProtection="1">
      <alignment horizontal="center" vertical="center" wrapText="1"/>
      <protection hidden="1"/>
    </xf>
    <xf numFmtId="166" fontId="25" fillId="0" borderId="34" xfId="0" applyNumberFormat="1" applyFont="1" applyBorder="1" applyAlignment="1" applyProtection="1">
      <alignment horizontal="center" vertical="center" wrapText="1"/>
      <protection hidden="1"/>
    </xf>
    <xf numFmtId="164" fontId="25" fillId="0" borderId="42" xfId="0" applyNumberFormat="1" applyFont="1" applyBorder="1" applyAlignment="1" applyProtection="1">
      <alignment horizontal="center" vertical="center" wrapText="1"/>
      <protection hidden="1"/>
    </xf>
    <xf numFmtId="164" fontId="25" fillId="0" borderId="14" xfId="0" applyNumberFormat="1" applyFont="1" applyBorder="1" applyAlignment="1" applyProtection="1">
      <alignment horizontal="center" vertical="center" wrapText="1"/>
      <protection hidden="1"/>
    </xf>
    <xf numFmtId="165" fontId="25" fillId="4" borderId="73" xfId="0" applyNumberFormat="1" applyFont="1" applyFill="1" applyBorder="1" applyAlignment="1" applyProtection="1">
      <alignment horizontal="center" vertical="center" wrapText="1"/>
      <protection hidden="1"/>
    </xf>
    <xf numFmtId="165" fontId="25" fillId="4" borderId="24" xfId="0" applyNumberFormat="1" applyFont="1" applyFill="1" applyBorder="1" applyAlignment="1" applyProtection="1">
      <alignment horizontal="center" vertical="center" wrapText="1"/>
      <protection hidden="1"/>
    </xf>
    <xf numFmtId="165" fontId="25" fillId="4" borderId="20" xfId="0" applyNumberFormat="1" applyFont="1" applyFill="1" applyBorder="1" applyAlignment="1" applyProtection="1">
      <alignment horizontal="center" vertical="center" wrapText="1"/>
      <protection hidden="1"/>
    </xf>
    <xf numFmtId="166" fontId="25" fillId="0" borderId="23" xfId="0" applyNumberFormat="1" applyFont="1" applyBorder="1" applyAlignment="1" applyProtection="1">
      <alignment horizontal="center" vertical="center" wrapText="1"/>
      <protection hidden="1"/>
    </xf>
    <xf numFmtId="166" fontId="25" fillId="0" borderId="1" xfId="0" applyNumberFormat="1" applyFont="1" applyBorder="1" applyAlignment="1" applyProtection="1">
      <alignment horizontal="center" vertical="center" wrapText="1"/>
      <protection hidden="1"/>
    </xf>
    <xf numFmtId="166" fontId="25" fillId="0" borderId="57" xfId="0" applyNumberFormat="1" applyFont="1" applyBorder="1" applyAlignment="1" applyProtection="1">
      <alignment horizontal="center" vertical="center" wrapText="1"/>
      <protection hidden="1"/>
    </xf>
    <xf numFmtId="166" fontId="25" fillId="0" borderId="37" xfId="0" applyNumberFormat="1" applyFont="1" applyBorder="1" applyAlignment="1" applyProtection="1">
      <alignment horizontal="center" vertical="center" wrapText="1"/>
      <protection hidden="1"/>
    </xf>
    <xf numFmtId="166" fontId="25" fillId="0" borderId="30" xfId="0" applyNumberFormat="1" applyFont="1" applyBorder="1" applyAlignment="1" applyProtection="1">
      <alignment horizontal="center" vertical="center" wrapText="1"/>
      <protection hidden="1"/>
    </xf>
    <xf numFmtId="166" fontId="25" fillId="0" borderId="3" xfId="0" applyNumberFormat="1" applyFont="1" applyBorder="1" applyAlignment="1" applyProtection="1">
      <alignment horizontal="center" vertical="center" wrapText="1"/>
      <protection hidden="1"/>
    </xf>
    <xf numFmtId="166" fontId="25" fillId="0" borderId="21" xfId="0" applyNumberFormat="1" applyFont="1" applyBorder="1" applyAlignment="1" applyProtection="1">
      <alignment horizontal="center" vertical="center" wrapText="1"/>
      <protection hidden="1"/>
    </xf>
    <xf numFmtId="166" fontId="25" fillId="0" borderId="42" xfId="0" applyNumberFormat="1" applyFont="1" applyBorder="1" applyAlignment="1" applyProtection="1">
      <alignment horizontal="center" vertical="center" wrapText="1"/>
      <protection hidden="1"/>
    </xf>
    <xf numFmtId="0" fontId="65" fillId="0" borderId="17" xfId="0" applyFont="1" applyBorder="1" applyAlignment="1" applyProtection="1">
      <alignment horizontal="center" vertical="center"/>
      <protection hidden="1"/>
    </xf>
    <xf numFmtId="0" fontId="65" fillId="0" borderId="19" xfId="0" applyFont="1" applyBorder="1" applyAlignment="1" applyProtection="1">
      <alignment horizontal="center" vertical="center"/>
      <protection hidden="1"/>
    </xf>
    <xf numFmtId="166" fontId="25" fillId="0" borderId="70" xfId="0" applyNumberFormat="1" applyFont="1" applyBorder="1" applyAlignment="1" applyProtection="1">
      <alignment horizontal="center" vertical="center" wrapText="1"/>
      <protection hidden="1"/>
    </xf>
    <xf numFmtId="166" fontId="25" fillId="0" borderId="41" xfId="0" applyNumberFormat="1" applyFont="1" applyBorder="1" applyAlignment="1" applyProtection="1">
      <alignment horizontal="center" vertical="center" wrapText="1"/>
      <protection hidden="1"/>
    </xf>
    <xf numFmtId="166" fontId="25" fillId="0" borderId="8" xfId="0" applyNumberFormat="1" applyFont="1" applyBorder="1" applyAlignment="1" applyProtection="1">
      <alignment horizontal="center" vertical="center" wrapText="1"/>
      <protection hidden="1"/>
    </xf>
    <xf numFmtId="166" fontId="25" fillId="0" borderId="10" xfId="0" applyNumberFormat="1" applyFont="1" applyBorder="1" applyAlignment="1" applyProtection="1">
      <alignment horizontal="center" vertical="center" wrapText="1"/>
      <protection hidden="1"/>
    </xf>
    <xf numFmtId="166" fontId="25" fillId="0" borderId="101" xfId="0" applyNumberFormat="1" applyFont="1" applyBorder="1" applyAlignment="1" applyProtection="1">
      <alignment horizontal="center" vertical="center" wrapText="1"/>
      <protection hidden="1"/>
    </xf>
    <xf numFmtId="14" fontId="0" fillId="0" borderId="4" xfId="0" applyNumberFormat="1" applyBorder="1" applyAlignment="1" applyProtection="1">
      <alignment horizontal="center"/>
      <protection hidden="1"/>
    </xf>
    <xf numFmtId="167" fontId="0" fillId="0" borderId="4" xfId="0" applyNumberFormat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14" fontId="0" fillId="0" borderId="4" xfId="0" applyNumberFormat="1" applyBorder="1" applyAlignment="1" applyProtection="1">
      <alignment horizontal="center" vertical="center"/>
      <protection hidden="1"/>
    </xf>
    <xf numFmtId="0" fontId="0" fillId="0" borderId="4" xfId="0" applyBorder="1" applyAlignment="1">
      <alignment horizontal="center" vertical="center"/>
    </xf>
    <xf numFmtId="0" fontId="70" fillId="0" borderId="4" xfId="0" applyFont="1" applyBorder="1" applyAlignment="1" applyProtection="1">
      <alignment horizontal="center" vertical="center"/>
      <protection hidden="1"/>
    </xf>
    <xf numFmtId="0" fontId="70" fillId="0" borderId="4" xfId="0" applyFont="1" applyBorder="1" applyAlignment="1">
      <alignment horizontal="center" vertical="center"/>
    </xf>
    <xf numFmtId="0" fontId="59" fillId="0" borderId="4" xfId="0" applyFont="1" applyBorder="1" applyAlignment="1" applyProtection="1">
      <alignment horizontal="center" vertical="center"/>
      <protection hidden="1"/>
    </xf>
    <xf numFmtId="164" fontId="0" fillId="0" borderId="0" xfId="0" applyNumberFormat="1" applyProtection="1">
      <protection hidden="1"/>
    </xf>
    <xf numFmtId="0" fontId="59" fillId="0" borderId="36" xfId="0" applyFont="1" applyBorder="1" applyAlignment="1" applyProtection="1">
      <alignment vertical="center"/>
      <protection hidden="1"/>
    </xf>
    <xf numFmtId="0" fontId="59" fillId="0" borderId="0" xfId="0" applyFont="1" applyAlignment="1" applyProtection="1">
      <alignment vertical="center"/>
      <protection hidden="1"/>
    </xf>
    <xf numFmtId="0" fontId="148" fillId="0" borderId="4" xfId="0" applyFont="1" applyBorder="1" applyAlignment="1" applyProtection="1">
      <alignment horizontal="center" vertical="center"/>
      <protection hidden="1"/>
    </xf>
    <xf numFmtId="0" fontId="121" fillId="0" borderId="4" xfId="0" applyFont="1" applyBorder="1" applyAlignment="1">
      <alignment horizontal="center" vertical="center"/>
    </xf>
    <xf numFmtId="0" fontId="40" fillId="0" borderId="0" xfId="0" applyFont="1" applyAlignment="1" applyProtection="1">
      <alignment horizontal="center" vertical="center" wrapText="1"/>
      <protection hidden="1"/>
    </xf>
    <xf numFmtId="1" fontId="70" fillId="8" borderId="53" xfId="0" applyNumberFormat="1" applyFont="1" applyFill="1" applyBorder="1" applyAlignment="1" applyProtection="1">
      <alignment horizontal="center" vertical="center" wrapText="1"/>
      <protection locked="0"/>
    </xf>
    <xf numFmtId="1" fontId="70" fillId="8" borderId="56" xfId="0" applyNumberFormat="1" applyFont="1" applyFill="1" applyBorder="1" applyAlignment="1" applyProtection="1">
      <alignment horizontal="center" vertical="center" wrapText="1"/>
      <protection locked="0"/>
    </xf>
    <xf numFmtId="0" fontId="125" fillId="6" borderId="2" xfId="1" applyFont="1" applyFill="1" applyBorder="1" applyAlignment="1" applyProtection="1">
      <alignment horizontal="center" vertical="center" wrapText="1"/>
      <protection hidden="1"/>
    </xf>
    <xf numFmtId="0" fontId="76" fillId="3" borderId="50" xfId="0" applyFont="1" applyFill="1" applyBorder="1" applyAlignment="1">
      <alignment horizontal="center" vertical="center"/>
    </xf>
    <xf numFmtId="0" fontId="76" fillId="3" borderId="36" xfId="0" applyFont="1" applyFill="1" applyBorder="1" applyAlignment="1">
      <alignment horizontal="center" vertical="center"/>
    </xf>
    <xf numFmtId="0" fontId="76" fillId="3" borderId="69" xfId="0" applyFont="1" applyFill="1" applyBorder="1" applyAlignment="1">
      <alignment horizontal="center" vertical="center" wrapText="1"/>
    </xf>
    <xf numFmtId="0" fontId="88" fillId="12" borderId="36" xfId="0" applyFont="1" applyFill="1" applyBorder="1" applyAlignment="1">
      <alignment horizontal="center" vertical="center"/>
    </xf>
    <xf numFmtId="0" fontId="88" fillId="12" borderId="50" xfId="0" applyFont="1" applyFill="1" applyBorder="1" applyAlignment="1">
      <alignment horizontal="center" vertical="center"/>
    </xf>
    <xf numFmtId="0" fontId="88" fillId="12" borderId="69" xfId="0" applyFont="1" applyFill="1" applyBorder="1" applyAlignment="1">
      <alignment horizontal="center" vertical="center"/>
    </xf>
    <xf numFmtId="0" fontId="65" fillId="9" borderId="5" xfId="0" applyFont="1" applyFill="1" applyBorder="1" applyAlignment="1" applyProtection="1">
      <alignment horizontal="center" vertical="center" wrapText="1"/>
      <protection locked="0"/>
    </xf>
    <xf numFmtId="0" fontId="65" fillId="9" borderId="2" xfId="0" applyFont="1" applyFill="1" applyBorder="1" applyAlignment="1" applyProtection="1">
      <alignment horizontal="center" vertical="center" wrapText="1"/>
      <protection locked="0"/>
    </xf>
    <xf numFmtId="0" fontId="65" fillId="9" borderId="7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/>
    <xf numFmtId="0" fontId="13" fillId="0" borderId="10" xfId="0" applyFont="1" applyBorder="1"/>
    <xf numFmtId="0" fontId="150" fillId="6" borderId="2" xfId="1" applyFont="1" applyFill="1" applyBorder="1" applyAlignment="1" applyProtection="1">
      <alignment horizontal="center" vertical="center" wrapText="1"/>
      <protection hidden="1"/>
    </xf>
    <xf numFmtId="0" fontId="150" fillId="6" borderId="3" xfId="1" applyFont="1" applyFill="1" applyBorder="1" applyAlignment="1" applyProtection="1">
      <alignment horizontal="center" vertical="center" wrapText="1"/>
      <protection hidden="1"/>
    </xf>
    <xf numFmtId="0" fontId="149" fillId="6" borderId="2" xfId="0" applyFont="1" applyFill="1" applyBorder="1"/>
    <xf numFmtId="0" fontId="150" fillId="6" borderId="2" xfId="1" applyFont="1" applyFill="1" applyBorder="1" applyAlignment="1" applyProtection="1">
      <alignment horizontal="center" vertical="center"/>
      <protection hidden="1"/>
    </xf>
    <xf numFmtId="0" fontId="149" fillId="6" borderId="2" xfId="1" applyFont="1" applyFill="1" applyBorder="1" applyAlignment="1" applyProtection="1">
      <alignment horizontal="center" vertical="center" wrapText="1"/>
      <protection hidden="1"/>
    </xf>
    <xf numFmtId="0" fontId="149" fillId="6" borderId="2" xfId="1" applyFont="1" applyFill="1" applyBorder="1" applyAlignment="1" applyProtection="1">
      <alignment vertical="center" wrapText="1"/>
      <protection hidden="1"/>
    </xf>
    <xf numFmtId="0" fontId="149" fillId="6" borderId="3" xfId="1" applyFont="1" applyFill="1" applyBorder="1" applyAlignment="1" applyProtection="1">
      <alignment horizontal="center" vertical="center" wrapText="1"/>
      <protection hidden="1"/>
    </xf>
    <xf numFmtId="0" fontId="149" fillId="6" borderId="2" xfId="1" applyFont="1" applyFill="1" applyBorder="1" applyAlignment="1" applyProtection="1">
      <alignment horizontal="center" vertical="center"/>
      <protection hidden="1"/>
    </xf>
    <xf numFmtId="0" fontId="59" fillId="9" borderId="34" xfId="0" applyFont="1" applyFill="1" applyBorder="1" applyAlignment="1" applyProtection="1">
      <alignment horizontal="center" vertical="center" wrapText="1"/>
      <protection locked="0"/>
    </xf>
    <xf numFmtId="0" fontId="59" fillId="9" borderId="35" xfId="0" applyFont="1" applyFill="1" applyBorder="1" applyAlignment="1" applyProtection="1">
      <alignment horizontal="center" vertical="center" wrapText="1"/>
      <protection locked="0"/>
    </xf>
    <xf numFmtId="0" fontId="59" fillId="9" borderId="0" xfId="0" applyFont="1" applyFill="1" applyAlignment="1" applyProtection="1">
      <alignment horizontal="center" vertical="center" wrapText="1"/>
      <protection locked="0"/>
    </xf>
    <xf numFmtId="0" fontId="151" fillId="0" borderId="0" xfId="0" applyFont="1"/>
    <xf numFmtId="49" fontId="70" fillId="8" borderId="54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51" xfId="0" applyNumberFormat="1" applyBorder="1" applyAlignment="1" applyProtection="1">
      <alignment horizontal="center" vertical="center" wrapText="1"/>
      <protection locked="0"/>
    </xf>
    <xf numFmtId="49" fontId="0" fillId="0" borderId="52" xfId="0" applyNumberFormat="1" applyBorder="1" applyAlignment="1" applyProtection="1">
      <alignment horizontal="center" vertical="center" wrapText="1"/>
      <protection locked="0"/>
    </xf>
    <xf numFmtId="49" fontId="70" fillId="8" borderId="5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54" xfId="0" applyNumberFormat="1" applyBorder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49" fontId="70" fillId="8" borderId="0" xfId="0" applyNumberFormat="1" applyFont="1" applyFill="1" applyAlignment="1" applyProtection="1">
      <alignment horizontal="center" vertical="center" wrapText="1"/>
      <protection locked="0"/>
    </xf>
    <xf numFmtId="49" fontId="0" fillId="0" borderId="43" xfId="0" applyNumberFormat="1" applyBorder="1" applyAlignment="1" applyProtection="1">
      <alignment horizontal="center" vertical="center" wrapText="1"/>
      <protection locked="0"/>
    </xf>
    <xf numFmtId="49" fontId="0" fillId="0" borderId="44" xfId="0" applyNumberFormat="1" applyBorder="1" applyAlignment="1" applyProtection="1">
      <alignment horizontal="center" vertical="center" wrapText="1"/>
      <protection locked="0"/>
    </xf>
    <xf numFmtId="49" fontId="70" fillId="8" borderId="44" xfId="0" applyNumberFormat="1" applyFont="1" applyFill="1" applyBorder="1" applyAlignment="1" applyProtection="1">
      <alignment horizontal="center" vertical="center" wrapText="1"/>
      <protection locked="0"/>
    </xf>
    <xf numFmtId="49" fontId="69" fillId="8" borderId="0" xfId="0" applyNumberFormat="1" applyFont="1" applyFill="1" applyAlignment="1" applyProtection="1">
      <alignment horizontal="center" vertical="center" wrapText="1"/>
      <protection locked="0"/>
    </xf>
    <xf numFmtId="49" fontId="70" fillId="8" borderId="0" xfId="0" applyNumberFormat="1" applyFont="1" applyFill="1" applyAlignment="1" applyProtection="1">
      <alignment horizontal="left" vertical="center" wrapText="1"/>
      <protection locked="0"/>
    </xf>
    <xf numFmtId="49" fontId="120" fillId="9" borderId="42" xfId="0" applyNumberFormat="1" applyFont="1" applyFill="1" applyBorder="1" applyAlignment="1" applyProtection="1">
      <alignment horizontal="left" vertical="center" wrapText="1"/>
      <protection locked="0"/>
    </xf>
    <xf numFmtId="49" fontId="120" fillId="9" borderId="24" xfId="0" applyNumberFormat="1" applyFont="1" applyFill="1" applyBorder="1" applyAlignment="1" applyProtection="1">
      <alignment horizontal="left" vertical="center" wrapText="1"/>
      <protection locked="0"/>
    </xf>
    <xf numFmtId="49" fontId="70" fillId="9" borderId="0" xfId="0" applyNumberFormat="1" applyFont="1" applyFill="1" applyAlignment="1" applyProtection="1">
      <alignment horizontal="left" vertical="center" wrapText="1"/>
      <protection locked="0"/>
    </xf>
    <xf numFmtId="49" fontId="70" fillId="0" borderId="54" xfId="0" applyNumberFormat="1" applyFont="1" applyBorder="1" applyAlignment="1" applyProtection="1">
      <alignment horizontal="left" vertical="center" wrapText="1"/>
      <protection locked="0"/>
    </xf>
    <xf numFmtId="49" fontId="70" fillId="0" borderId="0" xfId="0" applyNumberFormat="1" applyFont="1" applyAlignment="1" applyProtection="1">
      <alignment horizontal="left" vertical="center" wrapText="1"/>
      <protection locked="0"/>
    </xf>
    <xf numFmtId="49" fontId="70" fillId="0" borderId="0" xfId="0" applyNumberFormat="1" applyFont="1" applyAlignment="1" applyProtection="1">
      <alignment vertical="center" wrapText="1"/>
      <protection locked="0"/>
    </xf>
    <xf numFmtId="49" fontId="70" fillId="0" borderId="55" xfId="0" applyNumberFormat="1" applyFont="1" applyBorder="1" applyAlignment="1" applyProtection="1">
      <alignment horizontal="center" vertical="center" wrapText="1"/>
      <protection locked="0"/>
    </xf>
    <xf numFmtId="49" fontId="70" fillId="0" borderId="0" xfId="0" applyNumberFormat="1" applyFont="1" applyAlignment="1" applyProtection="1">
      <alignment horizontal="center" vertical="center" wrapText="1"/>
      <protection locked="0"/>
    </xf>
    <xf numFmtId="49" fontId="40" fillId="9" borderId="0" xfId="0" applyNumberFormat="1" applyFont="1" applyFill="1" applyAlignment="1" applyProtection="1">
      <alignment horizontal="left" vertical="center" wrapText="1"/>
      <protection locked="0"/>
    </xf>
    <xf numFmtId="49" fontId="40" fillId="9" borderId="68" xfId="0" applyNumberFormat="1" applyFont="1" applyFill="1" applyBorder="1" applyAlignment="1" applyProtection="1">
      <alignment horizontal="left" vertical="center" wrapText="1"/>
      <protection locked="0"/>
    </xf>
    <xf numFmtId="49" fontId="40" fillId="9" borderId="54" xfId="0" applyNumberFormat="1" applyFont="1" applyFill="1" applyBorder="1" applyAlignment="1" applyProtection="1">
      <alignment horizontal="center" vertical="center" wrapText="1"/>
      <protection locked="0"/>
    </xf>
    <xf numFmtId="49" fontId="40" fillId="9" borderId="0" xfId="0" applyNumberFormat="1" applyFont="1" applyFill="1" applyAlignment="1" applyProtection="1">
      <alignment horizontal="center" vertical="center" wrapText="1"/>
      <protection locked="0"/>
    </xf>
    <xf numFmtId="49" fontId="40" fillId="9" borderId="55" xfId="0" applyNumberFormat="1" applyFont="1" applyFill="1" applyBorder="1" applyAlignment="1" applyProtection="1">
      <alignment horizontal="center" vertical="center" wrapText="1"/>
      <protection locked="0"/>
    </xf>
    <xf numFmtId="49" fontId="47" fillId="9" borderId="68" xfId="0" applyNumberFormat="1" applyFont="1" applyFill="1" applyBorder="1" applyAlignment="1" applyProtection="1">
      <alignment horizontal="center" vertical="center" wrapText="1"/>
      <protection locked="0"/>
    </xf>
    <xf numFmtId="49" fontId="40" fillId="9" borderId="67" xfId="0" applyNumberFormat="1" applyFont="1" applyFill="1" applyBorder="1" applyAlignment="1" applyProtection="1">
      <alignment horizontal="left" vertical="center" wrapText="1"/>
      <protection locked="0"/>
    </xf>
    <xf numFmtId="49" fontId="40" fillId="9" borderId="43" xfId="0" applyNumberFormat="1" applyFont="1" applyFill="1" applyBorder="1" applyAlignment="1" applyProtection="1">
      <alignment horizontal="center" vertical="center" wrapText="1"/>
      <protection locked="0"/>
    </xf>
    <xf numFmtId="49" fontId="40" fillId="9" borderId="44" xfId="0" applyNumberFormat="1" applyFont="1" applyFill="1" applyBorder="1" applyAlignment="1" applyProtection="1">
      <alignment horizontal="center" vertical="center" wrapText="1"/>
      <protection locked="0"/>
    </xf>
    <xf numFmtId="49" fontId="40" fillId="9" borderId="56" xfId="0" applyNumberFormat="1" applyFont="1" applyFill="1" applyBorder="1" applyAlignment="1" applyProtection="1">
      <alignment horizontal="center" vertical="center" wrapText="1"/>
      <protection locked="0"/>
    </xf>
    <xf numFmtId="49" fontId="47" fillId="9" borderId="67" xfId="0" applyNumberFormat="1" applyFont="1" applyFill="1" applyBorder="1" applyAlignment="1" applyProtection="1">
      <alignment horizontal="center" vertical="center" wrapText="1"/>
      <protection locked="0"/>
    </xf>
    <xf numFmtId="0" fontId="40" fillId="9" borderId="54" xfId="0" applyFont="1" applyFill="1" applyBorder="1" applyAlignment="1" applyProtection="1">
      <alignment horizontal="center" vertical="center" wrapText="1"/>
      <protection locked="0"/>
    </xf>
    <xf numFmtId="0" fontId="40" fillId="9" borderId="55" xfId="0" applyFont="1" applyFill="1" applyBorder="1" applyAlignment="1" applyProtection="1">
      <alignment horizontal="center" vertical="center" wrapText="1"/>
      <protection locked="0"/>
    </xf>
    <xf numFmtId="0" fontId="40" fillId="9" borderId="43" xfId="0" applyFont="1" applyFill="1" applyBorder="1" applyAlignment="1" applyProtection="1">
      <alignment horizontal="center" vertical="center" wrapText="1"/>
      <protection locked="0"/>
    </xf>
    <xf numFmtId="0" fontId="40" fillId="9" borderId="56" xfId="0" applyFont="1" applyFill="1" applyBorder="1" applyAlignment="1" applyProtection="1">
      <alignment horizontal="center" vertical="center" wrapText="1"/>
      <protection locked="0"/>
    </xf>
    <xf numFmtId="49" fontId="40" fillId="9" borderId="37" xfId="0" applyNumberFormat="1" applyFont="1" applyFill="1" applyBorder="1" applyAlignment="1" applyProtection="1">
      <alignment horizontal="left" vertical="center" wrapText="1"/>
      <protection locked="0"/>
    </xf>
    <xf numFmtId="49" fontId="40" fillId="9" borderId="38" xfId="0" applyNumberFormat="1" applyFont="1" applyFill="1" applyBorder="1" applyAlignment="1" applyProtection="1">
      <alignment horizontal="left" vertical="center" wrapText="1"/>
      <protection locked="0"/>
    </xf>
    <xf numFmtId="49" fontId="70" fillId="0" borderId="54" xfId="0" applyNumberFormat="1" applyFont="1" applyBorder="1" applyAlignment="1" applyProtection="1">
      <alignment horizontal="center" vertical="center" wrapText="1"/>
      <protection locked="0"/>
    </xf>
    <xf numFmtId="49" fontId="70" fillId="0" borderId="43" xfId="0" applyNumberFormat="1" applyFont="1" applyBorder="1" applyAlignment="1" applyProtection="1">
      <alignment horizontal="center" vertical="center" wrapText="1"/>
      <protection locked="0"/>
    </xf>
    <xf numFmtId="49" fontId="70" fillId="0" borderId="44" xfId="0" applyNumberFormat="1" applyFont="1" applyBorder="1" applyAlignment="1" applyProtection="1">
      <alignment horizontal="center" vertical="center" wrapText="1"/>
      <protection locked="0"/>
    </xf>
    <xf numFmtId="49" fontId="70" fillId="0" borderId="56" xfId="0" applyNumberFormat="1" applyFont="1" applyBorder="1" applyAlignment="1" applyProtection="1">
      <alignment horizontal="center" vertical="center" wrapText="1"/>
      <protection locked="0"/>
    </xf>
    <xf numFmtId="49" fontId="69" fillId="0" borderId="0" xfId="0" applyNumberFormat="1" applyFont="1" applyAlignment="1" applyProtection="1">
      <alignment horizontal="center" vertical="center" wrapText="1"/>
      <protection locked="0"/>
    </xf>
    <xf numFmtId="49" fontId="70" fillId="0" borderId="52" xfId="0" applyNumberFormat="1" applyFont="1" applyBorder="1" applyAlignment="1" applyProtection="1">
      <alignment horizontal="center" vertical="center" wrapText="1"/>
      <protection locked="0"/>
    </xf>
    <xf numFmtId="49" fontId="70" fillId="0" borderId="3" xfId="0" applyNumberFormat="1" applyFont="1" applyBorder="1" applyAlignment="1" applyProtection="1">
      <alignment horizontal="left" vertical="center" wrapText="1"/>
      <protection locked="0"/>
    </xf>
    <xf numFmtId="49" fontId="40" fillId="0" borderId="0" xfId="0" applyNumberFormat="1" applyFont="1" applyAlignment="1" applyProtection="1">
      <alignment horizontal="left" vertical="center" wrapText="1"/>
      <protection locked="0"/>
    </xf>
    <xf numFmtId="49" fontId="70" fillId="0" borderId="68" xfId="0" applyNumberFormat="1" applyFont="1" applyBorder="1" applyAlignment="1" applyProtection="1">
      <alignment horizontal="center" vertical="center" wrapText="1"/>
      <protection locked="0"/>
    </xf>
    <xf numFmtId="49" fontId="70" fillId="0" borderId="67" xfId="0" applyNumberFormat="1" applyFont="1" applyBorder="1" applyAlignment="1" applyProtection="1">
      <alignment horizontal="center" vertical="center" wrapText="1"/>
      <protection locked="0"/>
    </xf>
    <xf numFmtId="49" fontId="70" fillId="9" borderId="0" xfId="0" applyNumberFormat="1" applyFont="1" applyFill="1" applyAlignment="1" applyProtection="1">
      <alignment horizontal="left" vertical="top" wrapText="1"/>
      <protection locked="0"/>
    </xf>
    <xf numFmtId="49" fontId="40" fillId="9" borderId="39" xfId="0" applyNumberFormat="1" applyFont="1" applyFill="1" applyBorder="1" applyAlignment="1" applyProtection="1">
      <alignment horizontal="left" vertical="center" wrapText="1"/>
      <protection locked="0"/>
    </xf>
    <xf numFmtId="49" fontId="70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70" fillId="9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3" xfId="0" applyBorder="1" applyAlignment="1">
      <alignment horizontal="left"/>
    </xf>
    <xf numFmtId="49" fontId="70" fillId="0" borderId="29" xfId="0" applyNumberFormat="1" applyFont="1" applyBorder="1" applyAlignment="1" applyProtection="1">
      <alignment horizontal="center" vertical="center" wrapText="1"/>
      <protection locked="0"/>
    </xf>
    <xf numFmtId="49" fontId="70" fillId="8" borderId="44" xfId="0" applyNumberFormat="1" applyFont="1" applyFill="1" applyBorder="1" applyAlignment="1" applyProtection="1">
      <alignment horizontal="left" vertical="center" wrapText="1"/>
      <protection locked="0"/>
    </xf>
    <xf numFmtId="49" fontId="70" fillId="0" borderId="32" xfId="0" applyNumberFormat="1" applyFont="1" applyBorder="1" applyAlignment="1" applyProtection="1">
      <alignment horizontal="center" vertical="center" wrapText="1"/>
      <protection locked="0"/>
    </xf>
    <xf numFmtId="49" fontId="40" fillId="0" borderId="0" xfId="1" applyNumberFormat="1" applyFont="1" applyFill="1" applyBorder="1" applyAlignment="1" applyProtection="1">
      <alignment horizontal="left" vertical="center" wrapText="1"/>
      <protection locked="0"/>
    </xf>
    <xf numFmtId="49" fontId="86" fillId="0" borderId="55" xfId="1" applyNumberFormat="1" applyFont="1" applyFill="1" applyBorder="1" applyAlignment="1" applyProtection="1">
      <alignment horizontal="center" vertical="center" wrapText="1"/>
      <protection locked="0"/>
    </xf>
    <xf numFmtId="49" fontId="40" fillId="0" borderId="0" xfId="0" applyNumberFormat="1" applyFont="1" applyAlignment="1" applyProtection="1">
      <alignment horizontal="center" vertical="center" wrapText="1"/>
      <protection locked="0"/>
    </xf>
    <xf numFmtId="49" fontId="86" fillId="0" borderId="55" xfId="0" applyNumberFormat="1" applyFont="1" applyBorder="1" applyAlignment="1" applyProtection="1">
      <alignment horizontal="center" vertical="center" wrapText="1"/>
      <protection locked="0"/>
    </xf>
    <xf numFmtId="49" fontId="40" fillId="0" borderId="44" xfId="0" applyNumberFormat="1" applyFont="1" applyBorder="1" applyAlignment="1" applyProtection="1">
      <alignment horizontal="left" vertical="center" wrapText="1"/>
      <protection locked="0"/>
    </xf>
    <xf numFmtId="49" fontId="86" fillId="0" borderId="56" xfId="0" applyNumberFormat="1" applyFont="1" applyBorder="1" applyAlignment="1" applyProtection="1">
      <alignment horizontal="center" vertical="center" wrapText="1"/>
      <protection locked="0"/>
    </xf>
    <xf numFmtId="49" fontId="120" fillId="9" borderId="6" xfId="0" applyNumberFormat="1" applyFont="1" applyFill="1" applyBorder="1" applyAlignment="1" applyProtection="1">
      <alignment horizontal="left" vertical="center" wrapText="1"/>
      <protection locked="0"/>
    </xf>
    <xf numFmtId="49" fontId="120" fillId="9" borderId="15" xfId="0" applyNumberFormat="1" applyFont="1" applyFill="1" applyBorder="1" applyAlignment="1" applyProtection="1">
      <alignment horizontal="left" vertical="center" wrapText="1"/>
      <protection locked="0"/>
    </xf>
    <xf numFmtId="49" fontId="86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40" fillId="0" borderId="55" xfId="0" applyNumberFormat="1" applyFont="1" applyBorder="1" applyAlignment="1" applyProtection="1">
      <alignment horizontal="center" vertical="center" wrapText="1"/>
      <protection locked="0"/>
    </xf>
    <xf numFmtId="49" fontId="40" fillId="0" borderId="44" xfId="0" applyNumberFormat="1" applyFont="1" applyBorder="1" applyAlignment="1" applyProtection="1">
      <alignment horizontal="center" vertical="center" wrapText="1"/>
      <protection locked="0"/>
    </xf>
    <xf numFmtId="49" fontId="40" fillId="0" borderId="56" xfId="0" applyNumberFormat="1" applyFont="1" applyBorder="1" applyAlignment="1" applyProtection="1">
      <alignment horizontal="center" vertical="center" wrapText="1"/>
      <protection locked="0"/>
    </xf>
    <xf numFmtId="49" fontId="70" fillId="0" borderId="43" xfId="0" applyNumberFormat="1" applyFont="1" applyBorder="1" applyAlignment="1" applyProtection="1">
      <alignment horizontal="left" vertical="center" wrapText="1"/>
      <protection locked="0"/>
    </xf>
    <xf numFmtId="49" fontId="70" fillId="0" borderId="44" xfId="0" applyNumberFormat="1" applyFont="1" applyBorder="1" applyAlignment="1" applyProtection="1">
      <alignment horizontal="left" vertical="center" wrapText="1"/>
      <protection locked="0"/>
    </xf>
    <xf numFmtId="49" fontId="47" fillId="0" borderId="54" xfId="0" applyNumberFormat="1" applyFont="1" applyBorder="1" applyAlignment="1" applyProtection="1">
      <alignment horizontal="center" vertical="center" wrapText="1"/>
      <protection locked="0"/>
    </xf>
    <xf numFmtId="49" fontId="47" fillId="0" borderId="43" xfId="0" applyNumberFormat="1" applyFont="1" applyBorder="1" applyAlignment="1" applyProtection="1">
      <alignment horizontal="center" vertical="center" wrapText="1"/>
      <protection locked="0"/>
    </xf>
    <xf numFmtId="0" fontId="40" fillId="9" borderId="68" xfId="0" applyFont="1" applyFill="1" applyBorder="1" applyAlignment="1" applyProtection="1">
      <alignment horizontal="center" vertical="center" wrapText="1"/>
      <protection locked="0"/>
    </xf>
    <xf numFmtId="0" fontId="0" fillId="2" borderId="29" xfId="0" applyFill="1" applyBorder="1" applyAlignment="1">
      <alignment horizontal="left"/>
    </xf>
    <xf numFmtId="0" fontId="92" fillId="12" borderId="71" xfId="0" applyFont="1" applyFill="1" applyBorder="1" applyAlignment="1">
      <alignment horizontal="center" vertical="center" wrapText="1"/>
    </xf>
    <xf numFmtId="0" fontId="92" fillId="12" borderId="4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92" fillId="12" borderId="54" xfId="0" applyFont="1" applyFill="1" applyBorder="1" applyAlignment="1">
      <alignment horizontal="center" vertical="center"/>
    </xf>
    <xf numFmtId="0" fontId="92" fillId="12" borderId="55" xfId="0" applyFont="1" applyFill="1" applyBorder="1" applyAlignment="1">
      <alignment horizontal="center" vertical="center"/>
    </xf>
    <xf numFmtId="0" fontId="40" fillId="9" borderId="67" xfId="0" applyFont="1" applyFill="1" applyBorder="1" applyAlignment="1" applyProtection="1">
      <alignment horizontal="center" vertical="center" wrapText="1"/>
      <protection locked="0"/>
    </xf>
    <xf numFmtId="0" fontId="70" fillId="11" borderId="54" xfId="0" applyFont="1" applyFill="1" applyBorder="1" applyAlignment="1">
      <alignment horizontal="left"/>
    </xf>
    <xf numFmtId="0" fontId="70" fillId="11" borderId="43" xfId="0" applyFont="1" applyFill="1" applyBorder="1" applyAlignment="1">
      <alignment horizontal="left"/>
    </xf>
    <xf numFmtId="0" fontId="70" fillId="11" borderId="55" xfId="0" applyFont="1" applyFill="1" applyBorder="1" applyAlignment="1">
      <alignment horizontal="left"/>
    </xf>
    <xf numFmtId="0" fontId="70" fillId="11" borderId="56" xfId="0" applyFont="1" applyFill="1" applyBorder="1" applyAlignment="1">
      <alignment horizontal="left"/>
    </xf>
    <xf numFmtId="166" fontId="25" fillId="0" borderId="86" xfId="0" quotePrefix="1" applyNumberFormat="1" applyFont="1" applyBorder="1" applyAlignment="1" applyProtection="1">
      <alignment horizontal="center" vertical="center" wrapText="1"/>
      <protection hidden="1"/>
    </xf>
    <xf numFmtId="0" fontId="88" fillId="12" borderId="71" xfId="0" applyFont="1" applyFill="1" applyBorder="1" applyAlignment="1">
      <alignment horizontal="center" vertical="center"/>
    </xf>
    <xf numFmtId="0" fontId="88" fillId="12" borderId="72" xfId="0" applyFont="1" applyFill="1" applyBorder="1" applyAlignment="1">
      <alignment horizontal="center" vertical="center"/>
    </xf>
    <xf numFmtId="0" fontId="88" fillId="12" borderId="47" xfId="0" applyFont="1" applyFill="1" applyBorder="1" applyAlignment="1">
      <alignment horizontal="center" vertical="center"/>
    </xf>
    <xf numFmtId="0" fontId="152" fillId="11" borderId="0" xfId="0" applyFont="1" applyFill="1" applyAlignment="1">
      <alignment horizontal="center"/>
    </xf>
    <xf numFmtId="0" fontId="152" fillId="11" borderId="21" xfId="0" applyFont="1" applyFill="1" applyBorder="1" applyAlignment="1">
      <alignment horizontal="center"/>
    </xf>
    <xf numFmtId="0" fontId="152" fillId="11" borderId="12" xfId="0" applyFont="1" applyFill="1" applyBorder="1" applyAlignment="1">
      <alignment horizontal="center"/>
    </xf>
    <xf numFmtId="0" fontId="152" fillId="11" borderId="42" xfId="0" applyFont="1" applyFill="1" applyBorder="1" applyAlignment="1">
      <alignment horizontal="center"/>
    </xf>
    <xf numFmtId="0" fontId="152" fillId="11" borderId="2" xfId="0" applyFont="1" applyFill="1" applyBorder="1" applyAlignment="1">
      <alignment horizontal="center"/>
    </xf>
    <xf numFmtId="0" fontId="152" fillId="11" borderId="24" xfId="0" applyFont="1" applyFill="1" applyBorder="1" applyAlignment="1">
      <alignment horizontal="center"/>
    </xf>
    <xf numFmtId="0" fontId="152" fillId="11" borderId="16" xfId="0" applyFont="1" applyFill="1" applyBorder="1" applyAlignment="1">
      <alignment horizontal="center"/>
    </xf>
    <xf numFmtId="0" fontId="153" fillId="11" borderId="73" xfId="0" applyFont="1" applyFill="1" applyBorder="1" applyAlignment="1" applyProtection="1">
      <alignment horizontal="center" vertical="center" wrapText="1"/>
      <protection hidden="1"/>
    </xf>
    <xf numFmtId="0" fontId="153" fillId="11" borderId="29" xfId="0" applyFont="1" applyFill="1" applyBorder="1" applyAlignment="1" applyProtection="1">
      <alignment horizontal="center" vertical="center" wrapText="1"/>
      <protection hidden="1"/>
    </xf>
    <xf numFmtId="0" fontId="153" fillId="11" borderId="59" xfId="0" applyFont="1" applyFill="1" applyBorder="1" applyAlignment="1" applyProtection="1">
      <alignment horizontal="center" vertical="center" wrapText="1"/>
      <protection hidden="1"/>
    </xf>
    <xf numFmtId="0" fontId="153" fillId="11" borderId="55" xfId="0" applyFont="1" applyFill="1" applyBorder="1" applyAlignment="1" applyProtection="1">
      <alignment horizontal="center" vertical="center" wrapText="1"/>
      <protection hidden="1"/>
    </xf>
    <xf numFmtId="0" fontId="153" fillId="11" borderId="54" xfId="0" applyFont="1" applyFill="1" applyBorder="1" applyAlignment="1" applyProtection="1">
      <alignment horizontal="center" vertical="center" wrapText="1"/>
      <protection hidden="1"/>
    </xf>
    <xf numFmtId="0" fontId="153" fillId="11" borderId="0" xfId="0" applyFont="1" applyFill="1" applyAlignment="1" applyProtection="1">
      <alignment horizontal="center" vertical="center" wrapText="1"/>
      <protection hidden="1"/>
    </xf>
    <xf numFmtId="0" fontId="153" fillId="11" borderId="42" xfId="0" applyFont="1" applyFill="1" applyBorder="1" applyAlignment="1" applyProtection="1">
      <alignment horizontal="center" vertical="center" wrapText="1"/>
      <protection hidden="1"/>
    </xf>
    <xf numFmtId="0" fontId="153" fillId="11" borderId="4" xfId="0" applyFont="1" applyFill="1" applyBorder="1" applyAlignment="1" applyProtection="1">
      <alignment horizontal="center" vertical="center" wrapText="1"/>
      <protection hidden="1"/>
    </xf>
    <xf numFmtId="0" fontId="153" fillId="11" borderId="14" xfId="0" applyFont="1" applyFill="1" applyBorder="1" applyAlignment="1" applyProtection="1">
      <alignment horizontal="center" vertical="center" wrapText="1"/>
      <protection hidden="1"/>
    </xf>
    <xf numFmtId="0" fontId="153" fillId="11" borderId="24" xfId="0" applyFont="1" applyFill="1" applyBorder="1" applyAlignment="1" applyProtection="1">
      <alignment horizontal="center" vertical="center" wrapText="1"/>
      <protection hidden="1"/>
    </xf>
    <xf numFmtId="0" fontId="153" fillId="11" borderId="18" xfId="0" applyFont="1" applyFill="1" applyBorder="1" applyAlignment="1" applyProtection="1">
      <alignment horizontal="center" vertical="center" wrapText="1"/>
      <protection hidden="1"/>
    </xf>
    <xf numFmtId="0" fontId="153" fillId="11" borderId="20" xfId="0" applyFont="1" applyFill="1" applyBorder="1" applyAlignment="1" applyProtection="1">
      <alignment horizontal="center" vertical="center" wrapText="1"/>
      <protection hidden="1"/>
    </xf>
    <xf numFmtId="0" fontId="153" fillId="11" borderId="56" xfId="0" applyFont="1" applyFill="1" applyBorder="1" applyAlignment="1" applyProtection="1">
      <alignment horizontal="center" vertical="center" wrapText="1"/>
      <protection hidden="1"/>
    </xf>
    <xf numFmtId="0" fontId="153" fillId="11" borderId="43" xfId="0" applyFont="1" applyFill="1" applyBorder="1" applyAlignment="1" applyProtection="1">
      <alignment horizontal="center" vertical="center" wrapText="1"/>
      <protection hidden="1"/>
    </xf>
    <xf numFmtId="0" fontId="153" fillId="11" borderId="44" xfId="0" applyFont="1" applyFill="1" applyBorder="1" applyAlignment="1" applyProtection="1">
      <alignment horizontal="center" vertical="center" wrapText="1"/>
      <protection hidden="1"/>
    </xf>
    <xf numFmtId="0" fontId="154" fillId="11" borderId="26" xfId="0" applyFont="1" applyFill="1" applyBorder="1" applyAlignment="1" applyProtection="1">
      <alignment horizontal="center" vertical="center" wrapText="1"/>
      <protection hidden="1"/>
    </xf>
    <xf numFmtId="0" fontId="154" fillId="11" borderId="29" xfId="0" applyFont="1" applyFill="1" applyBorder="1" applyAlignment="1" applyProtection="1">
      <alignment horizontal="center" vertical="center" wrapText="1"/>
      <protection hidden="1"/>
    </xf>
    <xf numFmtId="0" fontId="154" fillId="11" borderId="25" xfId="0" applyFont="1" applyFill="1" applyBorder="1" applyAlignment="1" applyProtection="1">
      <alignment horizontal="center" vertical="center" wrapText="1"/>
      <protection hidden="1"/>
    </xf>
    <xf numFmtId="0" fontId="154" fillId="11" borderId="3" xfId="0" applyFont="1" applyFill="1" applyBorder="1" applyAlignment="1" applyProtection="1">
      <alignment horizontal="center" vertical="center" wrapText="1"/>
      <protection hidden="1"/>
    </xf>
    <xf numFmtId="0" fontId="154" fillId="11" borderId="4" xfId="0" applyFont="1" applyFill="1" applyBorder="1" applyAlignment="1" applyProtection="1">
      <alignment horizontal="center" vertical="center" wrapText="1"/>
      <protection hidden="1"/>
    </xf>
    <xf numFmtId="0" fontId="154" fillId="11" borderId="1" xfId="0" applyFont="1" applyFill="1" applyBorder="1" applyAlignment="1" applyProtection="1">
      <alignment horizontal="center" vertical="center" wrapText="1"/>
      <protection hidden="1"/>
    </xf>
    <xf numFmtId="0" fontId="154" fillId="11" borderId="8" xfId="0" applyFont="1" applyFill="1" applyBorder="1" applyAlignment="1" applyProtection="1">
      <alignment horizontal="center" vertical="center" wrapText="1"/>
      <protection hidden="1"/>
    </xf>
    <xf numFmtId="0" fontId="154" fillId="11" borderId="9" xfId="0" applyFont="1" applyFill="1" applyBorder="1" applyAlignment="1" applyProtection="1">
      <alignment horizontal="center" vertical="center" wrapText="1"/>
      <protection hidden="1"/>
    </xf>
    <xf numFmtId="0" fontId="154" fillId="11" borderId="10" xfId="0" applyFont="1" applyFill="1" applyBorder="1" applyAlignment="1" applyProtection="1">
      <alignment horizontal="center" vertical="center" wrapText="1"/>
      <protection hidden="1"/>
    </xf>
    <xf numFmtId="0" fontId="72" fillId="0" borderId="0" xfId="0" applyFont="1" applyAlignment="1" applyProtection="1">
      <alignment vertical="top"/>
      <protection hidden="1"/>
    </xf>
    <xf numFmtId="0" fontId="71" fillId="0" borderId="0" xfId="0" applyFont="1" applyAlignment="1" applyProtection="1">
      <alignment vertical="center"/>
      <protection hidden="1"/>
    </xf>
    <xf numFmtId="0" fontId="58" fillId="0" borderId="45" xfId="0" applyFont="1" applyBorder="1" applyAlignment="1" applyProtection="1">
      <alignment horizontal="center" vertical="center"/>
      <protection hidden="1"/>
    </xf>
    <xf numFmtId="0" fontId="79" fillId="0" borderId="45" xfId="0" applyFont="1" applyBorder="1" applyAlignment="1" applyProtection="1">
      <alignment horizontal="center" vertical="center"/>
      <protection hidden="1"/>
    </xf>
    <xf numFmtId="0" fontId="69" fillId="0" borderId="32" xfId="0" applyFont="1" applyBorder="1" applyAlignment="1" applyProtection="1">
      <alignment horizontal="center" vertical="center"/>
      <protection hidden="1"/>
    </xf>
    <xf numFmtId="0" fontId="69" fillId="0" borderId="63" xfId="0" applyFont="1" applyBorder="1" applyAlignment="1" applyProtection="1">
      <alignment horizontal="left" vertical="center"/>
      <protection hidden="1"/>
    </xf>
    <xf numFmtId="0" fontId="50" fillId="12" borderId="55" xfId="0" applyFont="1" applyFill="1" applyBorder="1" applyAlignment="1" applyProtection="1">
      <alignment horizontal="center" vertical="center" wrapText="1"/>
      <protection hidden="1"/>
    </xf>
    <xf numFmtId="0" fontId="50" fillId="12" borderId="56" xfId="0" applyFont="1" applyFill="1" applyBorder="1" applyAlignment="1" applyProtection="1">
      <alignment horizontal="center" vertical="center" wrapText="1"/>
      <protection hidden="1"/>
    </xf>
    <xf numFmtId="0" fontId="50" fillId="12" borderId="0" xfId="0" applyFont="1" applyFill="1" applyAlignment="1" applyProtection="1">
      <alignment horizontal="center" vertical="center"/>
      <protection hidden="1"/>
    </xf>
    <xf numFmtId="0" fontId="50" fillId="12" borderId="44" xfId="0" applyFont="1" applyFill="1" applyBorder="1" applyAlignment="1" applyProtection="1">
      <alignment horizontal="center" vertical="center"/>
      <protection hidden="1"/>
    </xf>
    <xf numFmtId="0" fontId="155" fillId="12" borderId="56" xfId="0" applyFont="1" applyFill="1" applyBorder="1" applyAlignment="1" applyProtection="1">
      <alignment horizontal="center" vertical="center" wrapText="1"/>
      <protection hidden="1"/>
    </xf>
    <xf numFmtId="0" fontId="157" fillId="12" borderId="69" xfId="0" applyFont="1" applyFill="1" applyBorder="1" applyAlignment="1">
      <alignment horizontal="center" vertical="center" wrapText="1"/>
    </xf>
    <xf numFmtId="0" fontId="155" fillId="12" borderId="44" xfId="0" applyFont="1" applyFill="1" applyBorder="1" applyAlignment="1" applyProtection="1">
      <alignment horizontal="center" vertical="center" wrapText="1"/>
      <protection hidden="1"/>
    </xf>
    <xf numFmtId="0" fontId="155" fillId="12" borderId="69" xfId="0" applyFont="1" applyFill="1" applyBorder="1" applyAlignment="1">
      <alignment horizontal="center" vertical="center" wrapText="1"/>
    </xf>
    <xf numFmtId="0" fontId="155" fillId="12" borderId="50" xfId="0" applyFont="1" applyFill="1" applyBorder="1" applyAlignment="1">
      <alignment horizontal="center" vertical="center" wrapText="1"/>
    </xf>
    <xf numFmtId="0" fontId="50" fillId="12" borderId="54" xfId="0" applyFont="1" applyFill="1" applyBorder="1" applyAlignment="1" applyProtection="1">
      <alignment horizontal="center" vertical="center" wrapText="1"/>
      <protection hidden="1"/>
    </xf>
    <xf numFmtId="0" fontId="50" fillId="12" borderId="43" xfId="0" applyFont="1" applyFill="1" applyBorder="1" applyAlignment="1" applyProtection="1">
      <alignment horizontal="center" vertical="center" wrapText="1"/>
      <protection hidden="1"/>
    </xf>
    <xf numFmtId="0" fontId="155" fillId="12" borderId="0" xfId="0" applyFont="1" applyFill="1" applyAlignment="1" applyProtection="1">
      <alignment horizontal="center" vertical="center" wrapText="1"/>
      <protection hidden="1"/>
    </xf>
    <xf numFmtId="0" fontId="50" fillId="12" borderId="13" xfId="0" applyFont="1" applyFill="1" applyBorder="1" applyAlignment="1" applyProtection="1">
      <alignment horizontal="center" vertical="center"/>
      <protection hidden="1"/>
    </xf>
    <xf numFmtId="0" fontId="50" fillId="12" borderId="14" xfId="0" applyFont="1" applyFill="1" applyBorder="1" applyAlignment="1" applyProtection="1">
      <alignment horizontal="center" vertical="center"/>
      <protection hidden="1"/>
    </xf>
    <xf numFmtId="0" fontId="50" fillId="12" borderId="20" xfId="0" applyFont="1" applyFill="1" applyBorder="1" applyAlignment="1" applyProtection="1">
      <alignment horizontal="center" vertical="center"/>
      <protection hidden="1"/>
    </xf>
    <xf numFmtId="0" fontId="157" fillId="12" borderId="49" xfId="0" applyFont="1" applyFill="1" applyBorder="1" applyAlignment="1">
      <alignment horizontal="center" vertical="center" wrapText="1"/>
    </xf>
    <xf numFmtId="0" fontId="50" fillId="12" borderId="0" xfId="0" applyFont="1" applyFill="1" applyAlignment="1" applyProtection="1">
      <alignment horizontal="center" vertical="center" wrapText="1"/>
      <protection hidden="1"/>
    </xf>
    <xf numFmtId="0" fontId="155" fillId="12" borderId="69" xfId="0" applyFont="1" applyFill="1" applyBorder="1" applyAlignment="1" applyProtection="1">
      <alignment horizontal="center" vertical="center" wrapText="1"/>
      <protection hidden="1"/>
    </xf>
    <xf numFmtId="0" fontId="50" fillId="12" borderId="13" xfId="0" applyFont="1" applyFill="1" applyBorder="1" applyAlignment="1" applyProtection="1">
      <alignment horizontal="center" vertical="center"/>
      <protection locked="0" hidden="1"/>
    </xf>
    <xf numFmtId="0" fontId="50" fillId="12" borderId="14" xfId="0" applyFont="1" applyFill="1" applyBorder="1" applyAlignment="1" applyProtection="1">
      <alignment horizontal="center" vertical="center"/>
      <protection locked="0" hidden="1"/>
    </xf>
    <xf numFmtId="0" fontId="50" fillId="12" borderId="20" xfId="0" applyFont="1" applyFill="1" applyBorder="1" applyAlignment="1" applyProtection="1">
      <alignment horizontal="center" vertical="center"/>
      <protection locked="0" hidden="1"/>
    </xf>
    <xf numFmtId="0" fontId="156" fillId="12" borderId="69" xfId="0" applyFont="1" applyFill="1" applyBorder="1" applyAlignment="1" applyProtection="1">
      <alignment horizontal="center" vertical="center" wrapText="1"/>
      <protection hidden="1"/>
    </xf>
    <xf numFmtId="0" fontId="50" fillId="12" borderId="55" xfId="0" applyFont="1" applyFill="1" applyBorder="1" applyAlignment="1" applyProtection="1">
      <alignment horizontal="center" vertical="center"/>
      <protection hidden="1"/>
    </xf>
    <xf numFmtId="0" fontId="156" fillId="12" borderId="49" xfId="0" applyFont="1" applyFill="1" applyBorder="1" applyAlignment="1" applyProtection="1">
      <alignment horizontal="center" vertical="center" wrapText="1"/>
      <protection hidden="1"/>
    </xf>
    <xf numFmtId="0" fontId="155" fillId="12" borderId="47" xfId="0" applyFont="1" applyFill="1" applyBorder="1" applyAlignment="1" applyProtection="1">
      <alignment horizontal="center" vertical="center" wrapText="1"/>
      <protection hidden="1"/>
    </xf>
    <xf numFmtId="0" fontId="76" fillId="6" borderId="50" xfId="0" applyFont="1" applyFill="1" applyBorder="1" applyAlignment="1" applyProtection="1">
      <alignment horizontal="right" vertical="center" wrapText="1"/>
      <protection hidden="1"/>
    </xf>
    <xf numFmtId="0" fontId="145" fillId="6" borderId="49" xfId="1" applyFont="1" applyFill="1" applyBorder="1" applyAlignment="1" applyProtection="1">
      <alignment horizontal="center" vertical="center" wrapText="1"/>
      <protection hidden="1"/>
    </xf>
    <xf numFmtId="0" fontId="146" fillId="6" borderId="49" xfId="1" applyFont="1" applyFill="1" applyBorder="1" applyAlignment="1" applyProtection="1">
      <alignment horizontal="center" vertical="center" wrapText="1"/>
      <protection hidden="1"/>
    </xf>
    <xf numFmtId="0" fontId="145" fillId="6" borderId="69" xfId="1" applyFont="1" applyFill="1" applyBorder="1" applyAlignment="1" applyProtection="1">
      <alignment horizontal="center" vertical="center" wrapText="1"/>
      <protection hidden="1"/>
    </xf>
    <xf numFmtId="0" fontId="150" fillId="6" borderId="52" xfId="0" applyFont="1" applyFill="1" applyBorder="1" applyProtection="1">
      <protection hidden="1"/>
    </xf>
    <xf numFmtId="0" fontId="19" fillId="6" borderId="52" xfId="1" applyFill="1" applyBorder="1" applyAlignment="1" applyProtection="1">
      <alignment vertical="center" wrapText="1"/>
      <protection hidden="1"/>
    </xf>
    <xf numFmtId="0" fontId="150" fillId="6" borderId="52" xfId="1" applyFont="1" applyFill="1" applyBorder="1" applyAlignment="1" applyProtection="1">
      <alignment horizontal="left" vertical="center" wrapText="1"/>
      <protection hidden="1"/>
    </xf>
    <xf numFmtId="0" fontId="150" fillId="6" borderId="44" xfId="1" applyFont="1" applyFill="1" applyBorder="1" applyAlignment="1" applyProtection="1">
      <alignment horizontal="center" vertical="center" wrapText="1"/>
      <protection hidden="1"/>
    </xf>
    <xf numFmtId="0" fontId="19" fillId="6" borderId="44" xfId="1" applyFill="1" applyBorder="1" applyAlignment="1" applyProtection="1">
      <alignment vertical="center" wrapText="1"/>
      <protection hidden="1"/>
    </xf>
    <xf numFmtId="0" fontId="150" fillId="6" borderId="44" xfId="1" applyFont="1" applyFill="1" applyBorder="1" applyAlignment="1" applyProtection="1">
      <alignment horizontal="left" vertical="center" wrapText="1"/>
      <protection hidden="1"/>
    </xf>
    <xf numFmtId="0" fontId="143" fillId="6" borderId="52" xfId="0" applyFont="1" applyFill="1" applyBorder="1" applyProtection="1">
      <protection hidden="1"/>
    </xf>
    <xf numFmtId="0" fontId="144" fillId="6" borderId="52" xfId="1" applyFont="1" applyFill="1" applyBorder="1" applyAlignment="1" applyProtection="1">
      <alignment horizontal="left" vertical="center" wrapText="1"/>
      <protection hidden="1"/>
    </xf>
    <xf numFmtId="0" fontId="142" fillId="6" borderId="44" xfId="1" applyFont="1" applyFill="1" applyBorder="1" applyAlignment="1" applyProtection="1">
      <alignment horizontal="center" vertical="center" wrapText="1"/>
      <protection hidden="1"/>
    </xf>
    <xf numFmtId="0" fontId="144" fillId="6" borderId="44" xfId="1" applyFont="1" applyFill="1" applyBorder="1" applyAlignment="1" applyProtection="1">
      <alignment horizontal="left" vertical="center" wrapText="1"/>
      <protection hidden="1"/>
    </xf>
    <xf numFmtId="49" fontId="70" fillId="9" borderId="66" xfId="0" applyNumberFormat="1" applyFont="1" applyFill="1" applyBorder="1" applyAlignment="1" applyProtection="1">
      <alignment horizontal="center" vertical="center" wrapText="1"/>
      <protection locked="0"/>
    </xf>
    <xf numFmtId="49" fontId="70" fillId="9" borderId="68" xfId="0" applyNumberFormat="1" applyFont="1" applyFill="1" applyBorder="1" applyAlignment="1" applyProtection="1">
      <alignment horizontal="center" vertical="center" wrapText="1"/>
      <protection locked="0"/>
    </xf>
    <xf numFmtId="49" fontId="70" fillId="9" borderId="67" xfId="0" applyNumberFormat="1" applyFont="1" applyFill="1" applyBorder="1" applyAlignment="1" applyProtection="1">
      <alignment horizontal="center" vertical="center" wrapText="1"/>
      <protection locked="0"/>
    </xf>
    <xf numFmtId="164" fontId="158" fillId="0" borderId="39" xfId="0" applyNumberFormat="1" applyFont="1" applyBorder="1" applyAlignment="1" applyProtection="1">
      <alignment horizontal="center" vertical="center" wrapText="1"/>
      <protection hidden="1"/>
    </xf>
    <xf numFmtId="164" fontId="161" fillId="0" borderId="103" xfId="0" applyNumberFormat="1" applyFont="1" applyBorder="1" applyAlignment="1" applyProtection="1">
      <alignment horizontal="center" vertical="center" wrapText="1"/>
      <protection hidden="1"/>
    </xf>
    <xf numFmtId="164" fontId="161" fillId="0" borderId="87" xfId="0" applyNumberFormat="1" applyFont="1" applyBorder="1" applyAlignment="1" applyProtection="1">
      <alignment horizontal="center" vertical="center" wrapText="1"/>
      <protection hidden="1"/>
    </xf>
    <xf numFmtId="164" fontId="161" fillId="0" borderId="39" xfId="0" applyNumberFormat="1" applyFont="1" applyBorder="1" applyAlignment="1" applyProtection="1">
      <alignment horizontal="center" vertical="center" wrapText="1"/>
      <protection hidden="1"/>
    </xf>
    <xf numFmtId="164" fontId="161" fillId="0" borderId="37" xfId="0" applyNumberFormat="1" applyFont="1" applyBorder="1" applyAlignment="1" applyProtection="1">
      <alignment horizontal="center" vertical="center" wrapText="1"/>
      <protection hidden="1"/>
    </xf>
    <xf numFmtId="164" fontId="158" fillId="0" borderId="101" xfId="0" applyNumberFormat="1" applyFont="1" applyBorder="1" applyAlignment="1" applyProtection="1">
      <alignment horizontal="center" vertical="center"/>
      <protection hidden="1"/>
    </xf>
    <xf numFmtId="0" fontId="140" fillId="0" borderId="4" xfId="0" applyFont="1" applyBorder="1" applyAlignment="1" applyProtection="1">
      <alignment horizontal="left" vertical="center" wrapText="1"/>
      <protection hidden="1"/>
    </xf>
    <xf numFmtId="0" fontId="59" fillId="0" borderId="57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 wrapText="1"/>
    </xf>
    <xf numFmtId="0" fontId="59" fillId="0" borderId="38" xfId="0" applyFont="1" applyBorder="1" applyAlignment="1">
      <alignment horizontal="center" vertical="center" wrapText="1"/>
    </xf>
    <xf numFmtId="0" fontId="0" fillId="0" borderId="5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0" xfId="0" applyAlignment="1">
      <alignment horizontal="left"/>
    </xf>
    <xf numFmtId="0" fontId="0" fillId="0" borderId="52" xfId="0" applyBorder="1" applyAlignment="1">
      <alignment horizontal="right"/>
    </xf>
    <xf numFmtId="0" fontId="0" fillId="5" borderId="51" xfId="0" applyFill="1" applyBorder="1" applyAlignment="1">
      <alignment horizontal="left"/>
    </xf>
    <xf numFmtId="0" fontId="0" fillId="5" borderId="53" xfId="0" applyFill="1" applyBorder="1" applyAlignment="1">
      <alignment horizontal="left"/>
    </xf>
    <xf numFmtId="0" fontId="0" fillId="5" borderId="52" xfId="0" applyFill="1" applyBorder="1" applyAlignment="1">
      <alignment horizontal="left"/>
    </xf>
    <xf numFmtId="0" fontId="0" fillId="5" borderId="53" xfId="0" applyFill="1" applyBorder="1" applyAlignment="1">
      <alignment horizontal="center"/>
    </xf>
    <xf numFmtId="0" fontId="0" fillId="15" borderId="52" xfId="0" applyFill="1" applyBorder="1"/>
    <xf numFmtId="0" fontId="0" fillId="11" borderId="52" xfId="0" applyFill="1" applyBorder="1" applyAlignment="1">
      <alignment horizontal="left"/>
    </xf>
    <xf numFmtId="0" fontId="0" fillId="11" borderId="51" xfId="0" applyFill="1" applyBorder="1" applyAlignment="1">
      <alignment horizontal="left"/>
    </xf>
    <xf numFmtId="0" fontId="59" fillId="0" borderId="51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 vertical="center"/>
    </xf>
    <xf numFmtId="0" fontId="59" fillId="0" borderId="66" xfId="0" applyFont="1" applyBorder="1" applyAlignment="1">
      <alignment horizontal="center"/>
    </xf>
    <xf numFmtId="0" fontId="0" fillId="0" borderId="66" xfId="0" applyBorder="1"/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5" borderId="54" xfId="0" applyFill="1" applyBorder="1" applyAlignment="1">
      <alignment horizontal="left"/>
    </xf>
    <xf numFmtId="0" fontId="0" fillId="5" borderId="55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5" borderId="55" xfId="0" applyFill="1" applyBorder="1" applyAlignment="1">
      <alignment horizontal="center"/>
    </xf>
    <xf numFmtId="0" fontId="0" fillId="15" borderId="0" xfId="0" applyFill="1"/>
    <xf numFmtId="0" fontId="0" fillId="11" borderId="0" xfId="0" applyFill="1" applyAlignment="1">
      <alignment horizontal="left"/>
    </xf>
    <xf numFmtId="0" fontId="0" fillId="11" borderId="54" xfId="0" applyFill="1" applyBorder="1" applyAlignment="1">
      <alignment horizontal="left"/>
    </xf>
    <xf numFmtId="0" fontId="0" fillId="0" borderId="55" xfId="0" applyBorder="1" applyAlignment="1">
      <alignment horizontal="left"/>
    </xf>
    <xf numFmtId="0" fontId="59" fillId="0" borderId="54" xfId="0" applyFont="1" applyBorder="1" applyAlignment="1">
      <alignment horizontal="center" vertical="center"/>
    </xf>
    <xf numFmtId="0" fontId="59" fillId="0" borderId="68" xfId="0" applyFont="1" applyBorder="1" applyAlignment="1">
      <alignment horizontal="center"/>
    </xf>
    <xf numFmtId="0" fontId="0" fillId="0" borderId="68" xfId="0" applyBorder="1"/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59" fillId="0" borderId="67" xfId="0" applyFont="1" applyBorder="1" applyAlignment="1">
      <alignment horizontal="center"/>
    </xf>
    <xf numFmtId="0" fontId="0" fillId="0" borderId="67" xfId="0" applyBorder="1"/>
    <xf numFmtId="0" fontId="0" fillId="0" borderId="43" xfId="0" applyBorder="1" applyAlignment="1">
      <alignment horizontal="center"/>
    </xf>
    <xf numFmtId="0" fontId="0" fillId="0" borderId="56" xfId="0" applyBorder="1" applyAlignment="1">
      <alignment horizontal="center"/>
    </xf>
    <xf numFmtId="0" fontId="59" fillId="0" borderId="66" xfId="0" applyFont="1" applyBorder="1"/>
    <xf numFmtId="0" fontId="0" fillId="4" borderId="51" xfId="0" applyFill="1" applyBorder="1"/>
    <xf numFmtId="0" fontId="0" fillId="0" borderId="105" xfId="0" applyBorder="1" applyAlignment="1">
      <alignment horizontal="left" indent="2"/>
    </xf>
    <xf numFmtId="0" fontId="0" fillId="0" borderId="106" xfId="0" applyBorder="1" applyAlignment="1">
      <alignment horizontal="center"/>
    </xf>
    <xf numFmtId="0" fontId="0" fillId="0" borderId="107" xfId="0" applyBorder="1" applyAlignment="1">
      <alignment horizontal="center"/>
    </xf>
    <xf numFmtId="0" fontId="0" fillId="4" borderId="106" xfId="0" applyFill="1" applyBorder="1"/>
    <xf numFmtId="0" fontId="0" fillId="0" borderId="108" xfId="0" applyBorder="1" applyAlignment="1">
      <alignment horizontal="left" indent="2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4" borderId="88" xfId="0" applyFill="1" applyBorder="1"/>
    <xf numFmtId="0" fontId="0" fillId="0" borderId="68" xfId="0" applyBorder="1" applyAlignment="1">
      <alignment horizontal="left" indent="2"/>
    </xf>
    <xf numFmtId="0" fontId="0" fillId="4" borderId="54" xfId="0" applyFill="1" applyBorder="1"/>
    <xf numFmtId="0" fontId="0" fillId="0" borderId="87" xfId="0" applyBorder="1" applyAlignment="1">
      <alignment horizontal="left" indent="2"/>
    </xf>
    <xf numFmtId="0" fontId="0" fillId="0" borderId="74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4" borderId="74" xfId="0" applyFill="1" applyBorder="1"/>
    <xf numFmtId="0" fontId="0" fillId="0" borderId="87" xfId="0" applyBorder="1"/>
    <xf numFmtId="0" fontId="0" fillId="4" borderId="87" xfId="0" applyFill="1" applyBorder="1"/>
    <xf numFmtId="0" fontId="0" fillId="4" borderId="54" xfId="0" applyFill="1" applyBorder="1" applyAlignment="1">
      <alignment horizontal="center"/>
    </xf>
    <xf numFmtId="0" fontId="0" fillId="4" borderId="55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56" xfId="0" applyFill="1" applyBorder="1" applyAlignment="1">
      <alignment horizontal="center"/>
    </xf>
    <xf numFmtId="0" fontId="59" fillId="0" borderId="66" xfId="0" applyFont="1" applyBorder="1" applyAlignment="1">
      <alignment horizontal="right"/>
    </xf>
    <xf numFmtId="0" fontId="59" fillId="0" borderId="68" xfId="0" applyFont="1" applyBorder="1" applyAlignment="1">
      <alignment horizontal="right"/>
    </xf>
    <xf numFmtId="0" fontId="0" fillId="5" borderId="43" xfId="0" applyFill="1" applyBorder="1" applyAlignment="1">
      <alignment horizontal="left"/>
    </xf>
    <xf numFmtId="0" fontId="0" fillId="5" borderId="56" xfId="0" applyFill="1" applyBorder="1" applyAlignment="1">
      <alignment horizontal="left"/>
    </xf>
    <xf numFmtId="0" fontId="0" fillId="5" borderId="44" xfId="0" applyFill="1" applyBorder="1" applyAlignment="1">
      <alignment horizontal="left"/>
    </xf>
    <xf numFmtId="0" fontId="0" fillId="5" borderId="56" xfId="0" applyFill="1" applyBorder="1" applyAlignment="1">
      <alignment horizontal="center"/>
    </xf>
    <xf numFmtId="0" fontId="0" fillId="15" borderId="44" xfId="0" applyFill="1" applyBorder="1"/>
    <xf numFmtId="0" fontId="0" fillId="11" borderId="44" xfId="0" applyFill="1" applyBorder="1" applyAlignment="1">
      <alignment horizontal="left"/>
    </xf>
    <xf numFmtId="0" fontId="0" fillId="11" borderId="43" xfId="0" applyFill="1" applyBorder="1" applyAlignment="1">
      <alignment horizontal="left"/>
    </xf>
    <xf numFmtId="0" fontId="0" fillId="0" borderId="56" xfId="0" applyBorder="1" applyAlignment="1">
      <alignment horizontal="left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67" xfId="0" applyFont="1" applyBorder="1" applyAlignment="1">
      <alignment horizontal="right"/>
    </xf>
    <xf numFmtId="0" fontId="0" fillId="0" borderId="2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64" fillId="9" borderId="0" xfId="0" applyFont="1" applyFill="1" applyAlignment="1" applyProtection="1">
      <alignment horizontal="left" vertical="center" wrapText="1"/>
      <protection hidden="1"/>
    </xf>
    <xf numFmtId="0" fontId="164" fillId="9" borderId="0" xfId="0" applyFont="1" applyFill="1" applyAlignment="1" applyProtection="1">
      <alignment horizontal="left" vertical="center"/>
      <protection hidden="1"/>
    </xf>
    <xf numFmtId="0" fontId="153" fillId="0" borderId="0" xfId="0" applyFont="1" applyAlignment="1" applyProtection="1">
      <alignment horizontal="center" vertical="center" wrapText="1"/>
      <protection locked="0" hidden="1"/>
    </xf>
    <xf numFmtId="164" fontId="18" fillId="0" borderId="0" xfId="0" applyNumberFormat="1" applyFont="1" applyAlignment="1" applyProtection="1">
      <alignment horizontal="center" vertical="center" wrapText="1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135" fillId="0" borderId="1" xfId="0" applyNumberFormat="1" applyFont="1" applyBorder="1" applyAlignment="1" applyProtection="1">
      <alignment horizontal="center" vertical="center" wrapText="1"/>
      <protection locked="0"/>
    </xf>
    <xf numFmtId="164" fontId="135" fillId="0" borderId="80" xfId="0" applyNumberFormat="1" applyFont="1" applyBorder="1" applyAlignment="1" applyProtection="1">
      <alignment horizontal="center" vertical="center" wrapText="1"/>
      <protection locked="0"/>
    </xf>
    <xf numFmtId="164" fontId="135" fillId="0" borderId="25" xfId="0" applyNumberFormat="1" applyFont="1" applyBorder="1" applyAlignment="1" applyProtection="1">
      <alignment horizontal="center" vertical="center" wrapText="1"/>
      <protection locked="0"/>
    </xf>
    <xf numFmtId="164" fontId="25" fillId="0" borderId="1" xfId="0" applyNumberFormat="1" applyFont="1" applyBorder="1" applyAlignment="1" applyProtection="1">
      <alignment horizontal="center" vertical="center" wrapText="1"/>
      <protection hidden="1"/>
    </xf>
    <xf numFmtId="165" fontId="25" fillId="4" borderId="25" xfId="0" applyNumberFormat="1" applyFont="1" applyFill="1" applyBorder="1" applyAlignment="1" applyProtection="1">
      <alignment horizontal="center" vertical="center" wrapText="1"/>
      <protection hidden="1"/>
    </xf>
    <xf numFmtId="165" fontId="25" fillId="4" borderId="19" xfId="0" applyNumberFormat="1" applyFont="1" applyFill="1" applyBorder="1" applyAlignment="1" applyProtection="1">
      <alignment horizontal="center" vertical="center" wrapText="1"/>
      <protection hidden="1"/>
    </xf>
    <xf numFmtId="166" fontId="27" fillId="0" borderId="11" xfId="0" applyNumberFormat="1" applyFont="1" applyBorder="1" applyAlignment="1" applyProtection="1">
      <alignment horizontal="center" vertical="center" wrapText="1"/>
      <protection hidden="1"/>
    </xf>
    <xf numFmtId="166" fontId="27" fillId="0" borderId="15" xfId="0" applyNumberFormat="1" applyFont="1" applyBorder="1" applyAlignment="1" applyProtection="1">
      <alignment horizontal="center" vertical="center"/>
      <protection hidden="1"/>
    </xf>
    <xf numFmtId="165" fontId="166" fillId="4" borderId="86" xfId="0" applyNumberFormat="1" applyFont="1" applyFill="1" applyBorder="1" applyAlignment="1" applyProtection="1">
      <alignment horizontal="center" vertical="center" wrapText="1"/>
      <protection hidden="1"/>
    </xf>
    <xf numFmtId="165" fontId="166" fillId="4" borderId="87" xfId="0" applyNumberFormat="1" applyFont="1" applyFill="1" applyBorder="1" applyAlignment="1" applyProtection="1">
      <alignment horizontal="center" vertical="center" wrapText="1"/>
      <protection hidden="1"/>
    </xf>
    <xf numFmtId="0" fontId="167" fillId="12" borderId="50" xfId="0" applyFont="1" applyFill="1" applyBorder="1" applyAlignment="1" applyProtection="1">
      <alignment horizontal="center" vertical="center" wrapText="1"/>
      <protection hidden="1"/>
    </xf>
    <xf numFmtId="0" fontId="89" fillId="11" borderId="27" xfId="0" applyFont="1" applyFill="1" applyBorder="1" applyAlignment="1" applyProtection="1">
      <alignment horizontal="center" vertical="center"/>
      <protection hidden="1"/>
    </xf>
    <xf numFmtId="0" fontId="89" fillId="11" borderId="63" xfId="0" applyFont="1" applyFill="1" applyBorder="1" applyAlignment="1" applyProtection="1">
      <alignment horizontal="center" vertical="center"/>
      <protection hidden="1"/>
    </xf>
    <xf numFmtId="0" fontId="76" fillId="9" borderId="54" xfId="1" applyNumberFormat="1" applyFont="1" applyFill="1" applyBorder="1" applyAlignment="1" applyProtection="1">
      <alignment horizontal="center" vertical="center" wrapText="1"/>
      <protection locked="0"/>
    </xf>
    <xf numFmtId="0" fontId="76" fillId="9" borderId="0" xfId="1" applyNumberFormat="1" applyFont="1" applyFill="1" applyBorder="1" applyAlignment="1" applyProtection="1">
      <alignment horizontal="center" vertical="center" wrapText="1"/>
      <protection locked="0"/>
    </xf>
    <xf numFmtId="0" fontId="76" fillId="9" borderId="55" xfId="1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0" applyFont="1" applyAlignment="1">
      <alignment horizontal="left" vertical="center" indent="1"/>
    </xf>
    <xf numFmtId="0" fontId="169" fillId="0" borderId="0" xfId="0" applyFont="1" applyAlignment="1">
      <alignment vertical="center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0" fontId="59" fillId="16" borderId="0" xfId="0" applyFont="1" applyFill="1" applyAlignment="1" applyProtection="1">
      <alignment horizontal="center" vertical="center"/>
      <protection locked="0"/>
    </xf>
    <xf numFmtId="49" fontId="0" fillId="0" borderId="54" xfId="0" quotePrefix="1" applyNumberFormat="1" applyBorder="1" applyAlignment="1" applyProtection="1">
      <alignment horizontal="center" vertical="center" wrapText="1"/>
      <protection locked="0"/>
    </xf>
    <xf numFmtId="49" fontId="70" fillId="8" borderId="0" xfId="0" quotePrefix="1" applyNumberFormat="1" applyFont="1" applyFill="1" applyAlignment="1" applyProtection="1">
      <alignment horizontal="center" vertical="center" wrapText="1"/>
      <protection locked="0"/>
    </xf>
    <xf numFmtId="0" fontId="169" fillId="0" borderId="0" xfId="0" quotePrefix="1" applyFont="1" applyAlignment="1">
      <alignment horizontal="left" vertical="center"/>
    </xf>
    <xf numFmtId="0" fontId="170" fillId="17" borderId="0" xfId="0" applyFont="1" applyFill="1" applyAlignment="1">
      <alignment horizontal="center" vertical="center"/>
    </xf>
    <xf numFmtId="0" fontId="169" fillId="17" borderId="0" xfId="0" applyFont="1" applyFill="1" applyAlignment="1">
      <alignment horizontal="center" vertical="center"/>
    </xf>
    <xf numFmtId="0" fontId="169" fillId="17" borderId="0" xfId="0" applyFont="1" applyFill="1" applyAlignment="1">
      <alignment vertical="center"/>
    </xf>
    <xf numFmtId="0" fontId="170" fillId="0" borderId="110" xfId="0" applyFont="1" applyBorder="1" applyAlignment="1">
      <alignment horizontal="center" vertical="center"/>
    </xf>
    <xf numFmtId="0" fontId="169" fillId="0" borderId="110" xfId="0" applyFont="1" applyBorder="1" applyAlignment="1">
      <alignment horizontal="center" vertical="center"/>
    </xf>
    <xf numFmtId="0" fontId="169" fillId="0" borderId="110" xfId="0" applyFont="1" applyBorder="1" applyAlignment="1">
      <alignment vertical="center"/>
    </xf>
    <xf numFmtId="0" fontId="169" fillId="0" borderId="111" xfId="0" applyFont="1" applyBorder="1" applyAlignment="1">
      <alignment vertical="center"/>
    </xf>
    <xf numFmtId="0" fontId="169" fillId="0" borderId="110" xfId="0" quotePrefix="1" applyFont="1" applyBorder="1" applyAlignment="1">
      <alignment horizontal="left" vertical="center"/>
    </xf>
    <xf numFmtId="0" fontId="170" fillId="0" borderId="112" xfId="0" applyFont="1" applyBorder="1" applyAlignment="1">
      <alignment horizontal="center" vertical="center"/>
    </xf>
    <xf numFmtId="0" fontId="169" fillId="0" borderId="112" xfId="0" applyFont="1" applyBorder="1" applyAlignment="1">
      <alignment horizontal="center" vertical="center"/>
    </xf>
    <xf numFmtId="0" fontId="169" fillId="0" borderId="112" xfId="0" applyFont="1" applyBorder="1" applyAlignment="1">
      <alignment vertical="center"/>
    </xf>
    <xf numFmtId="0" fontId="169" fillId="0" borderId="112" xfId="0" quotePrefix="1" applyFont="1" applyBorder="1" applyAlignment="1">
      <alignment horizontal="left" vertical="center"/>
    </xf>
    <xf numFmtId="0" fontId="169" fillId="0" borderId="113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0" fillId="8" borderId="54" xfId="0" applyFont="1" applyFill="1" applyBorder="1" applyAlignment="1" applyProtection="1">
      <alignment horizontal="left" vertical="center" wrapText="1"/>
      <protection locked="0"/>
    </xf>
    <xf numFmtId="0" fontId="156" fillId="12" borderId="44" xfId="0" applyFont="1" applyFill="1" applyBorder="1" applyAlignment="1" applyProtection="1">
      <alignment horizontal="center" vertical="center" wrapText="1"/>
      <protection hidden="1"/>
    </xf>
    <xf numFmtId="0" fontId="50" fillId="12" borderId="0" xfId="0" quotePrefix="1" applyFont="1" applyFill="1" applyAlignment="1" applyProtection="1">
      <alignment horizontal="center" vertical="center"/>
      <protection hidden="1"/>
    </xf>
    <xf numFmtId="0" fontId="70" fillId="9" borderId="0" xfId="0" applyFont="1" applyFill="1" applyAlignment="1" applyProtection="1">
      <alignment horizontal="left" vertical="center" wrapText="1"/>
      <protection locked="0"/>
    </xf>
    <xf numFmtId="0" fontId="50" fillId="12" borderId="51" xfId="0" quotePrefix="1" applyFont="1" applyFill="1" applyBorder="1" applyAlignment="1" applyProtection="1">
      <alignment horizontal="center" vertical="center"/>
      <protection hidden="1"/>
    </xf>
    <xf numFmtId="0" fontId="50" fillId="12" borderId="52" xfId="0" quotePrefix="1" applyFont="1" applyFill="1" applyBorder="1" applyAlignment="1" applyProtection="1">
      <alignment horizontal="center" vertical="center"/>
      <protection hidden="1"/>
    </xf>
    <xf numFmtId="0" fontId="70" fillId="8" borderId="51" xfId="0" applyFont="1" applyFill="1" applyBorder="1" applyAlignment="1" applyProtection="1">
      <alignment horizontal="left" vertical="center" wrapText="1"/>
      <protection locked="0"/>
    </xf>
    <xf numFmtId="0" fontId="50" fillId="12" borderId="54" xfId="0" quotePrefix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wrapText="1"/>
      <protection locked="0"/>
    </xf>
    <xf numFmtId="0" fontId="50" fillId="12" borderId="43" xfId="0" quotePrefix="1" applyFont="1" applyFill="1" applyBorder="1" applyAlignment="1" applyProtection="1">
      <alignment horizontal="center" vertical="center"/>
      <protection hidden="1"/>
    </xf>
    <xf numFmtId="0" fontId="50" fillId="12" borderId="44" xfId="0" quotePrefix="1" applyFont="1" applyFill="1" applyBorder="1" applyAlignment="1" applyProtection="1">
      <alignment horizontal="center" vertical="center"/>
      <protection hidden="1"/>
    </xf>
    <xf numFmtId="0" fontId="70" fillId="8" borderId="43" xfId="0" applyFont="1" applyFill="1" applyBorder="1" applyAlignment="1" applyProtection="1">
      <alignment horizontal="left" vertical="center" wrapText="1"/>
      <protection locked="0"/>
    </xf>
    <xf numFmtId="0" fontId="0" fillId="0" borderId="44" xfId="0" applyBorder="1" applyAlignment="1" applyProtection="1">
      <alignment horizontal="left" vertical="center" wrapText="1"/>
      <protection locked="0"/>
    </xf>
    <xf numFmtId="0" fontId="0" fillId="0" borderId="53" xfId="0" applyBorder="1" applyAlignment="1" applyProtection="1">
      <alignment horizontal="left" vertical="center" wrapText="1"/>
      <protection locked="0"/>
    </xf>
    <xf numFmtId="0" fontId="0" fillId="0" borderId="55" xfId="0" applyBorder="1" applyAlignment="1" applyProtection="1">
      <alignment horizontal="left" vertical="center" wrapText="1"/>
      <protection locked="0"/>
    </xf>
    <xf numFmtId="0" fontId="0" fillId="0" borderId="56" xfId="0" applyBorder="1" applyAlignment="1" applyProtection="1">
      <alignment horizontal="left" vertical="center" wrapText="1"/>
      <protection locked="0"/>
    </xf>
    <xf numFmtId="0" fontId="70" fillId="9" borderId="54" xfId="0" applyFont="1" applyFill="1" applyBorder="1" applyAlignment="1" applyProtection="1">
      <alignment horizontal="left" vertical="center" wrapText="1"/>
      <protection locked="0"/>
    </xf>
    <xf numFmtId="0" fontId="70" fillId="9" borderId="55" xfId="0" applyFont="1" applyFill="1" applyBorder="1" applyAlignment="1" applyProtection="1">
      <alignment horizontal="left" vertical="center" wrapText="1"/>
      <protection locked="0"/>
    </xf>
    <xf numFmtId="0" fontId="70" fillId="9" borderId="43" xfId="0" applyFont="1" applyFill="1" applyBorder="1" applyAlignment="1" applyProtection="1">
      <alignment horizontal="left" vertical="center" wrapText="1"/>
      <protection locked="0"/>
    </xf>
    <xf numFmtId="0" fontId="70" fillId="9" borderId="56" xfId="0" applyFont="1" applyFill="1" applyBorder="1" applyAlignment="1" applyProtection="1">
      <alignment horizontal="left" vertical="center" wrapText="1"/>
      <protection locked="0"/>
    </xf>
    <xf numFmtId="0" fontId="53" fillId="12" borderId="66" xfId="0" applyFont="1" applyFill="1" applyBorder="1" applyAlignment="1" applyProtection="1">
      <alignment horizontal="center" vertical="center"/>
      <protection hidden="1"/>
    </xf>
    <xf numFmtId="0" fontId="53" fillId="12" borderId="68" xfId="0" applyFont="1" applyFill="1" applyBorder="1" applyAlignment="1" applyProtection="1">
      <alignment horizontal="center" vertical="center"/>
      <protection hidden="1"/>
    </xf>
    <xf numFmtId="0" fontId="53" fillId="12" borderId="67" xfId="0" applyFont="1" applyFill="1" applyBorder="1" applyAlignment="1" applyProtection="1">
      <alignment horizontal="center" vertical="center"/>
      <protection hidden="1"/>
    </xf>
    <xf numFmtId="0" fontId="156" fillId="12" borderId="36" xfId="0" applyFont="1" applyFill="1" applyBorder="1" applyAlignment="1" applyProtection="1">
      <alignment horizontal="center" vertical="center" wrapText="1"/>
      <protection hidden="1"/>
    </xf>
    <xf numFmtId="0" fontId="70" fillId="9" borderId="51" xfId="0" applyFont="1" applyFill="1" applyBorder="1" applyAlignment="1" applyProtection="1">
      <alignment horizontal="left" vertical="center" wrapText="1"/>
      <protection locked="0"/>
    </xf>
    <xf numFmtId="0" fontId="70" fillId="9" borderId="53" xfId="0" applyFont="1" applyFill="1" applyBorder="1" applyAlignment="1" applyProtection="1">
      <alignment horizontal="left" vertical="center" wrapText="1"/>
      <protection locked="0"/>
    </xf>
    <xf numFmtId="0" fontId="95" fillId="12" borderId="44" xfId="0" quotePrefix="1" applyFont="1" applyFill="1" applyBorder="1" applyAlignment="1">
      <alignment horizontal="center" vertical="center"/>
    </xf>
    <xf numFmtId="0" fontId="95" fillId="12" borderId="67" xfId="0" applyFont="1" applyFill="1" applyBorder="1" applyAlignment="1">
      <alignment horizontal="center" vertical="center"/>
    </xf>
    <xf numFmtId="49" fontId="70" fillId="0" borderId="54" xfId="0" quotePrefix="1" applyNumberFormat="1" applyFont="1" applyBorder="1" applyAlignment="1" applyProtection="1">
      <alignment horizontal="left" vertical="center" wrapText="1"/>
      <protection locked="0"/>
    </xf>
    <xf numFmtId="49" fontId="70" fillId="8" borderId="54" xfId="0" quotePrefix="1" applyNumberFormat="1" applyFont="1" applyFill="1" applyBorder="1" applyAlignment="1" applyProtection="1">
      <alignment horizontal="left" vertical="center" wrapText="1"/>
      <protection locked="0"/>
    </xf>
    <xf numFmtId="49" fontId="70" fillId="9" borderId="54" xfId="0" quotePrefix="1" applyNumberFormat="1" applyFont="1" applyFill="1" applyBorder="1" applyAlignment="1" applyProtection="1">
      <alignment horizontal="left" vertical="center" wrapText="1"/>
      <protection locked="0"/>
    </xf>
    <xf numFmtId="49" fontId="70" fillId="8" borderId="43" xfId="0" quotePrefix="1" applyNumberFormat="1" applyFont="1" applyFill="1" applyBorder="1" applyAlignment="1" applyProtection="1">
      <alignment horizontal="left" vertical="center" wrapText="1"/>
      <protection locked="0"/>
    </xf>
    <xf numFmtId="0" fontId="0" fillId="0" borderId="52" xfId="0" quotePrefix="1" applyBorder="1" applyAlignment="1" applyProtection="1">
      <alignment horizontal="left" vertical="center" wrapText="1"/>
      <protection locked="0"/>
    </xf>
    <xf numFmtId="0" fontId="0" fillId="0" borderId="51" xfId="0" applyBorder="1" applyAlignment="1" applyProtection="1">
      <alignment horizontal="center" vertical="center" wrapText="1"/>
      <protection locked="0"/>
    </xf>
    <xf numFmtId="0" fontId="0" fillId="0" borderId="52" xfId="0" applyBorder="1" applyAlignment="1" applyProtection="1">
      <alignment horizontal="center" vertical="center" wrapText="1"/>
      <protection locked="0"/>
    </xf>
    <xf numFmtId="0" fontId="70" fillId="8" borderId="52" xfId="0" applyFont="1" applyFill="1" applyBorder="1" applyAlignment="1" applyProtection="1">
      <alignment horizontal="center" vertical="center" wrapText="1"/>
      <protection locked="0"/>
    </xf>
    <xf numFmtId="0" fontId="70" fillId="8" borderId="53" xfId="0" applyFont="1" applyFill="1" applyBorder="1" applyAlignment="1" applyProtection="1">
      <alignment horizontal="center" vertical="center" wrapText="1"/>
      <protection locked="0"/>
    </xf>
    <xf numFmtId="0" fontId="69" fillId="8" borderId="51" xfId="0" applyFont="1" applyFill="1" applyBorder="1" applyAlignment="1" applyProtection="1">
      <alignment horizontal="center" vertical="center" wrapText="1"/>
      <protection locked="0"/>
    </xf>
    <xf numFmtId="0" fontId="0" fillId="0" borderId="0" xfId="0" quotePrefix="1" applyAlignment="1" applyProtection="1">
      <alignment horizontal="left" vertical="center" wrapText="1"/>
      <protection locked="0"/>
    </xf>
    <xf numFmtId="0" fontId="0" fillId="0" borderId="54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69" fillId="8" borderId="54" xfId="0" applyFont="1" applyFill="1" applyBorder="1" applyAlignment="1" applyProtection="1">
      <alignment horizontal="center" vertical="center" wrapText="1"/>
      <protection locked="0"/>
    </xf>
    <xf numFmtId="0" fontId="0" fillId="0" borderId="54" xfId="0" quotePrefix="1" applyBorder="1" applyAlignment="1" applyProtection="1">
      <alignment horizontal="center" vertical="center" wrapText="1"/>
      <protection locked="0"/>
    </xf>
    <xf numFmtId="0" fontId="70" fillId="8" borderId="0" xfId="0" quotePrefix="1" applyFont="1" applyFill="1" applyAlignment="1" applyProtection="1">
      <alignment horizontal="center" vertical="center" wrapText="1"/>
      <protection locked="0"/>
    </xf>
    <xf numFmtId="0" fontId="0" fillId="0" borderId="43" xfId="0" applyBorder="1" applyAlignment="1" applyProtection="1">
      <alignment horizontal="center" vertical="center" wrapText="1"/>
      <protection locked="0"/>
    </xf>
    <xf numFmtId="0" fontId="0" fillId="0" borderId="44" xfId="0" applyBorder="1" applyAlignment="1" applyProtection="1">
      <alignment horizontal="center" vertical="center" wrapText="1"/>
      <protection locked="0"/>
    </xf>
    <xf numFmtId="0" fontId="70" fillId="8" borderId="44" xfId="0" applyFont="1" applyFill="1" applyBorder="1" applyAlignment="1" applyProtection="1">
      <alignment horizontal="center" vertical="center" wrapText="1"/>
      <protection locked="0"/>
    </xf>
    <xf numFmtId="0" fontId="70" fillId="8" borderId="56" xfId="0" applyFont="1" applyFill="1" applyBorder="1" applyAlignment="1" applyProtection="1">
      <alignment horizontal="center" vertical="center" wrapText="1"/>
      <protection locked="0"/>
    </xf>
    <xf numFmtId="0" fontId="69" fillId="8" borderId="43" xfId="0" applyFont="1" applyFill="1" applyBorder="1" applyAlignment="1" applyProtection="1">
      <alignment horizontal="center" vertical="center" wrapText="1"/>
      <protection locked="0"/>
    </xf>
    <xf numFmtId="0" fontId="70" fillId="9" borderId="52" xfId="0" applyFont="1" applyFill="1" applyBorder="1" applyAlignment="1" applyProtection="1">
      <alignment horizontal="left" vertical="center" wrapText="1"/>
      <protection locked="0"/>
    </xf>
    <xf numFmtId="0" fontId="70" fillId="9" borderId="44" xfId="0" applyFont="1" applyFill="1" applyBorder="1" applyAlignment="1" applyProtection="1">
      <alignment horizontal="left" vertical="center" wrapText="1"/>
      <protection locked="0"/>
    </xf>
    <xf numFmtId="0" fontId="70" fillId="9" borderId="53" xfId="0" applyFont="1" applyFill="1" applyBorder="1" applyAlignment="1" applyProtection="1">
      <alignment horizontal="center" vertical="center" wrapText="1"/>
      <protection locked="0"/>
    </xf>
    <xf numFmtId="0" fontId="70" fillId="9" borderId="52" xfId="0" applyFont="1" applyFill="1" applyBorder="1" applyAlignment="1" applyProtection="1">
      <alignment horizontal="center" vertical="center" wrapText="1"/>
      <protection locked="0"/>
    </xf>
    <xf numFmtId="0" fontId="69" fillId="9" borderId="54" xfId="0" applyFont="1" applyFill="1" applyBorder="1" applyAlignment="1" applyProtection="1">
      <alignment horizontal="center" vertical="center" wrapText="1"/>
      <protection locked="0"/>
    </xf>
    <xf numFmtId="0" fontId="69" fillId="9" borderId="51" xfId="0" applyFont="1" applyFill="1" applyBorder="1" applyAlignment="1" applyProtection="1">
      <alignment horizontal="center" vertical="center" wrapText="1"/>
      <protection locked="0"/>
    </xf>
    <xf numFmtId="0" fontId="69" fillId="9" borderId="43" xfId="0" applyFont="1" applyFill="1" applyBorder="1" applyAlignment="1" applyProtection="1">
      <alignment horizontal="center" vertical="center" wrapText="1"/>
      <protection locked="0"/>
    </xf>
    <xf numFmtId="49" fontId="70" fillId="9" borderId="0" xfId="0" quotePrefix="1" applyNumberFormat="1" applyFont="1" applyFill="1" applyAlignment="1" applyProtection="1">
      <alignment horizontal="center" vertical="center" wrapText="1"/>
      <protection locked="0"/>
    </xf>
    <xf numFmtId="49" fontId="70" fillId="0" borderId="0" xfId="0" quotePrefix="1" applyNumberFormat="1" applyFont="1" applyAlignment="1" applyProtection="1">
      <alignment horizontal="center" vertical="center" wrapText="1"/>
      <protection locked="0"/>
    </xf>
    <xf numFmtId="49" fontId="70" fillId="8" borderId="44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0" borderId="73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62" xfId="0" quotePrefix="1" applyNumberFormat="1" applyFont="1" applyBorder="1" applyAlignment="1" applyProtection="1">
      <alignment horizontal="center" vertical="center" wrapText="1"/>
      <protection locked="0"/>
    </xf>
    <xf numFmtId="0" fontId="70" fillId="9" borderId="51" xfId="0" applyFont="1" applyFill="1" applyBorder="1" applyAlignment="1" applyProtection="1">
      <alignment horizontal="center" vertical="center" wrapText="1"/>
      <protection locked="0"/>
    </xf>
    <xf numFmtId="49" fontId="70" fillId="0" borderId="25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63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27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54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43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44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55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56" xfId="0" quotePrefix="1" applyNumberFormat="1" applyFont="1" applyBorder="1" applyAlignment="1" applyProtection="1">
      <alignment horizontal="center" vertical="center" wrapText="1"/>
      <protection locked="0"/>
    </xf>
    <xf numFmtId="0" fontId="84" fillId="12" borderId="49" xfId="0" applyFont="1" applyFill="1" applyBorder="1" applyAlignment="1" applyProtection="1">
      <alignment horizontal="center" vertical="center" wrapText="1"/>
      <protection hidden="1"/>
    </xf>
    <xf numFmtId="0" fontId="84" fillId="12" borderId="71" xfId="0" applyFont="1" applyFill="1" applyBorder="1" applyAlignment="1" applyProtection="1">
      <alignment horizontal="center" vertical="center" wrapText="1"/>
      <protection hidden="1"/>
    </xf>
    <xf numFmtId="0" fontId="84" fillId="12" borderId="72" xfId="0" applyFont="1" applyFill="1" applyBorder="1" applyAlignment="1" applyProtection="1">
      <alignment horizontal="center" vertical="center" wrapText="1"/>
      <protection hidden="1"/>
    </xf>
    <xf numFmtId="0" fontId="84" fillId="12" borderId="47" xfId="0" applyFont="1" applyFill="1" applyBorder="1" applyAlignment="1" applyProtection="1">
      <alignment horizontal="center" vertical="center" wrapText="1"/>
      <protection hidden="1"/>
    </xf>
    <xf numFmtId="0" fontId="122" fillId="12" borderId="52" xfId="0" quotePrefix="1" applyFont="1" applyFill="1" applyBorder="1" applyAlignment="1" applyProtection="1">
      <alignment horizontal="center" vertical="center"/>
      <protection hidden="1"/>
    </xf>
    <xf numFmtId="0" fontId="122" fillId="12" borderId="51" xfId="0" quotePrefix="1" applyFont="1" applyFill="1" applyBorder="1" applyAlignment="1" applyProtection="1">
      <alignment horizontal="center" vertical="center"/>
      <protection hidden="1"/>
    </xf>
    <xf numFmtId="0" fontId="122" fillId="12" borderId="0" xfId="0" quotePrefix="1" applyFont="1" applyFill="1" applyAlignment="1" applyProtection="1">
      <alignment horizontal="center" vertical="center"/>
      <protection hidden="1"/>
    </xf>
    <xf numFmtId="0" fontId="122" fillId="12" borderId="54" xfId="0" quotePrefix="1" applyFont="1" applyFill="1" applyBorder="1" applyAlignment="1" applyProtection="1">
      <alignment horizontal="center" vertical="center"/>
      <protection hidden="1"/>
    </xf>
    <xf numFmtId="0" fontId="122" fillId="12" borderId="44" xfId="0" quotePrefix="1" applyFont="1" applyFill="1" applyBorder="1" applyAlignment="1" applyProtection="1">
      <alignment horizontal="center" vertical="center"/>
      <protection hidden="1"/>
    </xf>
    <xf numFmtId="0" fontId="122" fillId="12" borderId="43" xfId="0" quotePrefix="1" applyFont="1" applyFill="1" applyBorder="1" applyAlignment="1" applyProtection="1">
      <alignment horizontal="center" vertical="center"/>
      <protection hidden="1"/>
    </xf>
    <xf numFmtId="0" fontId="122" fillId="12" borderId="0" xfId="0" applyFont="1" applyFill="1" applyAlignment="1" applyProtection="1">
      <alignment horizontal="center" vertical="center"/>
      <protection hidden="1"/>
    </xf>
    <xf numFmtId="0" fontId="122" fillId="12" borderId="66" xfId="0" applyFont="1" applyFill="1" applyBorder="1" applyAlignment="1" applyProtection="1">
      <alignment horizontal="center" vertical="center"/>
      <protection hidden="1"/>
    </xf>
    <xf numFmtId="0" fontId="122" fillId="12" borderId="68" xfId="0" applyFont="1" applyFill="1" applyBorder="1" applyAlignment="1" applyProtection="1">
      <alignment horizontal="center" vertical="center"/>
      <protection hidden="1"/>
    </xf>
    <xf numFmtId="0" fontId="122" fillId="12" borderId="66" xfId="0" quotePrefix="1" applyFont="1" applyFill="1" applyBorder="1" applyAlignment="1" applyProtection="1">
      <alignment horizontal="center" vertical="center"/>
      <protection hidden="1"/>
    </xf>
    <xf numFmtId="0" fontId="122" fillId="12" borderId="68" xfId="0" quotePrefix="1" applyFont="1" applyFill="1" applyBorder="1" applyAlignment="1" applyProtection="1">
      <alignment horizontal="center" vertical="center"/>
      <protection hidden="1"/>
    </xf>
    <xf numFmtId="0" fontId="122" fillId="12" borderId="67" xfId="0" quotePrefix="1" applyFont="1" applyFill="1" applyBorder="1" applyAlignment="1" applyProtection="1">
      <alignment horizontal="center" vertical="center"/>
      <protection hidden="1"/>
    </xf>
    <xf numFmtId="0" fontId="122" fillId="12" borderId="67" xfId="0" applyFont="1" applyFill="1" applyBorder="1" applyAlignment="1" applyProtection="1">
      <alignment horizontal="center" vertical="center"/>
      <protection hidden="1"/>
    </xf>
    <xf numFmtId="0" fontId="174" fillId="12" borderId="36" xfId="0" applyFont="1" applyFill="1" applyBorder="1" applyAlignment="1" applyProtection="1">
      <alignment horizontal="center" vertical="center" wrapText="1"/>
      <protection hidden="1"/>
    </xf>
    <xf numFmtId="0" fontId="84" fillId="12" borderId="47" xfId="0" quotePrefix="1" applyFont="1" applyFill="1" applyBorder="1" applyAlignment="1" applyProtection="1">
      <alignment horizontal="center" vertical="center" wrapText="1"/>
      <protection hidden="1"/>
    </xf>
    <xf numFmtId="0" fontId="167" fillId="3" borderId="44" xfId="0" applyFont="1" applyFill="1" applyBorder="1" applyAlignment="1" applyProtection="1">
      <alignment horizontal="center" vertical="center" wrapText="1"/>
      <protection hidden="1"/>
    </xf>
    <xf numFmtId="0" fontId="167" fillId="3" borderId="56" xfId="0" applyFont="1" applyFill="1" applyBorder="1" applyAlignment="1" applyProtection="1">
      <alignment horizontal="center" vertical="center" wrapText="1"/>
      <protection hidden="1"/>
    </xf>
    <xf numFmtId="0" fontId="167" fillId="3" borderId="0" xfId="0" applyFont="1" applyFill="1" applyAlignment="1" applyProtection="1">
      <alignment horizontal="center" vertical="center" wrapText="1"/>
      <protection hidden="1"/>
    </xf>
    <xf numFmtId="0" fontId="122" fillId="12" borderId="6" xfId="0" quotePrefix="1" applyFont="1" applyFill="1" applyBorder="1" applyAlignment="1" applyProtection="1">
      <alignment horizontal="center" vertical="center"/>
      <protection hidden="1"/>
    </xf>
    <xf numFmtId="0" fontId="122" fillId="12" borderId="40" xfId="0" quotePrefix="1" applyFont="1" applyFill="1" applyBorder="1" applyAlignment="1" applyProtection="1">
      <alignment horizontal="center" vertical="center"/>
      <protection hidden="1"/>
    </xf>
    <xf numFmtId="0" fontId="122" fillId="12" borderId="11" xfId="0" quotePrefix="1" applyFont="1" applyFill="1" applyBorder="1" applyAlignment="1" applyProtection="1">
      <alignment horizontal="center" vertical="center"/>
      <protection hidden="1"/>
    </xf>
    <xf numFmtId="0" fontId="76" fillId="9" borderId="51" xfId="1" applyNumberFormat="1" applyFont="1" applyFill="1" applyBorder="1" applyAlignment="1" applyProtection="1">
      <alignment horizontal="center" vertical="center" wrapText="1"/>
      <protection locked="0"/>
    </xf>
    <xf numFmtId="0" fontId="76" fillId="9" borderId="52" xfId="1" applyNumberFormat="1" applyFont="1" applyFill="1" applyBorder="1" applyAlignment="1" applyProtection="1">
      <alignment horizontal="center" vertical="center" wrapText="1"/>
      <protection locked="0"/>
    </xf>
    <xf numFmtId="0" fontId="76" fillId="9" borderId="53" xfId="1" applyNumberFormat="1" applyFont="1" applyFill="1" applyBorder="1" applyAlignment="1" applyProtection="1">
      <alignment horizontal="center" vertical="center" wrapText="1"/>
      <protection locked="0"/>
    </xf>
    <xf numFmtId="0" fontId="122" fillId="12" borderId="15" xfId="0" quotePrefix="1" applyFont="1" applyFill="1" applyBorder="1" applyAlignment="1" applyProtection="1">
      <alignment horizontal="center" vertical="center"/>
      <protection hidden="1"/>
    </xf>
    <xf numFmtId="0" fontId="76" fillId="9" borderId="43" xfId="1" applyNumberFormat="1" applyFont="1" applyFill="1" applyBorder="1" applyAlignment="1" applyProtection="1">
      <alignment horizontal="center" vertical="center" wrapText="1"/>
      <protection locked="0"/>
    </xf>
    <xf numFmtId="0" fontId="76" fillId="9" borderId="44" xfId="1" applyNumberFormat="1" applyFont="1" applyFill="1" applyBorder="1" applyAlignment="1" applyProtection="1">
      <alignment horizontal="center" vertical="center" wrapText="1"/>
      <protection locked="0"/>
    </xf>
    <xf numFmtId="0" fontId="76" fillId="9" borderId="56" xfId="1" applyNumberFormat="1" applyFont="1" applyFill="1" applyBorder="1" applyAlignment="1" applyProtection="1">
      <alignment horizontal="center" vertical="center" wrapText="1"/>
      <protection locked="0"/>
    </xf>
    <xf numFmtId="0" fontId="167" fillId="3" borderId="55" xfId="0" applyFont="1" applyFill="1" applyBorder="1" applyAlignment="1" applyProtection="1">
      <alignment horizontal="center" vertical="center" wrapText="1"/>
      <protection hidden="1"/>
    </xf>
    <xf numFmtId="0" fontId="18" fillId="2" borderId="28" xfId="0" applyFont="1" applyFill="1" applyBorder="1" applyAlignment="1" applyProtection="1">
      <alignment horizontal="center" vertical="center" wrapText="1"/>
      <protection hidden="1"/>
    </xf>
    <xf numFmtId="0" fontId="70" fillId="8" borderId="42" xfId="0" applyFont="1" applyFill="1" applyBorder="1" applyAlignment="1" applyProtection="1">
      <alignment horizontal="center" vertical="center" wrapText="1"/>
      <protection locked="0"/>
    </xf>
    <xf numFmtId="0" fontId="70" fillId="9" borderId="4" xfId="0" applyFont="1" applyFill="1" applyBorder="1" applyAlignment="1" applyProtection="1">
      <alignment horizontal="center" vertical="center" wrapText="1"/>
      <protection locked="0"/>
    </xf>
    <xf numFmtId="0" fontId="70" fillId="8" borderId="24" xfId="0" applyFont="1" applyFill="1" applyBorder="1" applyAlignment="1" applyProtection="1">
      <alignment horizontal="center" vertical="center" wrapText="1"/>
      <protection locked="0"/>
    </xf>
    <xf numFmtId="0" fontId="70" fillId="9" borderId="22" xfId="0" applyFont="1" applyFill="1" applyBorder="1" applyAlignment="1" applyProtection="1">
      <alignment horizontal="center" vertical="center" wrapText="1"/>
      <protection locked="0"/>
    </xf>
    <xf numFmtId="0" fontId="70" fillId="9" borderId="18" xfId="0" applyFont="1" applyFill="1" applyBorder="1" applyAlignment="1" applyProtection="1">
      <alignment horizontal="center" vertical="center" wrapText="1"/>
      <protection locked="0"/>
    </xf>
    <xf numFmtId="0" fontId="156" fillId="12" borderId="50" xfId="0" applyFont="1" applyFill="1" applyBorder="1" applyAlignment="1" applyProtection="1">
      <alignment horizontal="center" vertical="center" wrapText="1"/>
      <protection hidden="1"/>
    </xf>
    <xf numFmtId="0" fontId="122" fillId="11" borderId="12" xfId="0" quotePrefix="1" applyFont="1" applyFill="1" applyBorder="1" applyAlignment="1" applyProtection="1">
      <alignment horizontal="center" vertical="center"/>
      <protection hidden="1"/>
    </xf>
    <xf numFmtId="0" fontId="176" fillId="11" borderId="2" xfId="0" applyFont="1" applyFill="1" applyBorder="1" applyAlignment="1" applyProtection="1">
      <alignment horizontal="center" vertical="center"/>
      <protection locked="0" hidden="1"/>
    </xf>
    <xf numFmtId="0" fontId="176" fillId="11" borderId="7" xfId="0" applyFont="1" applyFill="1" applyBorder="1" applyAlignment="1" applyProtection="1">
      <alignment horizontal="center" vertical="center"/>
      <protection locked="0" hidden="1"/>
    </xf>
    <xf numFmtId="0" fontId="176" fillId="11" borderId="12" xfId="0" quotePrefix="1" applyFont="1" applyFill="1" applyBorder="1" applyAlignment="1" applyProtection="1">
      <alignment horizontal="center" vertical="center"/>
      <protection locked="0" hidden="1"/>
    </xf>
    <xf numFmtId="0" fontId="176" fillId="11" borderId="16" xfId="0" applyFont="1" applyFill="1" applyBorder="1" applyAlignment="1" applyProtection="1">
      <alignment horizontal="center" vertical="center"/>
      <protection locked="0" hidden="1"/>
    </xf>
    <xf numFmtId="0" fontId="122" fillId="11" borderId="57" xfId="0" quotePrefix="1" applyFont="1" applyFill="1" applyBorder="1" applyAlignment="1" applyProtection="1">
      <alignment horizontal="center" vertical="center"/>
      <protection hidden="1"/>
    </xf>
    <xf numFmtId="0" fontId="122" fillId="11" borderId="37" xfId="0" quotePrefix="1" applyFont="1" applyFill="1" applyBorder="1" applyAlignment="1" applyProtection="1">
      <alignment horizontal="center" vertical="center"/>
      <protection locked="0" hidden="1"/>
    </xf>
    <xf numFmtId="0" fontId="122" fillId="11" borderId="101" xfId="0" quotePrefix="1" applyFont="1" applyFill="1" applyBorder="1" applyAlignment="1" applyProtection="1">
      <alignment horizontal="center" vertical="center"/>
      <protection locked="0" hidden="1"/>
    </xf>
    <xf numFmtId="0" fontId="122" fillId="11" borderId="57" xfId="0" quotePrefix="1" applyFont="1" applyFill="1" applyBorder="1" applyAlignment="1" applyProtection="1">
      <alignment horizontal="center" vertical="center"/>
      <protection locked="0" hidden="1"/>
    </xf>
    <xf numFmtId="0" fontId="122" fillId="11" borderId="38" xfId="0" quotePrefix="1" applyFont="1" applyFill="1" applyBorder="1" applyAlignment="1" applyProtection="1">
      <alignment horizontal="center" vertical="center"/>
      <protection locked="0" hidden="1"/>
    </xf>
    <xf numFmtId="0" fontId="70" fillId="8" borderId="21" xfId="0" applyFont="1" applyFill="1" applyBorder="1" applyAlignment="1" applyProtection="1">
      <alignment horizontal="center" vertical="center" wrapText="1"/>
      <protection locked="0"/>
    </xf>
    <xf numFmtId="0" fontId="91" fillId="12" borderId="31" xfId="0" applyFont="1" applyFill="1" applyBorder="1" applyAlignment="1" applyProtection="1">
      <alignment horizontal="center" vertical="center" wrapText="1"/>
      <protection hidden="1"/>
    </xf>
    <xf numFmtId="0" fontId="91" fillId="12" borderId="68" xfId="0" applyFont="1" applyFill="1" applyBorder="1" applyAlignment="1" applyProtection="1">
      <alignment horizontal="center" vertical="center" wrapText="1"/>
      <protection hidden="1"/>
    </xf>
    <xf numFmtId="0" fontId="91" fillId="12" borderId="64" xfId="0" applyFont="1" applyFill="1" applyBorder="1" applyAlignment="1" applyProtection="1">
      <alignment horizontal="center" vertical="center" wrapText="1"/>
      <protection hidden="1"/>
    </xf>
    <xf numFmtId="0" fontId="122" fillId="12" borderId="21" xfId="0" quotePrefix="1" applyFont="1" applyFill="1" applyBorder="1" applyAlignment="1" applyProtection="1">
      <alignment horizontal="center" vertical="center" wrapText="1"/>
      <protection locked="0"/>
    </xf>
    <xf numFmtId="0" fontId="122" fillId="12" borderId="42" xfId="0" quotePrefix="1" applyFont="1" applyFill="1" applyBorder="1" applyAlignment="1" applyProtection="1">
      <alignment horizontal="center" vertical="center" wrapText="1"/>
      <protection locked="0"/>
    </xf>
    <xf numFmtId="0" fontId="122" fillId="12" borderId="24" xfId="0" quotePrefix="1" applyFont="1" applyFill="1" applyBorder="1" applyAlignment="1" applyProtection="1">
      <alignment horizontal="center" vertical="center" wrapText="1"/>
      <protection locked="0"/>
    </xf>
    <xf numFmtId="0" fontId="122" fillId="12" borderId="70" xfId="0" quotePrefix="1" applyFont="1" applyFill="1" applyBorder="1" applyAlignment="1" applyProtection="1">
      <alignment horizontal="center" vertical="center" wrapText="1"/>
      <protection locked="0"/>
    </xf>
    <xf numFmtId="0" fontId="122" fillId="11" borderId="57" xfId="0" quotePrefix="1" applyFont="1" applyFill="1" applyBorder="1" applyAlignment="1" applyProtection="1">
      <alignment horizontal="center" vertical="center" wrapText="1"/>
      <protection locked="0"/>
    </xf>
    <xf numFmtId="0" fontId="122" fillId="11" borderId="37" xfId="0" quotePrefix="1" applyFont="1" applyFill="1" applyBorder="1" applyAlignment="1" applyProtection="1">
      <alignment horizontal="center" vertical="center" wrapText="1"/>
      <protection locked="0"/>
    </xf>
    <xf numFmtId="0" fontId="122" fillId="11" borderId="38" xfId="0" quotePrefix="1" applyFont="1" applyFill="1" applyBorder="1" applyAlignment="1" applyProtection="1">
      <alignment horizontal="center" vertical="center" wrapText="1"/>
      <protection locked="0"/>
    </xf>
    <xf numFmtId="0" fontId="122" fillId="11" borderId="101" xfId="0" quotePrefix="1" applyFont="1" applyFill="1" applyBorder="1" applyAlignment="1" applyProtection="1">
      <alignment horizontal="center" vertical="center" wrapText="1"/>
      <protection locked="0"/>
    </xf>
    <xf numFmtId="0" fontId="122" fillId="11" borderId="22" xfId="0" quotePrefix="1" applyFont="1" applyFill="1" applyBorder="1" applyAlignment="1" applyProtection="1">
      <alignment horizontal="center" vertical="center" wrapText="1"/>
      <protection locked="0"/>
    </xf>
    <xf numFmtId="0" fontId="122" fillId="11" borderId="4" xfId="0" applyFont="1" applyFill="1" applyBorder="1" applyAlignment="1" applyProtection="1">
      <alignment horizontal="center" vertical="center" wrapText="1"/>
      <protection locked="0"/>
    </xf>
    <xf numFmtId="0" fontId="122" fillId="11" borderId="18" xfId="0" applyFont="1" applyFill="1" applyBorder="1" applyAlignment="1" applyProtection="1">
      <alignment horizontal="center" vertical="center" wrapText="1"/>
      <protection locked="0"/>
    </xf>
    <xf numFmtId="0" fontId="122" fillId="11" borderId="9" xfId="0" applyFont="1" applyFill="1" applyBorder="1" applyAlignment="1" applyProtection="1">
      <alignment horizontal="center" vertical="center" wrapText="1"/>
      <protection locked="0"/>
    </xf>
    <xf numFmtId="0" fontId="75" fillId="2" borderId="57" xfId="0" applyFont="1" applyFill="1" applyBorder="1" applyAlignment="1" applyProtection="1">
      <alignment horizontal="center" vertical="center" wrapText="1"/>
      <protection locked="0"/>
    </xf>
    <xf numFmtId="0" fontId="75" fillId="2" borderId="37" xfId="0" applyFont="1" applyFill="1" applyBorder="1" applyAlignment="1" applyProtection="1">
      <alignment horizontal="center" vertical="center" wrapText="1"/>
      <protection locked="0"/>
    </xf>
    <xf numFmtId="0" fontId="75" fillId="2" borderId="38" xfId="0" applyFont="1" applyFill="1" applyBorder="1" applyAlignment="1" applyProtection="1">
      <alignment horizontal="center" vertical="center" wrapText="1"/>
      <protection locked="0"/>
    </xf>
    <xf numFmtId="0" fontId="75" fillId="2" borderId="101" xfId="0" applyFont="1" applyFill="1" applyBorder="1" applyAlignment="1" applyProtection="1">
      <alignment horizontal="center" vertical="center" wrapText="1"/>
      <protection locked="0"/>
    </xf>
    <xf numFmtId="0" fontId="46" fillId="2" borderId="36" xfId="0" applyFont="1" applyFill="1" applyBorder="1" applyAlignment="1" applyProtection="1">
      <alignment horizontal="center" vertical="center" wrapText="1"/>
      <protection hidden="1"/>
    </xf>
    <xf numFmtId="0" fontId="51" fillId="2" borderId="57" xfId="0" applyFont="1" applyFill="1" applyBorder="1" applyAlignment="1" applyProtection="1">
      <alignment horizontal="center" vertical="center"/>
      <protection hidden="1"/>
    </xf>
    <xf numFmtId="0" fontId="51" fillId="2" borderId="37" xfId="0" applyFont="1" applyFill="1" applyBorder="1" applyAlignment="1" applyProtection="1">
      <alignment horizontal="center" vertical="center"/>
      <protection hidden="1"/>
    </xf>
    <xf numFmtId="0" fontId="51" fillId="2" borderId="101" xfId="0" applyFont="1" applyFill="1" applyBorder="1" applyAlignment="1" applyProtection="1">
      <alignment horizontal="center" vertical="center"/>
      <protection hidden="1"/>
    </xf>
    <xf numFmtId="0" fontId="51" fillId="2" borderId="38" xfId="0" applyFont="1" applyFill="1" applyBorder="1" applyAlignment="1" applyProtection="1">
      <alignment horizontal="center" vertical="center"/>
      <protection hidden="1"/>
    </xf>
    <xf numFmtId="0" fontId="114" fillId="2" borderId="54" xfId="0" applyFont="1" applyFill="1" applyBorder="1" applyAlignment="1" applyProtection="1">
      <alignment horizontal="center" vertical="center" wrapText="1"/>
      <protection hidden="1"/>
    </xf>
    <xf numFmtId="0" fontId="88" fillId="12" borderId="50" xfId="0" quotePrefix="1" applyFont="1" applyFill="1" applyBorder="1" applyAlignment="1" applyProtection="1">
      <alignment horizontal="center" vertical="center" wrapText="1"/>
      <protection hidden="1"/>
    </xf>
    <xf numFmtId="0" fontId="88" fillId="12" borderId="69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/>
    <xf numFmtId="0" fontId="13" fillId="0" borderId="0" xfId="0" applyFont="1"/>
    <xf numFmtId="0" fontId="0" fillId="0" borderId="0" xfId="0" quotePrefix="1" applyAlignment="1">
      <alignment horizontal="left"/>
    </xf>
    <xf numFmtId="0" fontId="139" fillId="0" borderId="0" xfId="0" applyFont="1"/>
    <xf numFmtId="0" fontId="139" fillId="0" borderId="0" xfId="0" applyFont="1" applyAlignment="1">
      <alignment horizontal="center"/>
    </xf>
    <xf numFmtId="0" fontId="36" fillId="0" borderId="0" xfId="0" applyFont="1" applyAlignment="1">
      <alignment horizontal="left" wrapText="1"/>
    </xf>
    <xf numFmtId="0" fontId="86" fillId="0" borderId="0" xfId="0" applyFont="1" applyAlignment="1">
      <alignment horizontal="left"/>
    </xf>
    <xf numFmtId="0" fontId="139" fillId="0" borderId="31" xfId="0" quotePrefix="1" applyFont="1" applyBorder="1" applyAlignment="1">
      <alignment horizontal="left"/>
    </xf>
    <xf numFmtId="0" fontId="139" fillId="0" borderId="0" xfId="0" quotePrefix="1" applyFont="1" applyAlignment="1">
      <alignment horizontal="center"/>
    </xf>
    <xf numFmtId="0" fontId="86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left" vertical="center" wrapText="1"/>
    </xf>
    <xf numFmtId="9" fontId="86" fillId="0" borderId="0" xfId="0" applyNumberFormat="1" applyFont="1" applyAlignment="1">
      <alignment horizontal="center" vertical="center" wrapText="1"/>
    </xf>
    <xf numFmtId="0" fontId="36" fillId="0" borderId="0" xfId="0" quotePrefix="1" applyFont="1" applyAlignment="1">
      <alignment horizontal="left" vertical="center" wrapText="1"/>
    </xf>
    <xf numFmtId="0" fontId="13" fillId="0" borderId="0" xfId="0" applyFont="1" applyAlignment="1">
      <alignment vertical="center"/>
    </xf>
    <xf numFmtId="0" fontId="0" fillId="0" borderId="110" xfId="0" applyBorder="1" applyAlignment="1">
      <alignment horizontal="center"/>
    </xf>
    <xf numFmtId="0" fontId="98" fillId="13" borderId="114" xfId="0" applyFont="1" applyFill="1" applyBorder="1"/>
    <xf numFmtId="0" fontId="0" fillId="0" borderId="0" xfId="0" applyAlignment="1">
      <alignment horizontal="left" vertical="center"/>
    </xf>
    <xf numFmtId="0" fontId="56" fillId="0" borderId="0" xfId="0" quotePrefix="1" applyFont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98" fillId="13" borderId="0" xfId="0" quotePrefix="1" applyFont="1" applyFill="1" applyAlignment="1">
      <alignment horizontal="left"/>
    </xf>
    <xf numFmtId="0" fontId="0" fillId="0" borderId="0" xfId="0" quotePrefix="1" applyAlignment="1">
      <alignment horizontal="center"/>
    </xf>
    <xf numFmtId="0" fontId="56" fillId="0" borderId="0" xfId="0" quotePrefix="1" applyFont="1" applyAlignment="1">
      <alignment horizontal="left"/>
    </xf>
    <xf numFmtId="0" fontId="75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16" fontId="75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left"/>
    </xf>
    <xf numFmtId="0" fontId="0" fillId="0" borderId="3" xfId="0" applyBorder="1" applyAlignment="1">
      <alignment vertical="center"/>
    </xf>
    <xf numFmtId="0" fontId="0" fillId="0" borderId="8" xfId="0" applyBorder="1" applyAlignment="1">
      <alignment vertical="center"/>
    </xf>
    <xf numFmtId="0" fontId="59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70" fillId="0" borderId="4" xfId="0" applyFont="1" applyBorder="1" applyAlignment="1">
      <alignment horizontal="center" vertical="center"/>
    </xf>
    <xf numFmtId="0" fontId="169" fillId="0" borderId="4" xfId="0" applyFont="1" applyBorder="1" applyAlignment="1">
      <alignment horizontal="center" vertical="center"/>
    </xf>
    <xf numFmtId="0" fontId="169" fillId="0" borderId="4" xfId="0" applyFont="1" applyBorder="1" applyAlignment="1">
      <alignment vertical="center"/>
    </xf>
    <xf numFmtId="0" fontId="167" fillId="3" borderId="43" xfId="0" applyFont="1" applyFill="1" applyBorder="1" applyAlignment="1" applyProtection="1">
      <alignment horizontal="center" vertical="center" wrapText="1"/>
      <protection hidden="1"/>
    </xf>
    <xf numFmtId="49" fontId="75" fillId="9" borderId="0" xfId="1" quotePrefix="1" applyNumberFormat="1" applyFont="1" applyFill="1" applyBorder="1" applyAlignment="1" applyProtection="1">
      <alignment horizontal="center" vertical="center" wrapText="1"/>
      <protection locked="0"/>
    </xf>
    <xf numFmtId="0" fontId="70" fillId="8" borderId="0" xfId="0" applyFont="1" applyFill="1" applyAlignment="1" applyProtection="1">
      <alignment horizontal="left" vertical="center" wrapText="1"/>
      <protection locked="0"/>
    </xf>
    <xf numFmtId="0" fontId="70" fillId="8" borderId="52" xfId="0" applyFont="1" applyFill="1" applyBorder="1" applyAlignment="1" applyProtection="1">
      <alignment horizontal="left" vertical="center" wrapText="1"/>
      <protection locked="0"/>
    </xf>
    <xf numFmtId="0" fontId="70" fillId="8" borderId="44" xfId="0" applyFont="1" applyFill="1" applyBorder="1" applyAlignment="1" applyProtection="1">
      <alignment horizontal="left" vertical="center" wrapText="1"/>
      <protection locked="0"/>
    </xf>
    <xf numFmtId="0" fontId="70" fillId="9" borderId="23" xfId="0" applyFont="1" applyFill="1" applyBorder="1" applyAlignment="1" applyProtection="1">
      <alignment horizontal="center" vertical="center" wrapText="1"/>
      <protection locked="0"/>
    </xf>
    <xf numFmtId="0" fontId="120" fillId="9" borderId="73" xfId="0" applyFont="1" applyFill="1" applyBorder="1" applyAlignment="1" applyProtection="1">
      <alignment horizontal="left" vertical="center" wrapText="1"/>
      <protection locked="0"/>
    </xf>
    <xf numFmtId="0" fontId="75" fillId="9" borderId="51" xfId="1" quotePrefix="1" applyNumberFormat="1" applyFont="1" applyFill="1" applyBorder="1" applyAlignment="1" applyProtection="1">
      <alignment horizontal="center" vertical="center" wrapText="1"/>
      <protection locked="0"/>
    </xf>
    <xf numFmtId="0" fontId="75" fillId="9" borderId="53" xfId="1" quotePrefix="1" applyNumberFormat="1" applyFont="1" applyFill="1" applyBorder="1" applyAlignment="1" applyProtection="1">
      <alignment horizontal="center" vertical="center"/>
      <protection locked="0"/>
    </xf>
    <xf numFmtId="0" fontId="70" fillId="9" borderId="1" xfId="0" applyFont="1" applyFill="1" applyBorder="1" applyAlignment="1" applyProtection="1">
      <alignment horizontal="center" vertical="center" wrapText="1"/>
      <protection locked="0"/>
    </xf>
    <xf numFmtId="0" fontId="120" fillId="9" borderId="42" xfId="0" applyFont="1" applyFill="1" applyBorder="1" applyAlignment="1" applyProtection="1">
      <alignment horizontal="left" vertical="center" wrapText="1"/>
      <protection locked="0"/>
    </xf>
    <xf numFmtId="0" fontId="75" fillId="9" borderId="54" xfId="1" quotePrefix="1" applyNumberFormat="1" applyFont="1" applyFill="1" applyBorder="1" applyAlignment="1" applyProtection="1">
      <alignment horizontal="center" vertical="center" wrapText="1"/>
      <protection locked="0"/>
    </xf>
    <xf numFmtId="0" fontId="75" fillId="9" borderId="55" xfId="1" quotePrefix="1" applyNumberFormat="1" applyFont="1" applyFill="1" applyBorder="1" applyAlignment="1" applyProtection="1">
      <alignment horizontal="center" vertical="center"/>
      <protection locked="0"/>
    </xf>
    <xf numFmtId="0" fontId="70" fillId="8" borderId="70" xfId="0" applyFont="1" applyFill="1" applyBorder="1" applyAlignment="1" applyProtection="1">
      <alignment horizontal="center" vertical="center" wrapText="1"/>
      <protection locked="0"/>
    </xf>
    <xf numFmtId="0" fontId="70" fillId="9" borderId="9" xfId="0" applyFont="1" applyFill="1" applyBorder="1" applyAlignment="1" applyProtection="1">
      <alignment horizontal="center" vertical="center" wrapText="1"/>
      <protection locked="0"/>
    </xf>
    <xf numFmtId="0" fontId="70" fillId="9" borderId="10" xfId="0" applyFont="1" applyFill="1" applyBorder="1" applyAlignment="1" applyProtection="1">
      <alignment horizontal="center" vertical="center" wrapText="1"/>
      <protection locked="0"/>
    </xf>
    <xf numFmtId="0" fontId="120" fillId="9" borderId="70" xfId="0" applyFont="1" applyFill="1" applyBorder="1" applyAlignment="1" applyProtection="1">
      <alignment horizontal="left" vertical="center" wrapText="1"/>
      <protection locked="0"/>
    </xf>
    <xf numFmtId="0" fontId="120" fillId="9" borderId="12" xfId="0" applyFont="1" applyFill="1" applyBorder="1" applyAlignment="1" applyProtection="1">
      <alignment horizontal="left" vertical="center" wrapText="1"/>
      <protection locked="0"/>
    </xf>
    <xf numFmtId="0" fontId="75" fillId="9" borderId="51" xfId="0" quotePrefix="1" applyFont="1" applyFill="1" applyBorder="1" applyAlignment="1" applyProtection="1">
      <alignment horizontal="center" vertical="center" wrapText="1"/>
      <protection locked="0"/>
    </xf>
    <xf numFmtId="0" fontId="75" fillId="9" borderId="53" xfId="0" quotePrefix="1" applyFont="1" applyFill="1" applyBorder="1" applyAlignment="1" applyProtection="1">
      <alignment horizontal="center" vertical="center"/>
      <protection locked="0"/>
    </xf>
    <xf numFmtId="0" fontId="120" fillId="9" borderId="2" xfId="0" applyFont="1" applyFill="1" applyBorder="1" applyAlignment="1" applyProtection="1">
      <alignment horizontal="left" vertical="center" wrapText="1"/>
      <protection locked="0"/>
    </xf>
    <xf numFmtId="0" fontId="75" fillId="9" borderId="54" xfId="0" quotePrefix="1" applyFont="1" applyFill="1" applyBorder="1" applyAlignment="1" applyProtection="1">
      <alignment horizontal="center" vertical="center" wrapText="1"/>
      <protection locked="0"/>
    </xf>
    <xf numFmtId="0" fontId="75" fillId="9" borderId="55" xfId="0" quotePrefix="1" applyFont="1" applyFill="1" applyBorder="1" applyAlignment="1" applyProtection="1">
      <alignment horizontal="center" vertical="center"/>
      <protection locked="0"/>
    </xf>
    <xf numFmtId="0" fontId="70" fillId="9" borderId="19" xfId="0" applyFont="1" applyFill="1" applyBorder="1" applyAlignment="1" applyProtection="1">
      <alignment horizontal="center" vertical="center" wrapText="1"/>
      <protection locked="0"/>
    </xf>
    <xf numFmtId="0" fontId="120" fillId="9" borderId="16" xfId="0" applyFont="1" applyFill="1" applyBorder="1" applyAlignment="1" applyProtection="1">
      <alignment horizontal="left" vertical="center" wrapText="1"/>
      <protection locked="0"/>
    </xf>
    <xf numFmtId="0" fontId="75" fillId="9" borderId="43" xfId="0" quotePrefix="1" applyFont="1" applyFill="1" applyBorder="1" applyAlignment="1" applyProtection="1">
      <alignment horizontal="center" vertical="center" wrapText="1"/>
      <protection locked="0"/>
    </xf>
    <xf numFmtId="0" fontId="75" fillId="9" borderId="56" xfId="0" quotePrefix="1" applyFont="1" applyFill="1" applyBorder="1" applyAlignment="1" applyProtection="1">
      <alignment horizontal="center" vertical="center"/>
      <protection locked="0"/>
    </xf>
    <xf numFmtId="0" fontId="75" fillId="9" borderId="43" xfId="1" quotePrefix="1" applyNumberFormat="1" applyFont="1" applyFill="1" applyBorder="1" applyAlignment="1" applyProtection="1">
      <alignment horizontal="center" vertical="center" wrapText="1"/>
      <protection locked="0"/>
    </xf>
    <xf numFmtId="0" fontId="75" fillId="9" borderId="56" xfId="1" quotePrefix="1" applyNumberFormat="1" applyFont="1" applyFill="1" applyBorder="1" applyAlignment="1" applyProtection="1">
      <alignment horizontal="center" vertical="center"/>
      <protection locked="0"/>
    </xf>
    <xf numFmtId="49" fontId="70" fillId="8" borderId="21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8" borderId="42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9" borderId="23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9" borderId="1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0" borderId="3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14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1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51" xfId="0" quotePrefix="1" applyNumberFormat="1" applyFont="1" applyBorder="1" applyAlignment="1" applyProtection="1">
      <alignment horizontal="center" vertical="center" wrapText="1"/>
      <protection locked="0"/>
    </xf>
    <xf numFmtId="0" fontId="179" fillId="0" borderId="0" xfId="0" applyFont="1"/>
    <xf numFmtId="0" fontId="179" fillId="0" borderId="0" xfId="0" applyFont="1" applyAlignment="1">
      <alignment horizontal="left" vertical="center" indent="2"/>
    </xf>
    <xf numFmtId="0" fontId="179" fillId="0" borderId="0" xfId="0" quotePrefix="1" applyFont="1" applyAlignment="1">
      <alignment horizontal="left"/>
    </xf>
    <xf numFmtId="0" fontId="180" fillId="0" borderId="0" xfId="0" applyFont="1" applyAlignment="1">
      <alignment horizontal="right" vertical="center" indent="2"/>
    </xf>
    <xf numFmtId="169" fontId="180" fillId="0" borderId="0" xfId="0" applyNumberFormat="1" applyFont="1" applyAlignment="1">
      <alignment horizontal="left" vertical="center" indent="1"/>
    </xf>
    <xf numFmtId="0" fontId="167" fillId="0" borderId="0" xfId="0" quotePrefix="1" applyFont="1" applyAlignment="1">
      <alignment horizontal="right" wrapText="1"/>
    </xf>
    <xf numFmtId="0" fontId="179" fillId="0" borderId="0" xfId="0" applyFont="1" applyAlignment="1">
      <alignment horizontal="left" vertical="center" wrapText="1"/>
    </xf>
    <xf numFmtId="0" fontId="69" fillId="0" borderId="119" xfId="0" applyFont="1" applyBorder="1" applyAlignment="1" applyProtection="1">
      <alignment horizontal="center" vertical="center"/>
      <protection locked="0"/>
    </xf>
    <xf numFmtId="0" fontId="69" fillId="0" borderId="125" xfId="0" applyFont="1" applyBorder="1" applyAlignment="1" applyProtection="1">
      <alignment horizontal="center" vertical="center"/>
      <protection locked="0"/>
    </xf>
    <xf numFmtId="0" fontId="84" fillId="0" borderId="119" xfId="0" quotePrefix="1" applyFont="1" applyBorder="1" applyAlignment="1" applyProtection="1">
      <alignment horizontal="center" vertical="center"/>
      <protection locked="0"/>
    </xf>
    <xf numFmtId="0" fontId="84" fillId="0" borderId="121" xfId="0" quotePrefix="1" applyFont="1" applyBorder="1" applyAlignment="1" applyProtection="1">
      <alignment horizontal="center" vertical="center"/>
      <protection locked="0"/>
    </xf>
    <xf numFmtId="0" fontId="84" fillId="0" borderId="121" xfId="0" quotePrefix="1" applyFont="1" applyBorder="1" applyAlignment="1" applyProtection="1">
      <alignment horizontal="center" vertical="center" wrapText="1"/>
      <protection locked="0"/>
    </xf>
    <xf numFmtId="0" fontId="84" fillId="0" borderId="27" xfId="0" quotePrefix="1" applyFont="1" applyBorder="1" applyAlignment="1" applyProtection="1">
      <alignment horizontal="center" vertical="center" wrapText="1"/>
      <protection locked="0"/>
    </xf>
    <xf numFmtId="0" fontId="84" fillId="0" borderId="124" xfId="0" quotePrefix="1" applyFont="1" applyBorder="1" applyAlignment="1" applyProtection="1">
      <alignment horizontal="center" vertical="center" wrapText="1"/>
      <protection locked="0"/>
    </xf>
    <xf numFmtId="0" fontId="189" fillId="0" borderId="0" xfId="0" quotePrefix="1" applyFont="1" applyAlignment="1">
      <alignment horizontal="left" vertical="center"/>
    </xf>
    <xf numFmtId="169" fontId="180" fillId="0" borderId="27" xfId="0" applyNumberFormat="1" applyFont="1" applyBorder="1" applyAlignment="1">
      <alignment horizontal="left" vertical="center" indent="1"/>
    </xf>
    <xf numFmtId="0" fontId="179" fillId="0" borderId="135" xfId="0" applyFont="1" applyBorder="1"/>
    <xf numFmtId="0" fontId="179" fillId="0" borderId="136" xfId="0" applyFont="1" applyBorder="1"/>
    <xf numFmtId="0" fontId="179" fillId="0" borderId="27" xfId="0" applyFont="1" applyBorder="1"/>
    <xf numFmtId="169" fontId="69" fillId="4" borderId="29" xfId="0" applyNumberFormat="1" applyFont="1" applyFill="1" applyBorder="1" applyAlignment="1" applyProtection="1">
      <alignment horizontal="left" vertical="center" indent="2"/>
      <protection hidden="1"/>
    </xf>
    <xf numFmtId="169" fontId="69" fillId="4" borderId="29" xfId="0" applyNumberFormat="1" applyFont="1" applyFill="1" applyBorder="1" applyAlignment="1" applyProtection="1">
      <alignment horizontal="left" vertical="center" indent="1"/>
      <protection hidden="1"/>
    </xf>
    <xf numFmtId="0" fontId="69" fillId="0" borderId="1" xfId="0" quotePrefix="1" applyFont="1" applyBorder="1" applyAlignment="1" applyProtection="1">
      <alignment horizontal="center" vertical="center"/>
      <protection locked="0"/>
    </xf>
    <xf numFmtId="0" fontId="69" fillId="0" borderId="4" xfId="0" quotePrefix="1" applyFont="1" applyBorder="1" applyAlignment="1" applyProtection="1">
      <alignment horizontal="center" vertical="center"/>
      <protection locked="0"/>
    </xf>
    <xf numFmtId="0" fontId="192" fillId="0" borderId="0" xfId="0" applyFont="1" applyAlignment="1">
      <alignment horizontal="center" vertical="top"/>
    </xf>
    <xf numFmtId="0" fontId="192" fillId="0" borderId="0" xfId="0" applyFont="1" applyAlignment="1">
      <alignment horizontal="right" vertical="top"/>
    </xf>
    <xf numFmtId="0" fontId="56" fillId="0" borderId="0" xfId="0" applyFont="1" applyAlignment="1">
      <alignment vertical="center"/>
    </xf>
    <xf numFmtId="164" fontId="27" fillId="0" borderId="101" xfId="0" applyNumberFormat="1" applyFont="1" applyBorder="1" applyAlignment="1" applyProtection="1">
      <alignment horizontal="center" vertical="center" wrapText="1"/>
      <protection hidden="1"/>
    </xf>
    <xf numFmtId="0" fontId="68" fillId="0" borderId="66" xfId="0" applyFont="1" applyBorder="1" applyAlignment="1" applyProtection="1">
      <alignment horizontal="center" vertical="center" wrapText="1"/>
      <protection hidden="1"/>
    </xf>
    <xf numFmtId="0" fontId="193" fillId="12" borderId="0" xfId="0" quotePrefix="1" applyFont="1" applyFill="1" applyAlignment="1" applyProtection="1">
      <alignment horizontal="left" vertical="center" wrapText="1"/>
      <protection hidden="1"/>
    </xf>
    <xf numFmtId="0" fontId="194" fillId="12" borderId="0" xfId="0" applyFont="1" applyFill="1" applyAlignment="1" applyProtection="1">
      <alignment horizontal="center" vertical="center" wrapText="1"/>
      <protection locked="0" hidden="1"/>
    </xf>
    <xf numFmtId="0" fontId="195" fillId="12" borderId="0" xfId="0" applyFont="1" applyFill="1" applyAlignment="1">
      <alignment horizontal="center" vertical="center" wrapText="1"/>
    </xf>
    <xf numFmtId="164" fontId="135" fillId="0" borderId="146" xfId="0" applyNumberFormat="1" applyFont="1" applyBorder="1" applyAlignment="1" applyProtection="1">
      <alignment horizontal="center" vertical="center" wrapText="1"/>
      <protection locked="0"/>
    </xf>
    <xf numFmtId="164" fontId="135" fillId="0" borderId="147" xfId="0" applyNumberFormat="1" applyFont="1" applyBorder="1" applyAlignment="1" applyProtection="1">
      <alignment horizontal="center" vertical="center" wrapText="1"/>
      <protection locked="0"/>
    </xf>
    <xf numFmtId="164" fontId="135" fillId="0" borderId="148" xfId="0" applyNumberFormat="1" applyFont="1" applyBorder="1" applyAlignment="1" applyProtection="1">
      <alignment horizontal="center" vertical="center" wrapText="1"/>
      <protection locked="0"/>
    </xf>
    <xf numFmtId="165" fontId="85" fillId="4" borderId="89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27" xfId="0" applyFill="1" applyBorder="1" applyProtection="1">
      <protection hidden="1"/>
    </xf>
    <xf numFmtId="0" fontId="18" fillId="2" borderId="0" xfId="0" applyFont="1" applyFill="1" applyAlignment="1" applyProtection="1">
      <alignment horizontal="left" vertical="center" wrapText="1" indent="2"/>
      <protection hidden="1"/>
    </xf>
    <xf numFmtId="0" fontId="8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9" fontId="86" fillId="0" borderId="0" xfId="0" applyNumberFormat="1" applyFont="1" applyAlignment="1">
      <alignment horizontal="center" vertical="center"/>
    </xf>
    <xf numFmtId="0" fontId="56" fillId="0" borderId="0" xfId="0" applyFont="1"/>
    <xf numFmtId="0" fontId="153" fillId="0" borderId="0" xfId="0" applyFont="1" applyAlignment="1" applyProtection="1">
      <alignment horizontal="center" vertical="center"/>
      <protection locked="0" hidden="1"/>
    </xf>
    <xf numFmtId="0" fontId="69" fillId="0" borderId="0" xfId="0" applyFont="1" applyAlignment="1" applyProtection="1">
      <alignment horizontal="center" vertical="center"/>
      <protection locked="0" hidden="1"/>
    </xf>
    <xf numFmtId="0" fontId="69" fillId="0" borderId="26" xfId="0" quotePrefix="1" applyFont="1" applyBorder="1" applyAlignment="1">
      <alignment horizontal="right" vertical="center" indent="1"/>
    </xf>
    <xf numFmtId="0" fontId="79" fillId="0" borderId="4" xfId="0" quotePrefix="1" applyFont="1" applyBorder="1" applyAlignment="1">
      <alignment horizontal="center" vertical="center"/>
    </xf>
    <xf numFmtId="0" fontId="84" fillId="0" borderId="4" xfId="0" applyFont="1" applyBorder="1" applyAlignment="1">
      <alignment horizontal="center" wrapText="1"/>
    </xf>
    <xf numFmtId="0" fontId="201" fillId="0" borderId="7" xfId="0" quotePrefix="1" applyFont="1" applyBorder="1" applyAlignment="1">
      <alignment horizontal="left"/>
    </xf>
    <xf numFmtId="0" fontId="201" fillId="0" borderId="0" xfId="0" quotePrefix="1" applyFont="1" applyAlignment="1">
      <alignment horizontal="left"/>
    </xf>
    <xf numFmtId="0" fontId="99" fillId="0" borderId="0" xfId="0" applyFont="1" applyAlignment="1" applyProtection="1">
      <alignment vertical="center" wrapText="1"/>
      <protection hidden="1"/>
    </xf>
    <xf numFmtId="0" fontId="117" fillId="9" borderId="0" xfId="0" quotePrefix="1" applyFont="1" applyFill="1" applyAlignment="1" applyProtection="1">
      <alignment horizontal="left" vertical="center"/>
      <protection hidden="1"/>
    </xf>
    <xf numFmtId="0" fontId="69" fillId="0" borderId="137" xfId="0" applyFont="1" applyBorder="1" applyAlignment="1">
      <alignment horizontal="center" vertical="center"/>
    </xf>
    <xf numFmtId="0" fontId="69" fillId="0" borderId="5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150" xfId="0" applyFont="1" applyBorder="1" applyAlignment="1">
      <alignment horizontal="center" vertical="center"/>
    </xf>
    <xf numFmtId="0" fontId="69" fillId="0" borderId="151" xfId="0" applyFont="1" applyBorder="1" applyAlignment="1">
      <alignment horizontal="center" vertical="center"/>
    </xf>
    <xf numFmtId="0" fontId="187" fillId="0" borderId="0" xfId="0" applyFont="1" applyAlignment="1">
      <alignment horizontal="right"/>
    </xf>
    <xf numFmtId="0" fontId="69" fillId="0" borderId="26" xfId="0" quotePrefix="1" applyFont="1" applyBorder="1" applyAlignment="1">
      <alignment horizontal="right" vertical="center"/>
    </xf>
    <xf numFmtId="0" fontId="69" fillId="0" borderId="26" xfId="0" quotePrefix="1" applyFont="1" applyBorder="1" applyAlignment="1">
      <alignment horizontal="right" vertical="center" wrapText="1"/>
    </xf>
    <xf numFmtId="164" fontId="69" fillId="0" borderId="138" xfId="0" applyNumberFormat="1" applyFont="1" applyBorder="1" applyAlignment="1" applyProtection="1">
      <alignment horizontal="center" vertical="center"/>
      <protection hidden="1"/>
    </xf>
    <xf numFmtId="164" fontId="69" fillId="0" borderId="125" xfId="0" applyNumberFormat="1" applyFont="1" applyBorder="1" applyAlignment="1" applyProtection="1">
      <alignment horizontal="center" vertical="center"/>
      <protection hidden="1"/>
    </xf>
    <xf numFmtId="164" fontId="69" fillId="0" borderId="127" xfId="0" applyNumberFormat="1" applyFont="1" applyBorder="1" applyAlignment="1" applyProtection="1">
      <alignment horizontal="center" vertical="center"/>
      <protection hidden="1"/>
    </xf>
    <xf numFmtId="164" fontId="69" fillId="0" borderId="29" xfId="0" applyNumberFormat="1" applyFont="1" applyBorder="1" applyAlignment="1" applyProtection="1">
      <alignment horizontal="center" vertical="center"/>
      <protection hidden="1"/>
    </xf>
    <xf numFmtId="164" fontId="69" fillId="0" borderId="139" xfId="0" applyNumberFormat="1" applyFont="1" applyBorder="1" applyAlignment="1" applyProtection="1">
      <alignment horizontal="center" vertical="center"/>
      <protection hidden="1"/>
    </xf>
    <xf numFmtId="164" fontId="69" fillId="0" borderId="4" xfId="0" applyNumberFormat="1" applyFont="1" applyBorder="1" applyAlignment="1" applyProtection="1">
      <alignment horizontal="center" vertical="center"/>
      <protection hidden="1"/>
    </xf>
    <xf numFmtId="164" fontId="69" fillId="0" borderId="126" xfId="0" applyNumberFormat="1" applyFont="1" applyBorder="1" applyAlignment="1" applyProtection="1">
      <alignment horizontal="center" vertical="center"/>
      <protection hidden="1"/>
    </xf>
    <xf numFmtId="0" fontId="79" fillId="0" borderId="145" xfId="0" applyFont="1" applyBorder="1" applyAlignment="1">
      <alignment horizontal="center" vertical="center"/>
    </xf>
    <xf numFmtId="0" fontId="79" fillId="0" borderId="149" xfId="0" applyFont="1" applyBorder="1" applyAlignment="1">
      <alignment horizontal="center" vertical="center"/>
    </xf>
    <xf numFmtId="0" fontId="79" fillId="0" borderId="153" xfId="0" quotePrefix="1" applyFont="1" applyBorder="1" applyAlignment="1">
      <alignment horizontal="center" vertical="center"/>
    </xf>
    <xf numFmtId="0" fontId="69" fillId="9" borderId="4" xfId="0" applyFont="1" applyFill="1" applyBorder="1" applyAlignment="1" applyProtection="1">
      <alignment horizontal="center" vertical="center" wrapText="1"/>
      <protection locked="0"/>
    </xf>
    <xf numFmtId="0" fontId="69" fillId="9" borderId="14" xfId="0" applyFont="1" applyFill="1" applyBorder="1" applyAlignment="1" applyProtection="1">
      <alignment horizontal="center" vertical="center" wrapText="1"/>
      <protection locked="0"/>
    </xf>
    <xf numFmtId="0" fontId="69" fillId="9" borderId="18" xfId="0" applyFont="1" applyFill="1" applyBorder="1" applyAlignment="1" applyProtection="1">
      <alignment horizontal="center" vertical="center" wrapText="1"/>
      <protection locked="0"/>
    </xf>
    <xf numFmtId="0" fontId="69" fillId="9" borderId="20" xfId="0" applyFont="1" applyFill="1" applyBorder="1" applyAlignment="1" applyProtection="1">
      <alignment horizontal="center" vertical="center" wrapText="1"/>
      <protection locked="0"/>
    </xf>
    <xf numFmtId="164" fontId="68" fillId="0" borderId="103" xfId="0" applyNumberFormat="1" applyFont="1" applyBorder="1" applyAlignment="1" applyProtection="1">
      <alignment horizontal="center" vertical="center" wrapText="1"/>
      <protection hidden="1"/>
    </xf>
    <xf numFmtId="164" fontId="68" fillId="0" borderId="37" xfId="0" applyNumberFormat="1" applyFont="1" applyBorder="1" applyAlignment="1" applyProtection="1">
      <alignment horizontal="center" vertical="center" wrapText="1"/>
      <protection hidden="1"/>
    </xf>
    <xf numFmtId="164" fontId="68" fillId="0" borderId="108" xfId="0" applyNumberFormat="1" applyFont="1" applyBorder="1" applyAlignment="1" applyProtection="1">
      <alignment horizontal="center" vertical="center" wrapText="1"/>
      <protection hidden="1"/>
    </xf>
    <xf numFmtId="164" fontId="68" fillId="0" borderId="39" xfId="0" applyNumberFormat="1" applyFont="1" applyBorder="1" applyAlignment="1" applyProtection="1">
      <alignment horizontal="center" vertical="center" wrapText="1"/>
      <protection hidden="1"/>
    </xf>
    <xf numFmtId="164" fontId="68" fillId="0" borderId="87" xfId="0" applyNumberFormat="1" applyFont="1" applyBorder="1" applyAlignment="1" applyProtection="1">
      <alignment horizontal="center" vertical="center" wrapText="1"/>
      <protection hidden="1"/>
    </xf>
    <xf numFmtId="164" fontId="133" fillId="0" borderId="25" xfId="0" applyNumberFormat="1" applyFont="1" applyBorder="1" applyAlignment="1" applyProtection="1">
      <alignment horizontal="center" vertical="center" wrapText="1"/>
      <protection locked="0"/>
    </xf>
    <xf numFmtId="164" fontId="20" fillId="0" borderId="156" xfId="0" applyNumberFormat="1" applyFont="1" applyBorder="1" applyAlignment="1" applyProtection="1">
      <alignment horizontal="center" vertical="center" wrapText="1"/>
      <protection hidden="1"/>
    </xf>
    <xf numFmtId="165" fontId="25" fillId="4" borderId="102" xfId="0" applyNumberFormat="1" applyFont="1" applyFill="1" applyBorder="1" applyAlignment="1" applyProtection="1">
      <alignment horizontal="center" vertical="center" wrapText="1"/>
      <protection hidden="1"/>
    </xf>
    <xf numFmtId="0" fontId="70" fillId="18" borderId="0" xfId="0" applyFont="1" applyFill="1" applyAlignment="1" applyProtection="1">
      <alignment horizontal="center" vertical="center" wrapText="1"/>
      <protection locked="0"/>
    </xf>
    <xf numFmtId="0" fontId="69" fillId="18" borderId="68" xfId="0" applyFont="1" applyFill="1" applyBorder="1" applyAlignment="1" applyProtection="1">
      <alignment horizontal="center" vertical="center" wrapText="1"/>
      <protection locked="0"/>
    </xf>
    <xf numFmtId="0" fontId="69" fillId="18" borderId="67" xfId="0" applyFont="1" applyFill="1" applyBorder="1" applyAlignment="1" applyProtection="1">
      <alignment horizontal="center" vertical="center" wrapText="1"/>
      <protection locked="0"/>
    </xf>
    <xf numFmtId="0" fontId="59" fillId="0" borderId="101" xfId="0" applyFont="1" applyBorder="1" applyAlignment="1">
      <alignment horizontal="center" vertical="center" wrapText="1"/>
    </xf>
    <xf numFmtId="0" fontId="0" fillId="0" borderId="57" xfId="0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98" xfId="0" applyBorder="1" applyAlignment="1">
      <alignment horizontal="right"/>
    </xf>
    <xf numFmtId="0" fontId="0" fillId="0" borderId="98" xfId="0" quotePrefix="1" applyBorder="1" applyAlignment="1">
      <alignment horizontal="right"/>
    </xf>
    <xf numFmtId="0" fontId="0" fillId="0" borderId="39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11" fillId="0" borderId="68" xfId="0" applyFont="1" applyBorder="1" applyAlignment="1">
      <alignment horizontal="right"/>
    </xf>
    <xf numFmtId="0" fontId="11" fillId="0" borderId="66" xfId="0" applyFont="1" applyBorder="1" applyAlignment="1">
      <alignment horizontal="right"/>
    </xf>
    <xf numFmtId="0" fontId="10" fillId="0" borderId="57" xfId="0" applyFont="1" applyBorder="1" applyAlignment="1">
      <alignment horizontal="right"/>
    </xf>
    <xf numFmtId="0" fontId="10" fillId="0" borderId="38" xfId="0" applyFont="1" applyBorder="1" applyAlignment="1">
      <alignment horizontal="right"/>
    </xf>
    <xf numFmtId="0" fontId="10" fillId="0" borderId="57" xfId="0" quotePrefix="1" applyFont="1" applyBorder="1" applyAlignment="1">
      <alignment horizontal="right"/>
    </xf>
    <xf numFmtId="0" fontId="10" fillId="0" borderId="101" xfId="0" applyFont="1" applyBorder="1" applyAlignment="1">
      <alignment horizontal="right"/>
    </xf>
    <xf numFmtId="0" fontId="11" fillId="0" borderId="87" xfId="0" applyFont="1" applyBorder="1" applyAlignment="1">
      <alignment horizontal="right"/>
    </xf>
    <xf numFmtId="0" fontId="0" fillId="0" borderId="90" xfId="0" applyBorder="1" applyAlignment="1">
      <alignment horizontal="left"/>
    </xf>
    <xf numFmtId="0" fontId="10" fillId="0" borderId="87" xfId="0" applyFont="1" applyBorder="1" applyAlignment="1">
      <alignment horizontal="right"/>
    </xf>
    <xf numFmtId="0" fontId="0" fillId="0" borderId="87" xfId="0" applyBorder="1" applyAlignment="1">
      <alignment horizontal="left"/>
    </xf>
    <xf numFmtId="0" fontId="0" fillId="0" borderId="74" xfId="0" applyBorder="1" applyAlignment="1">
      <alignment horizontal="left"/>
    </xf>
    <xf numFmtId="0" fontId="0" fillId="0" borderId="101" xfId="0" applyBorder="1" applyAlignment="1">
      <alignment horizontal="left"/>
    </xf>
    <xf numFmtId="0" fontId="10" fillId="0" borderId="68" xfId="0" applyFont="1" applyBorder="1" applyAlignment="1">
      <alignment horizontal="right"/>
    </xf>
    <xf numFmtId="0" fontId="0" fillId="0" borderId="68" xfId="0" applyBorder="1" applyAlignment="1">
      <alignment horizontal="left"/>
    </xf>
    <xf numFmtId="0" fontId="11" fillId="0" borderId="103" xfId="0" applyFont="1" applyBorder="1" applyAlignment="1">
      <alignment horizontal="right"/>
    </xf>
    <xf numFmtId="0" fontId="0" fillId="0" borderId="91" xfId="0" applyBorder="1" applyAlignment="1">
      <alignment horizontal="left"/>
    </xf>
    <xf numFmtId="0" fontId="0" fillId="0" borderId="75" xfId="0" applyBorder="1" applyAlignment="1">
      <alignment horizontal="right"/>
    </xf>
    <xf numFmtId="0" fontId="0" fillId="0" borderId="46" xfId="0" applyBorder="1" applyAlignment="1">
      <alignment horizontal="right"/>
    </xf>
    <xf numFmtId="0" fontId="0" fillId="0" borderId="90" xfId="0" quotePrefix="1" applyBorder="1" applyAlignment="1">
      <alignment horizontal="right"/>
    </xf>
    <xf numFmtId="0" fontId="0" fillId="0" borderId="46" xfId="0" quotePrefix="1" applyBorder="1" applyAlignment="1">
      <alignment horizontal="right"/>
    </xf>
    <xf numFmtId="0" fontId="0" fillId="0" borderId="116" xfId="0" applyBorder="1" applyAlignment="1">
      <alignment horizontal="right"/>
    </xf>
    <xf numFmtId="0" fontId="0" fillId="0" borderId="83" xfId="0" applyBorder="1" applyAlignment="1">
      <alignment horizontal="right"/>
    </xf>
    <xf numFmtId="0" fontId="0" fillId="0" borderId="55" xfId="0" quotePrefix="1" applyBorder="1" applyAlignment="1">
      <alignment horizontal="right"/>
    </xf>
    <xf numFmtId="0" fontId="0" fillId="0" borderId="35" xfId="0" quotePrefix="1" applyBorder="1" applyAlignment="1">
      <alignment horizontal="right"/>
    </xf>
    <xf numFmtId="0" fontId="0" fillId="0" borderId="6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01" xfId="0" quotePrefix="1" applyBorder="1" applyAlignment="1">
      <alignment horizontal="center" vertical="center"/>
    </xf>
    <xf numFmtId="0" fontId="0" fillId="0" borderId="86" xfId="0" applyBorder="1" applyAlignment="1">
      <alignment horizontal="right"/>
    </xf>
    <xf numFmtId="0" fontId="59" fillId="0" borderId="39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69" fillId="9" borderId="13" xfId="0" applyFont="1" applyFill="1" applyBorder="1" applyAlignment="1" applyProtection="1">
      <alignment horizontal="center" vertical="center" wrapText="1"/>
      <protection locked="0"/>
    </xf>
    <xf numFmtId="0" fontId="69" fillId="0" borderId="65" xfId="0" applyFont="1" applyBorder="1" applyAlignment="1" applyProtection="1">
      <alignment horizontal="center" vertical="center" wrapText="1"/>
      <protection locked="0"/>
    </xf>
    <xf numFmtId="1" fontId="69" fillId="0" borderId="65" xfId="0" applyNumberFormat="1" applyFont="1" applyBorder="1" applyAlignment="1" applyProtection="1">
      <alignment horizontal="center" vertical="center" wrapText="1"/>
      <protection locked="0"/>
    </xf>
    <xf numFmtId="1" fontId="69" fillId="0" borderId="33" xfId="0" applyNumberFormat="1" applyFont="1" applyBorder="1" applyAlignment="1" applyProtection="1">
      <alignment horizontal="center" vertical="center" wrapText="1"/>
      <protection locked="0"/>
    </xf>
    <xf numFmtId="0" fontId="84" fillId="0" borderId="33" xfId="0" applyFont="1" applyBorder="1" applyAlignment="1">
      <alignment horizontal="center" vertical="center" wrapText="1"/>
    </xf>
    <xf numFmtId="1" fontId="70" fillId="0" borderId="65" xfId="0" applyNumberFormat="1" applyFont="1" applyBorder="1" applyAlignment="1" applyProtection="1">
      <alignment horizontal="center" vertical="center" wrapText="1"/>
      <protection locked="0"/>
    </xf>
    <xf numFmtId="1" fontId="70" fillId="0" borderId="33" xfId="0" applyNumberFormat="1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hidden="1"/>
    </xf>
    <xf numFmtId="49" fontId="70" fillId="0" borderId="52" xfId="0" quotePrefix="1" applyNumberFormat="1" applyFont="1" applyBorder="1" applyAlignment="1" applyProtection="1">
      <alignment horizontal="center" vertical="center" wrapText="1"/>
      <protection locked="0"/>
    </xf>
    <xf numFmtId="0" fontId="38" fillId="0" borderId="33" xfId="0" applyFont="1" applyBorder="1" applyAlignment="1" applyProtection="1">
      <alignment horizontal="center" vertical="center"/>
      <protection hidden="1"/>
    </xf>
    <xf numFmtId="0" fontId="69" fillId="0" borderId="14" xfId="0" applyFont="1" applyBorder="1" applyAlignment="1" applyProtection="1">
      <alignment horizontal="center" vertical="center" wrapText="1"/>
      <protection locked="0"/>
    </xf>
    <xf numFmtId="1" fontId="69" fillId="0" borderId="14" xfId="0" applyNumberFormat="1" applyFont="1" applyBorder="1" applyAlignment="1" applyProtection="1">
      <alignment horizontal="center" vertical="center" wrapText="1"/>
      <protection locked="0"/>
    </xf>
    <xf numFmtId="0" fontId="39" fillId="0" borderId="33" xfId="0" applyFont="1" applyBorder="1" applyAlignment="1">
      <alignment horizontal="center" vertical="center" wrapText="1"/>
    </xf>
    <xf numFmtId="0" fontId="70" fillId="0" borderId="65" xfId="0" applyFont="1" applyBorder="1" applyAlignment="1" applyProtection="1">
      <alignment horizontal="center" vertical="center" wrapText="1"/>
      <protection locked="0"/>
    </xf>
    <xf numFmtId="0" fontId="70" fillId="0" borderId="33" xfId="0" applyFont="1" applyBorder="1" applyAlignment="1" applyProtection="1">
      <alignment horizontal="center" vertical="center" wrapText="1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0" fontId="117" fillId="9" borderId="0" xfId="0" quotePrefix="1" applyFont="1" applyFill="1" applyAlignment="1" applyProtection="1">
      <alignment horizontal="left" vertical="center" wrapText="1"/>
      <protection hidden="1"/>
    </xf>
    <xf numFmtId="0" fontId="164" fillId="9" borderId="0" xfId="0" quotePrefix="1" applyFont="1" applyFill="1" applyAlignment="1" applyProtection="1">
      <alignment horizontal="left" vertical="center" wrapText="1"/>
      <protection hidden="1"/>
    </xf>
    <xf numFmtId="0" fontId="164" fillId="9" borderId="0" xfId="0" quotePrefix="1" applyFont="1" applyFill="1" applyAlignment="1" applyProtection="1">
      <alignment horizontal="left" vertical="center"/>
      <protection hidden="1"/>
    </xf>
    <xf numFmtId="0" fontId="0" fillId="4" borderId="29" xfId="0" applyFill="1" applyBorder="1"/>
    <xf numFmtId="0" fontId="0" fillId="0" borderId="21" xfId="0" applyBorder="1"/>
    <xf numFmtId="0" fontId="0" fillId="0" borderId="13" xfId="0" applyBorder="1"/>
    <xf numFmtId="0" fontId="0" fillId="0" borderId="42" xfId="0" applyBorder="1"/>
    <xf numFmtId="0" fontId="0" fillId="0" borderId="14" xfId="0" applyBorder="1"/>
    <xf numFmtId="0" fontId="0" fillId="0" borderId="24" xfId="0" applyBorder="1"/>
    <xf numFmtId="0" fontId="0" fillId="0" borderId="20" xfId="0" applyBorder="1"/>
    <xf numFmtId="0" fontId="0" fillId="0" borderId="9" xfId="0" applyBorder="1"/>
    <xf numFmtId="0" fontId="70" fillId="0" borderId="0" xfId="0" applyFont="1" applyAlignment="1">
      <alignment horizontal="center"/>
    </xf>
    <xf numFmtId="0" fontId="70" fillId="0" borderId="0" xfId="0" applyFont="1" applyAlignment="1">
      <alignment vertical="center"/>
    </xf>
    <xf numFmtId="0" fontId="70" fillId="0" borderId="0" xfId="0" quotePrefix="1" applyFont="1" applyAlignment="1">
      <alignment horizontal="center"/>
    </xf>
    <xf numFmtId="0" fontId="69" fillId="11" borderId="0" xfId="0" applyFont="1" applyFill="1" applyAlignment="1">
      <alignment horizontal="center" vertical="center"/>
    </xf>
    <xf numFmtId="0" fontId="169" fillId="0" borderId="0" xfId="0" quotePrefix="1" applyFont="1" applyAlignment="1">
      <alignment vertical="center"/>
    </xf>
    <xf numFmtId="0" fontId="205" fillId="0" borderId="0" xfId="0" applyFont="1" applyAlignment="1">
      <alignment vertical="center"/>
    </xf>
    <xf numFmtId="0" fontId="206" fillId="0" borderId="0" xfId="0" applyFont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169" fillId="0" borderId="0" xfId="0" applyFont="1" applyAlignment="1">
      <alignment horizontal="left" vertical="center"/>
    </xf>
    <xf numFmtId="0" fontId="169" fillId="0" borderId="0" xfId="0" quotePrefix="1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0" fillId="14" borderId="158" xfId="0" applyFill="1" applyBorder="1"/>
    <xf numFmtId="0" fontId="0" fillId="14" borderId="159" xfId="0" applyFill="1" applyBorder="1"/>
    <xf numFmtId="0" fontId="117" fillId="3" borderId="19" xfId="0" applyFont="1" applyFill="1" applyBorder="1" applyAlignment="1">
      <alignment horizontal="center" vertical="center" wrapText="1"/>
    </xf>
    <xf numFmtId="0" fontId="84" fillId="20" borderId="44" xfId="0" quotePrefix="1" applyFont="1" applyFill="1" applyBorder="1" applyAlignment="1" applyProtection="1">
      <alignment horizontal="center" vertical="center" wrapText="1"/>
      <protection hidden="1"/>
    </xf>
    <xf numFmtId="0" fontId="70" fillId="8" borderId="43" xfId="0" applyFont="1" applyFill="1" applyBorder="1" applyAlignment="1" applyProtection="1">
      <alignment horizontal="center" vertical="center" wrapText="1"/>
      <protection locked="0"/>
    </xf>
    <xf numFmtId="0" fontId="70" fillId="0" borderId="51" xfId="0" applyFont="1" applyBorder="1" applyAlignment="1" applyProtection="1">
      <alignment horizontal="center" vertical="center" wrapText="1"/>
      <protection locked="0"/>
    </xf>
    <xf numFmtId="0" fontId="70" fillId="0" borderId="52" xfId="0" applyFont="1" applyBorder="1" applyAlignment="1" applyProtection="1">
      <alignment horizontal="center" vertical="center" wrapText="1"/>
      <protection locked="0"/>
    </xf>
    <xf numFmtId="0" fontId="70" fillId="0" borderId="53" xfId="0" applyFont="1" applyBorder="1" applyAlignment="1" applyProtection="1">
      <alignment horizontal="center" vertical="center" wrapText="1"/>
      <protection locked="0"/>
    </xf>
    <xf numFmtId="0" fontId="40" fillId="0" borderId="51" xfId="0" applyFont="1" applyBorder="1" applyAlignment="1" applyProtection="1">
      <alignment horizontal="center" vertical="center" wrapText="1"/>
      <protection locked="0"/>
    </xf>
    <xf numFmtId="0" fontId="40" fillId="0" borderId="52" xfId="0" applyFont="1" applyBorder="1" applyAlignment="1" applyProtection="1">
      <alignment horizontal="center" vertical="center" wrapText="1"/>
      <protection locked="0"/>
    </xf>
    <xf numFmtId="0" fontId="40" fillId="0" borderId="53" xfId="0" applyFont="1" applyBorder="1" applyAlignment="1" applyProtection="1">
      <alignment horizontal="center" vertical="center" wrapText="1"/>
      <protection locked="0"/>
    </xf>
    <xf numFmtId="0" fontId="84" fillId="0" borderId="54" xfId="0" applyFont="1" applyBorder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  <xf numFmtId="0" fontId="84" fillId="0" borderId="55" xfId="0" applyFont="1" applyBorder="1" applyAlignment="1">
      <alignment horizontal="center" vertical="center" wrapText="1"/>
    </xf>
    <xf numFmtId="0" fontId="38" fillId="0" borderId="64" xfId="0" applyFont="1" applyBorder="1" applyAlignment="1" applyProtection="1">
      <alignment horizontal="center" vertical="center" wrapText="1"/>
      <protection hidden="1"/>
    </xf>
    <xf numFmtId="0" fontId="38" fillId="0" borderId="31" xfId="0" applyFont="1" applyBorder="1" applyAlignment="1" applyProtection="1">
      <alignment horizontal="center" vertical="center" wrapText="1"/>
      <protection hidden="1"/>
    </xf>
    <xf numFmtId="0" fontId="39" fillId="0" borderId="54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55" xfId="0" applyFont="1" applyBorder="1" applyAlignment="1">
      <alignment horizontal="center" vertical="center" wrapText="1"/>
    </xf>
    <xf numFmtId="0" fontId="70" fillId="0" borderId="22" xfId="0" applyFont="1" applyBorder="1" applyAlignment="1" applyProtection="1">
      <alignment horizontal="center" vertical="center" wrapText="1"/>
      <protection locked="0"/>
    </xf>
    <xf numFmtId="0" fontId="70" fillId="0" borderId="18" xfId="0" applyFont="1" applyBorder="1" applyAlignment="1" applyProtection="1">
      <alignment horizontal="center" vertical="center" wrapText="1"/>
      <protection locked="0"/>
    </xf>
    <xf numFmtId="0" fontId="167" fillId="3" borderId="33" xfId="0" applyFont="1" applyFill="1" applyBorder="1" applyAlignment="1" applyProtection="1">
      <alignment horizontal="center" vertical="center" wrapText="1"/>
      <protection hidden="1"/>
    </xf>
    <xf numFmtId="164" fontId="70" fillId="8" borderId="53" xfId="0" applyNumberFormat="1" applyFont="1" applyFill="1" applyBorder="1" applyAlignment="1" applyProtection="1">
      <alignment horizontal="center" vertical="center" wrapText="1"/>
      <protection locked="0"/>
    </xf>
    <xf numFmtId="164" fontId="70" fillId="8" borderId="52" xfId="0" applyNumberFormat="1" applyFont="1" applyFill="1" applyBorder="1" applyAlignment="1" applyProtection="1">
      <alignment horizontal="center" vertical="center" wrapText="1"/>
      <protection locked="0"/>
    </xf>
    <xf numFmtId="164" fontId="70" fillId="8" borderId="55" xfId="0" applyNumberFormat="1" applyFont="1" applyFill="1" applyBorder="1" applyAlignment="1" applyProtection="1">
      <alignment horizontal="center" vertical="center" wrapText="1"/>
      <protection locked="0"/>
    </xf>
    <xf numFmtId="164" fontId="70" fillId="8" borderId="0" xfId="0" applyNumberFormat="1" applyFont="1" applyFill="1" applyAlignment="1" applyProtection="1">
      <alignment horizontal="center" vertical="center" wrapText="1"/>
      <protection locked="0"/>
    </xf>
    <xf numFmtId="164" fontId="70" fillId="8" borderId="56" xfId="0" applyNumberFormat="1" applyFont="1" applyFill="1" applyBorder="1" applyAlignment="1" applyProtection="1">
      <alignment horizontal="center" vertical="center" wrapText="1"/>
      <protection locked="0"/>
    </xf>
    <xf numFmtId="164" fontId="70" fillId="8" borderId="44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55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0" xfId="0" applyNumberFormat="1" applyFont="1" applyFill="1" applyAlignment="1" applyProtection="1">
      <alignment horizontal="center" vertical="center" wrapText="1"/>
      <protection locked="0"/>
    </xf>
    <xf numFmtId="164" fontId="70" fillId="9" borderId="53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52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56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44" xfId="0" applyNumberFormat="1" applyFont="1" applyFill="1" applyBorder="1" applyAlignment="1" applyProtection="1">
      <alignment horizontal="center" vertical="center" wrapText="1"/>
      <protection locked="0"/>
    </xf>
    <xf numFmtId="164" fontId="70" fillId="0" borderId="52" xfId="0" applyNumberFormat="1" applyFont="1" applyBorder="1" applyAlignment="1" applyProtection="1">
      <alignment horizontal="center" vertical="center" wrapText="1"/>
      <protection locked="0"/>
    </xf>
    <xf numFmtId="164" fontId="172" fillId="11" borderId="51" xfId="0" applyNumberFormat="1" applyFont="1" applyFill="1" applyBorder="1" applyAlignment="1" applyProtection="1">
      <alignment horizontal="center" vertical="center"/>
      <protection hidden="1"/>
    </xf>
    <xf numFmtId="164" fontId="172" fillId="11" borderId="52" xfId="0" applyNumberFormat="1" applyFont="1" applyFill="1" applyBorder="1" applyAlignment="1" applyProtection="1">
      <alignment horizontal="center" vertical="center"/>
      <protection hidden="1"/>
    </xf>
    <xf numFmtId="164" fontId="172" fillId="11" borderId="73" xfId="0" applyNumberFormat="1" applyFont="1" applyFill="1" applyBorder="1" applyAlignment="1" applyProtection="1">
      <alignment horizontal="center" vertical="center"/>
      <protection hidden="1"/>
    </xf>
    <xf numFmtId="164" fontId="172" fillId="11" borderId="29" xfId="0" applyNumberFormat="1" applyFont="1" applyFill="1" applyBorder="1" applyAlignment="1" applyProtection="1">
      <alignment horizontal="center" vertical="center"/>
      <protection hidden="1"/>
    </xf>
    <xf numFmtId="164" fontId="50" fillId="12" borderId="29" xfId="0" applyNumberFormat="1" applyFont="1" applyFill="1" applyBorder="1" applyAlignment="1" applyProtection="1">
      <alignment horizontal="center" vertical="center"/>
      <protection hidden="1"/>
    </xf>
    <xf numFmtId="164" fontId="50" fillId="12" borderId="59" xfId="0" applyNumberFormat="1" applyFont="1" applyFill="1" applyBorder="1" applyAlignment="1" applyProtection="1">
      <alignment horizontal="center" vertical="center"/>
      <protection hidden="1"/>
    </xf>
    <xf numFmtId="164" fontId="175" fillId="12" borderId="55" xfId="0" applyNumberFormat="1" applyFont="1" applyFill="1" applyBorder="1" applyAlignment="1" applyProtection="1">
      <alignment horizontal="center" vertical="center" wrapText="1"/>
      <protection hidden="1"/>
    </xf>
    <xf numFmtId="164" fontId="70" fillId="11" borderId="21" xfId="0" applyNumberFormat="1" applyFont="1" applyFill="1" applyBorder="1" applyAlignment="1" applyProtection="1">
      <alignment horizontal="center" wrapText="1"/>
      <protection hidden="1"/>
    </xf>
    <xf numFmtId="164" fontId="70" fillId="0" borderId="0" xfId="0" applyNumberFormat="1" applyFont="1" applyAlignment="1" applyProtection="1">
      <alignment horizontal="center" vertical="center" wrapText="1"/>
      <protection locked="0"/>
    </xf>
    <xf numFmtId="164" fontId="172" fillId="11" borderId="54" xfId="0" applyNumberFormat="1" applyFont="1" applyFill="1" applyBorder="1" applyAlignment="1" applyProtection="1">
      <alignment horizontal="center" vertical="center"/>
      <protection hidden="1"/>
    </xf>
    <xf numFmtId="164" fontId="172" fillId="11" borderId="0" xfId="0" applyNumberFormat="1" applyFont="1" applyFill="1" applyAlignment="1" applyProtection="1">
      <alignment horizontal="center" vertical="center"/>
      <protection hidden="1"/>
    </xf>
    <xf numFmtId="164" fontId="172" fillId="11" borderId="42" xfId="0" applyNumberFormat="1" applyFont="1" applyFill="1" applyBorder="1" applyAlignment="1" applyProtection="1">
      <alignment horizontal="center" vertical="center"/>
      <protection hidden="1"/>
    </xf>
    <xf numFmtId="164" fontId="172" fillId="11" borderId="4" xfId="0" applyNumberFormat="1" applyFont="1" applyFill="1" applyBorder="1" applyAlignment="1" applyProtection="1">
      <alignment horizontal="center" vertical="center"/>
      <protection hidden="1"/>
    </xf>
    <xf numFmtId="164" fontId="50" fillId="12" borderId="4" xfId="0" applyNumberFormat="1" applyFont="1" applyFill="1" applyBorder="1" applyAlignment="1" applyProtection="1">
      <alignment horizontal="center" vertical="center"/>
      <protection hidden="1"/>
    </xf>
    <xf numFmtId="164" fontId="50" fillId="12" borderId="14" xfId="0" applyNumberFormat="1" applyFont="1" applyFill="1" applyBorder="1" applyAlignment="1" applyProtection="1">
      <alignment horizontal="center" vertical="center"/>
      <protection hidden="1"/>
    </xf>
    <xf numFmtId="164" fontId="70" fillId="11" borderId="42" xfId="0" applyNumberFormat="1" applyFont="1" applyFill="1" applyBorder="1" applyAlignment="1" applyProtection="1">
      <alignment horizontal="center" wrapText="1"/>
      <protection hidden="1"/>
    </xf>
    <xf numFmtId="164" fontId="70" fillId="0" borderId="44" xfId="0" applyNumberFormat="1" applyFont="1" applyBorder="1" applyAlignment="1" applyProtection="1">
      <alignment horizontal="center" vertical="center" wrapText="1"/>
      <protection locked="0"/>
    </xf>
    <xf numFmtId="164" fontId="172" fillId="11" borderId="43" xfId="0" applyNumberFormat="1" applyFont="1" applyFill="1" applyBorder="1" applyAlignment="1" applyProtection="1">
      <alignment horizontal="center" vertical="center"/>
      <protection hidden="1"/>
    </xf>
    <xf numFmtId="164" fontId="172" fillId="11" borderId="44" xfId="0" applyNumberFormat="1" applyFont="1" applyFill="1" applyBorder="1" applyAlignment="1" applyProtection="1">
      <alignment horizontal="center" vertical="center"/>
      <protection hidden="1"/>
    </xf>
    <xf numFmtId="164" fontId="172" fillId="11" borderId="70" xfId="0" applyNumberFormat="1" applyFont="1" applyFill="1" applyBorder="1" applyAlignment="1" applyProtection="1">
      <alignment horizontal="center" vertical="center"/>
      <protection hidden="1"/>
    </xf>
    <xf numFmtId="164" fontId="172" fillId="11" borderId="9" xfId="0" applyNumberFormat="1" applyFont="1" applyFill="1" applyBorder="1" applyAlignment="1" applyProtection="1">
      <alignment horizontal="center" vertical="center"/>
      <protection hidden="1"/>
    </xf>
    <xf numFmtId="164" fontId="50" fillId="12" borderId="9" xfId="0" applyNumberFormat="1" applyFont="1" applyFill="1" applyBorder="1" applyAlignment="1" applyProtection="1">
      <alignment horizontal="center" vertical="center"/>
      <protection hidden="1"/>
    </xf>
    <xf numFmtId="164" fontId="50" fillId="12" borderId="41" xfId="0" applyNumberFormat="1" applyFont="1" applyFill="1" applyBorder="1" applyAlignment="1" applyProtection="1">
      <alignment horizontal="center" vertical="center"/>
      <protection hidden="1"/>
    </xf>
    <xf numFmtId="164" fontId="70" fillId="11" borderId="70" xfId="0" applyNumberFormat="1" applyFont="1" applyFill="1" applyBorder="1" applyAlignment="1" applyProtection="1">
      <alignment horizontal="center" wrapText="1"/>
      <protection hidden="1"/>
    </xf>
    <xf numFmtId="164" fontId="172" fillId="11" borderId="21" xfId="0" applyNumberFormat="1" applyFont="1" applyFill="1" applyBorder="1" applyAlignment="1" applyProtection="1">
      <alignment horizontal="center" vertical="center"/>
      <protection hidden="1"/>
    </xf>
    <xf numFmtId="164" fontId="172" fillId="11" borderId="22" xfId="0" applyNumberFormat="1" applyFont="1" applyFill="1" applyBorder="1" applyAlignment="1" applyProtection="1">
      <alignment horizontal="center" vertical="center"/>
      <protection hidden="1"/>
    </xf>
    <xf numFmtId="164" fontId="50" fillId="12" borderId="22" xfId="0" applyNumberFormat="1" applyFont="1" applyFill="1" applyBorder="1" applyAlignment="1" applyProtection="1">
      <alignment horizontal="center" vertical="center"/>
      <protection hidden="1"/>
    </xf>
    <xf numFmtId="164" fontId="50" fillId="12" borderId="13" xfId="0" applyNumberFormat="1" applyFont="1" applyFill="1" applyBorder="1" applyAlignment="1" applyProtection="1">
      <alignment horizontal="center" vertical="center"/>
      <protection hidden="1"/>
    </xf>
    <xf numFmtId="164" fontId="175" fillId="12" borderId="53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24" xfId="0" applyNumberFormat="1" applyFont="1" applyFill="1" applyBorder="1" applyAlignment="1" applyProtection="1">
      <alignment horizontal="center" vertical="center"/>
      <protection hidden="1"/>
    </xf>
    <xf numFmtId="164" fontId="172" fillId="11" borderId="18" xfId="0" applyNumberFormat="1" applyFont="1" applyFill="1" applyBorder="1" applyAlignment="1" applyProtection="1">
      <alignment horizontal="center" vertical="center"/>
      <protection hidden="1"/>
    </xf>
    <xf numFmtId="164" fontId="50" fillId="12" borderId="18" xfId="0" applyNumberFormat="1" applyFont="1" applyFill="1" applyBorder="1" applyAlignment="1" applyProtection="1">
      <alignment horizontal="center" vertical="center"/>
      <protection hidden="1"/>
    </xf>
    <xf numFmtId="164" fontId="50" fillId="12" borderId="20" xfId="0" applyNumberFormat="1" applyFont="1" applyFill="1" applyBorder="1" applyAlignment="1" applyProtection="1">
      <alignment horizontal="center" vertical="center"/>
      <protection hidden="1"/>
    </xf>
    <xf numFmtId="164" fontId="175" fillId="12" borderId="56" xfId="0" applyNumberFormat="1" applyFont="1" applyFill="1" applyBorder="1" applyAlignment="1" applyProtection="1">
      <alignment horizontal="center" vertical="center" wrapText="1"/>
      <protection hidden="1"/>
    </xf>
    <xf numFmtId="164" fontId="70" fillId="11" borderId="24" xfId="0" applyNumberFormat="1" applyFont="1" applyFill="1" applyBorder="1" applyAlignment="1" applyProtection="1">
      <alignment horizontal="center" wrapText="1"/>
      <protection hidden="1"/>
    </xf>
    <xf numFmtId="164" fontId="70" fillId="11" borderId="73" xfId="0" applyNumberFormat="1" applyFont="1" applyFill="1" applyBorder="1" applyAlignment="1" applyProtection="1">
      <alignment horizontal="center" wrapText="1"/>
      <protection hidden="1"/>
    </xf>
    <xf numFmtId="164" fontId="69" fillId="9" borderId="57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37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101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38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29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25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4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9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10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23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12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2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19" xfId="0" applyNumberFormat="1" applyFont="1" applyFill="1" applyBorder="1" applyAlignment="1" applyProtection="1">
      <alignment horizontal="center" vertical="center" wrapText="1"/>
      <protection locked="0"/>
    </xf>
    <xf numFmtId="164" fontId="59" fillId="9" borderId="16" xfId="0" applyNumberFormat="1" applyFont="1" applyFill="1" applyBorder="1" applyAlignment="1" applyProtection="1">
      <alignment horizontal="center" vertical="center" wrapText="1"/>
      <protection locked="0"/>
    </xf>
    <xf numFmtId="164" fontId="76" fillId="9" borderId="51" xfId="1" applyNumberFormat="1" applyFont="1" applyFill="1" applyBorder="1" applyAlignment="1" applyProtection="1">
      <alignment horizontal="center" vertical="center" wrapText="1"/>
      <protection locked="0"/>
    </xf>
    <xf numFmtId="164" fontId="76" fillId="9" borderId="52" xfId="1" applyNumberFormat="1" applyFont="1" applyFill="1" applyBorder="1" applyAlignment="1" applyProtection="1">
      <alignment horizontal="center" vertical="center" wrapText="1"/>
      <protection locked="0"/>
    </xf>
    <xf numFmtId="164" fontId="76" fillId="9" borderId="53" xfId="1" applyNumberFormat="1" applyFont="1" applyFill="1" applyBorder="1" applyAlignment="1" applyProtection="1">
      <alignment horizontal="center" vertical="center" wrapText="1"/>
      <protection locked="0"/>
    </xf>
    <xf numFmtId="164" fontId="172" fillId="11" borderId="21" xfId="0" applyNumberFormat="1" applyFont="1" applyFill="1" applyBorder="1" applyAlignment="1" applyProtection="1">
      <alignment horizontal="center" vertical="center" wrapText="1"/>
      <protection hidden="1"/>
    </xf>
    <xf numFmtId="164" fontId="76" fillId="9" borderId="54" xfId="1" applyNumberFormat="1" applyFont="1" applyFill="1" applyBorder="1" applyAlignment="1" applyProtection="1">
      <alignment horizontal="center" vertical="center" wrapText="1"/>
      <protection locked="0"/>
    </xf>
    <xf numFmtId="164" fontId="76" fillId="9" borderId="0" xfId="1" applyNumberFormat="1" applyFont="1" applyFill="1" applyBorder="1" applyAlignment="1" applyProtection="1">
      <alignment horizontal="center" vertical="center" wrapText="1"/>
      <protection locked="0"/>
    </xf>
    <xf numFmtId="164" fontId="76" fillId="9" borderId="55" xfId="1" applyNumberFormat="1" applyFont="1" applyFill="1" applyBorder="1" applyAlignment="1" applyProtection="1">
      <alignment horizontal="center" vertical="center" wrapText="1"/>
      <protection locked="0"/>
    </xf>
    <xf numFmtId="164" fontId="172" fillId="11" borderId="42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70" xfId="0" applyNumberFormat="1" applyFont="1" applyFill="1" applyBorder="1" applyAlignment="1" applyProtection="1">
      <alignment horizontal="center" vertical="center" wrapText="1"/>
      <protection hidden="1"/>
    </xf>
    <xf numFmtId="164" fontId="69" fillId="9" borderId="51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52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53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54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0" xfId="0" applyNumberFormat="1" applyFont="1" applyFill="1" applyAlignment="1" applyProtection="1">
      <alignment horizontal="center" vertical="center" wrapText="1"/>
      <protection locked="0"/>
    </xf>
    <xf numFmtId="164" fontId="69" fillId="9" borderId="55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43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44" xfId="0" applyNumberFormat="1" applyFont="1" applyFill="1" applyBorder="1" applyAlignment="1" applyProtection="1">
      <alignment horizontal="center" vertical="center" wrapText="1"/>
      <protection locked="0"/>
    </xf>
    <xf numFmtId="164" fontId="69" fillId="9" borderId="56" xfId="0" applyNumberFormat="1" applyFont="1" applyFill="1" applyBorder="1" applyAlignment="1" applyProtection="1">
      <alignment horizontal="center" vertical="center" wrapText="1"/>
      <protection locked="0"/>
    </xf>
    <xf numFmtId="164" fontId="172" fillId="11" borderId="24" xfId="0" applyNumberFormat="1" applyFont="1" applyFill="1" applyBorder="1" applyAlignment="1" applyProtection="1">
      <alignment horizontal="center" vertical="center" wrapText="1"/>
      <protection hidden="1"/>
    </xf>
    <xf numFmtId="164" fontId="76" fillId="9" borderId="43" xfId="1" applyNumberFormat="1" applyFont="1" applyFill="1" applyBorder="1" applyAlignment="1" applyProtection="1">
      <alignment horizontal="center" vertical="center" wrapText="1"/>
      <protection locked="0"/>
    </xf>
    <xf numFmtId="164" fontId="76" fillId="9" borderId="44" xfId="1" applyNumberFormat="1" applyFont="1" applyFill="1" applyBorder="1" applyAlignment="1" applyProtection="1">
      <alignment horizontal="center" vertical="center" wrapText="1"/>
      <protection locked="0"/>
    </xf>
    <xf numFmtId="164" fontId="76" fillId="9" borderId="56" xfId="1" applyNumberFormat="1" applyFont="1" applyFill="1" applyBorder="1" applyAlignment="1" applyProtection="1">
      <alignment horizontal="center" vertical="center" wrapText="1"/>
      <protection locked="0"/>
    </xf>
    <xf numFmtId="164" fontId="172" fillId="11" borderId="22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3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0" xfId="0" applyNumberFormat="1" applyFont="1" applyFill="1" applyAlignment="1" applyProtection="1">
      <alignment horizontal="center" vertical="center" wrapText="1"/>
      <protection hidden="1"/>
    </xf>
    <xf numFmtId="164" fontId="172" fillId="11" borderId="51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52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09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23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4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4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54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65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9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41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0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8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20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44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43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33" xfId="0" applyNumberFormat="1" applyFont="1" applyFill="1" applyBorder="1" applyAlignment="1" applyProtection="1">
      <alignment horizontal="center" vertical="center" wrapText="1"/>
      <protection hidden="1"/>
    </xf>
    <xf numFmtId="164" fontId="172" fillId="11" borderId="19" xfId="0" applyNumberFormat="1" applyFont="1" applyFill="1" applyBorder="1" applyAlignment="1" applyProtection="1">
      <alignment horizontal="center" vertical="center" wrapText="1"/>
      <protection hidden="1"/>
    </xf>
    <xf numFmtId="0" fontId="122" fillId="11" borderId="39" xfId="0" quotePrefix="1" applyFont="1" applyFill="1" applyBorder="1" applyAlignment="1" applyProtection="1">
      <alignment horizontal="center" vertical="center" wrapText="1"/>
      <protection locked="0"/>
    </xf>
    <xf numFmtId="0" fontId="75" fillId="2" borderId="39" xfId="0" applyFont="1" applyFill="1" applyBorder="1" applyAlignment="1" applyProtection="1">
      <alignment horizontal="center" vertical="center" wrapText="1"/>
      <protection locked="0"/>
    </xf>
    <xf numFmtId="0" fontId="122" fillId="12" borderId="39" xfId="0" quotePrefix="1" applyFont="1" applyFill="1" applyBorder="1" applyAlignment="1" applyProtection="1">
      <alignment horizontal="center" vertical="center" wrapText="1"/>
      <protection locked="0"/>
    </xf>
    <xf numFmtId="0" fontId="122" fillId="11" borderId="59" xfId="0" quotePrefix="1" applyFont="1" applyFill="1" applyBorder="1" applyAlignment="1" applyProtection="1">
      <alignment horizontal="center" vertical="center" wrapText="1"/>
      <protection locked="0"/>
    </xf>
    <xf numFmtId="164" fontId="70" fillId="8" borderId="51" xfId="0" applyNumberFormat="1" applyFont="1" applyFill="1" applyBorder="1" applyAlignment="1" applyProtection="1">
      <alignment horizontal="center" vertical="center" wrapText="1"/>
      <protection locked="0"/>
    </xf>
    <xf numFmtId="164" fontId="176" fillId="11" borderId="0" xfId="0" applyNumberFormat="1" applyFont="1" applyFill="1" applyAlignment="1" applyProtection="1">
      <alignment horizontal="center" vertical="center" wrapText="1"/>
      <protection locked="0"/>
    </xf>
    <xf numFmtId="164" fontId="70" fillId="8" borderId="54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54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51" xfId="0" applyNumberFormat="1" applyFont="1" applyFill="1" applyBorder="1" applyAlignment="1" applyProtection="1">
      <alignment horizontal="center" vertical="center" wrapText="1"/>
      <protection locked="0"/>
    </xf>
    <xf numFmtId="164" fontId="176" fillId="11" borderId="52" xfId="0" applyNumberFormat="1" applyFont="1" applyFill="1" applyBorder="1" applyAlignment="1" applyProtection="1">
      <alignment horizontal="center" vertical="center" wrapText="1"/>
      <protection locked="0"/>
    </xf>
    <xf numFmtId="164" fontId="176" fillId="11" borderId="53" xfId="0" applyNumberFormat="1" applyFont="1" applyFill="1" applyBorder="1" applyAlignment="1" applyProtection="1">
      <alignment horizontal="center" vertical="center" wrapText="1"/>
      <protection locked="0"/>
    </xf>
    <xf numFmtId="164" fontId="176" fillId="11" borderId="55" xfId="0" applyNumberFormat="1" applyFont="1" applyFill="1" applyBorder="1" applyAlignment="1" applyProtection="1">
      <alignment horizontal="center" vertical="center" wrapText="1"/>
      <protection locked="0"/>
    </xf>
    <xf numFmtId="164" fontId="70" fillId="9" borderId="43" xfId="0" applyNumberFormat="1" applyFont="1" applyFill="1" applyBorder="1" applyAlignment="1" applyProtection="1">
      <alignment horizontal="center" vertical="center" wrapText="1"/>
      <protection locked="0"/>
    </xf>
    <xf numFmtId="164" fontId="176" fillId="11" borderId="44" xfId="0" applyNumberFormat="1" applyFont="1" applyFill="1" applyBorder="1" applyAlignment="1" applyProtection="1">
      <alignment horizontal="center" vertical="center" wrapText="1"/>
      <protection locked="0"/>
    </xf>
    <xf numFmtId="164" fontId="176" fillId="11" borderId="56" xfId="0" applyNumberFormat="1" applyFont="1" applyFill="1" applyBorder="1" applyAlignment="1" applyProtection="1">
      <alignment horizontal="center" vertical="center" wrapText="1"/>
      <protection locked="0"/>
    </xf>
    <xf numFmtId="164" fontId="70" fillId="8" borderId="43" xfId="0" applyNumberFormat="1" applyFont="1" applyFill="1" applyBorder="1" applyAlignment="1" applyProtection="1">
      <alignment horizontal="center" vertical="center" wrapText="1"/>
      <protection locked="0"/>
    </xf>
    <xf numFmtId="164" fontId="40" fillId="0" borderId="54" xfId="0" applyNumberFormat="1" applyFont="1" applyBorder="1" applyAlignment="1" applyProtection="1">
      <alignment horizontal="center" vertical="center" wrapText="1"/>
      <protection locked="0"/>
    </xf>
    <xf numFmtId="164" fontId="40" fillId="0" borderId="0" xfId="0" applyNumberFormat="1" applyFont="1" applyAlignment="1" applyProtection="1">
      <alignment horizontal="center" vertical="center" wrapText="1"/>
      <protection locked="0"/>
    </xf>
    <xf numFmtId="164" fontId="40" fillId="0" borderId="55" xfId="0" applyNumberFormat="1" applyFont="1" applyBorder="1" applyAlignment="1" applyProtection="1">
      <alignment horizontal="center" vertical="center" wrapText="1"/>
      <protection locked="0"/>
    </xf>
    <xf numFmtId="164" fontId="70" fillId="0" borderId="54" xfId="0" applyNumberFormat="1" applyFont="1" applyBorder="1" applyAlignment="1" applyProtection="1">
      <alignment horizontal="center" vertical="center" wrapText="1"/>
      <protection locked="0"/>
    </xf>
    <xf numFmtId="164" fontId="70" fillId="0" borderId="55" xfId="0" applyNumberFormat="1" applyFont="1" applyBorder="1" applyAlignment="1" applyProtection="1">
      <alignment horizontal="center" vertical="center" wrapText="1"/>
      <protection locked="0"/>
    </xf>
    <xf numFmtId="0" fontId="172" fillId="11" borderId="0" xfId="0" applyFont="1" applyFill="1" applyAlignment="1" applyProtection="1">
      <alignment horizontal="left" vertical="center" wrapText="1"/>
      <protection hidden="1"/>
    </xf>
    <xf numFmtId="0" fontId="172" fillId="11" borderId="52" xfId="0" applyFont="1" applyFill="1" applyBorder="1" applyAlignment="1" applyProtection="1">
      <alignment horizontal="left" vertical="center" wrapText="1"/>
      <protection hidden="1"/>
    </xf>
    <xf numFmtId="0" fontId="172" fillId="11" borderId="53" xfId="0" applyFont="1" applyFill="1" applyBorder="1" applyAlignment="1" applyProtection="1">
      <alignment horizontal="left" vertical="center" wrapText="1"/>
      <protection hidden="1"/>
    </xf>
    <xf numFmtId="0" fontId="172" fillId="11" borderId="55" xfId="0" applyFont="1" applyFill="1" applyBorder="1" applyAlignment="1" applyProtection="1">
      <alignment horizontal="left" vertical="center" wrapText="1"/>
      <protection hidden="1"/>
    </xf>
    <xf numFmtId="0" fontId="172" fillId="11" borderId="44" xfId="0" applyFont="1" applyFill="1" applyBorder="1" applyAlignment="1" applyProtection="1">
      <alignment horizontal="left" vertical="center" wrapText="1"/>
      <protection hidden="1"/>
    </xf>
    <xf numFmtId="0" fontId="172" fillId="11" borderId="56" xfId="0" applyFont="1" applyFill="1" applyBorder="1" applyAlignment="1" applyProtection="1">
      <alignment horizontal="left" vertical="center" wrapText="1"/>
      <protection hidden="1"/>
    </xf>
    <xf numFmtId="0" fontId="70" fillId="11" borderId="22" xfId="0" applyFont="1" applyFill="1" applyBorder="1" applyAlignment="1" applyProtection="1">
      <alignment horizontal="left" wrapText="1"/>
      <protection hidden="1"/>
    </xf>
    <xf numFmtId="0" fontId="70" fillId="11" borderId="13" xfId="0" applyFont="1" applyFill="1" applyBorder="1" applyAlignment="1" applyProtection="1">
      <alignment horizontal="left" wrapText="1"/>
      <protection hidden="1"/>
    </xf>
    <xf numFmtId="0" fontId="70" fillId="11" borderId="4" xfId="0" applyFont="1" applyFill="1" applyBorder="1" applyAlignment="1" applyProtection="1">
      <alignment horizontal="left" wrapText="1"/>
      <protection hidden="1"/>
    </xf>
    <xf numFmtId="0" fontId="70" fillId="11" borderId="14" xfId="0" applyFont="1" applyFill="1" applyBorder="1" applyAlignment="1" applyProtection="1">
      <alignment horizontal="left" wrapText="1"/>
      <protection hidden="1"/>
    </xf>
    <xf numFmtId="0" fontId="70" fillId="11" borderId="9" xfId="0" applyFont="1" applyFill="1" applyBorder="1" applyAlignment="1" applyProtection="1">
      <alignment horizontal="left" wrapText="1"/>
      <protection hidden="1"/>
    </xf>
    <xf numFmtId="0" fontId="70" fillId="11" borderId="41" xfId="0" applyFont="1" applyFill="1" applyBorder="1" applyAlignment="1" applyProtection="1">
      <alignment horizontal="left" wrapText="1"/>
      <protection hidden="1"/>
    </xf>
    <xf numFmtId="0" fontId="70" fillId="11" borderId="18" xfId="0" applyFont="1" applyFill="1" applyBorder="1" applyAlignment="1" applyProtection="1">
      <alignment horizontal="left" wrapText="1"/>
      <protection hidden="1"/>
    </xf>
    <xf numFmtId="0" fontId="70" fillId="11" borderId="20" xfId="0" applyFont="1" applyFill="1" applyBorder="1" applyAlignment="1" applyProtection="1">
      <alignment horizontal="left" wrapText="1"/>
      <protection hidden="1"/>
    </xf>
    <xf numFmtId="0" fontId="70" fillId="11" borderId="29" xfId="0" applyFont="1" applyFill="1" applyBorder="1" applyAlignment="1" applyProtection="1">
      <alignment horizontal="left" wrapText="1"/>
      <protection hidden="1"/>
    </xf>
    <xf numFmtId="0" fontId="70" fillId="11" borderId="59" xfId="0" applyFont="1" applyFill="1" applyBorder="1" applyAlignment="1" applyProtection="1">
      <alignment horizontal="left" wrapText="1"/>
      <protection hidden="1"/>
    </xf>
    <xf numFmtId="49" fontId="70" fillId="18" borderId="0" xfId="0" applyNumberFormat="1" applyFont="1" applyFill="1" applyAlignment="1" applyProtection="1">
      <alignment horizontal="left" vertical="center" wrapText="1"/>
      <protection locked="0"/>
    </xf>
    <xf numFmtId="0" fontId="69" fillId="18" borderId="0" xfId="0" applyFont="1" applyFill="1" applyAlignment="1" applyProtection="1">
      <alignment horizontal="center" vertical="center"/>
      <protection locked="0"/>
    </xf>
    <xf numFmtId="49" fontId="69" fillId="18" borderId="0" xfId="0" applyNumberFormat="1" applyFont="1" applyFill="1" applyAlignment="1" applyProtection="1">
      <alignment horizontal="left" vertical="center"/>
      <protection locked="0"/>
    </xf>
    <xf numFmtId="49" fontId="70" fillId="18" borderId="0" xfId="0" applyNumberFormat="1" applyFont="1" applyFill="1" applyAlignment="1" applyProtection="1">
      <alignment horizontal="left" vertical="center"/>
      <protection locked="0"/>
    </xf>
    <xf numFmtId="0" fontId="70" fillId="18" borderId="5" xfId="0" applyFont="1" applyFill="1" applyBorder="1" applyAlignment="1" applyProtection="1">
      <alignment horizontal="center" vertical="center" wrapText="1"/>
      <protection locked="0"/>
    </xf>
    <xf numFmtId="49" fontId="70" fillId="18" borderId="5" xfId="0" applyNumberFormat="1" applyFont="1" applyFill="1" applyBorder="1" applyAlignment="1" applyProtection="1">
      <alignment horizontal="left" vertical="center" wrapText="1"/>
      <protection locked="0"/>
    </xf>
    <xf numFmtId="0" fontId="70" fillId="18" borderId="2" xfId="0" applyFont="1" applyFill="1" applyBorder="1" applyAlignment="1" applyProtection="1">
      <alignment horizontal="center" vertical="center" wrapText="1"/>
      <protection locked="0"/>
    </xf>
    <xf numFmtId="49" fontId="70" fillId="18" borderId="2" xfId="0" applyNumberFormat="1" applyFont="1" applyFill="1" applyBorder="1" applyAlignment="1" applyProtection="1">
      <alignment horizontal="left" vertical="center" wrapText="1"/>
      <protection locked="0"/>
    </xf>
    <xf numFmtId="0" fontId="70" fillId="18" borderId="7" xfId="0" applyFont="1" applyFill="1" applyBorder="1" applyAlignment="1" applyProtection="1">
      <alignment horizontal="center" vertical="center" wrapText="1"/>
      <protection locked="0"/>
    </xf>
    <xf numFmtId="49" fontId="70" fillId="18" borderId="7" xfId="0" applyNumberFormat="1" applyFont="1" applyFill="1" applyBorder="1" applyAlignment="1" applyProtection="1">
      <alignment horizontal="left" vertical="center" wrapText="1"/>
      <protection locked="0"/>
    </xf>
    <xf numFmtId="49" fontId="70" fillId="18" borderId="0" xfId="0" applyNumberFormat="1" applyFont="1" applyFill="1" applyAlignment="1" applyProtection="1">
      <alignment vertical="center" wrapText="1"/>
      <protection locked="0"/>
    </xf>
    <xf numFmtId="0" fontId="70" fillId="18" borderId="0" xfId="0" applyFont="1" applyFill="1" applyAlignment="1" applyProtection="1">
      <alignment horizontal="center" vertical="center"/>
      <protection locked="0"/>
    </xf>
    <xf numFmtId="49" fontId="70" fillId="18" borderId="0" xfId="0" applyNumberFormat="1" applyFont="1" applyFill="1" applyAlignment="1" applyProtection="1">
      <alignment horizontal="left" vertical="top"/>
      <protection locked="0"/>
    </xf>
    <xf numFmtId="0" fontId="70" fillId="18" borderId="0" xfId="0" applyFont="1" applyFill="1" applyAlignment="1" applyProtection="1">
      <alignment horizontal="center" vertical="top"/>
      <protection locked="0"/>
    </xf>
    <xf numFmtId="0" fontId="0" fillId="0" borderId="34" xfId="0" quotePrefix="1" applyBorder="1" applyAlignment="1">
      <alignment horizontal="right"/>
    </xf>
    <xf numFmtId="0" fontId="8" fillId="0" borderId="37" xfId="0" applyFont="1" applyBorder="1" applyAlignment="1">
      <alignment horizontal="right"/>
    </xf>
    <xf numFmtId="49" fontId="0" fillId="0" borderId="6" xfId="0" applyNumberFormat="1" applyBorder="1" applyAlignment="1">
      <alignment horizontal="left"/>
    </xf>
    <xf numFmtId="49" fontId="70" fillId="9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12" borderId="23" xfId="0" applyFont="1" applyFill="1" applyBorder="1" applyAlignment="1" applyProtection="1">
      <alignment horizontal="center" vertical="center"/>
      <protection hidden="1"/>
    </xf>
    <xf numFmtId="0" fontId="50" fillId="12" borderId="1" xfId="0" applyFont="1" applyFill="1" applyBorder="1" applyAlignment="1" applyProtection="1">
      <alignment horizontal="center" vertical="center"/>
      <protection hidden="1"/>
    </xf>
    <xf numFmtId="0" fontId="50" fillId="12" borderId="19" xfId="0" applyFont="1" applyFill="1" applyBorder="1" applyAlignment="1" applyProtection="1">
      <alignment horizontal="center" vertical="center"/>
      <protection hidden="1"/>
    </xf>
    <xf numFmtId="0" fontId="50" fillId="12" borderId="25" xfId="0" applyFont="1" applyFill="1" applyBorder="1" applyAlignment="1" applyProtection="1">
      <alignment horizontal="center" vertical="center"/>
      <protection hidden="1"/>
    </xf>
    <xf numFmtId="0" fontId="95" fillId="12" borderId="54" xfId="0" applyFont="1" applyFill="1" applyBorder="1" applyAlignment="1">
      <alignment horizontal="center" vertical="center"/>
    </xf>
    <xf numFmtId="0" fontId="95" fillId="12" borderId="0" xfId="0" applyFont="1" applyFill="1" applyAlignment="1">
      <alignment horizontal="center" vertical="center"/>
    </xf>
    <xf numFmtId="0" fontId="95" fillId="12" borderId="55" xfId="0" applyFont="1" applyFill="1" applyBorder="1" applyAlignment="1">
      <alignment horizontal="center" vertical="center"/>
    </xf>
    <xf numFmtId="0" fontId="95" fillId="12" borderId="51" xfId="0" applyFont="1" applyFill="1" applyBorder="1" applyAlignment="1">
      <alignment horizontal="center" vertical="center"/>
    </xf>
    <xf numFmtId="0" fontId="95" fillId="12" borderId="52" xfId="0" applyFont="1" applyFill="1" applyBorder="1" applyAlignment="1">
      <alignment horizontal="center" vertical="center"/>
    </xf>
    <xf numFmtId="0" fontId="95" fillId="12" borderId="53" xfId="0" applyFont="1" applyFill="1" applyBorder="1" applyAlignment="1">
      <alignment horizontal="center" vertical="center"/>
    </xf>
    <xf numFmtId="0" fontId="91" fillId="12" borderId="51" xfId="0" applyFont="1" applyFill="1" applyBorder="1" applyAlignment="1" applyProtection="1">
      <alignment horizontal="center" vertical="center" wrapText="1"/>
      <protection hidden="1"/>
    </xf>
    <xf numFmtId="0" fontId="91" fillId="12" borderId="52" xfId="0" applyFont="1" applyFill="1" applyBorder="1" applyAlignment="1" applyProtection="1">
      <alignment horizontal="center" vertical="center" wrapText="1"/>
      <protection hidden="1"/>
    </xf>
    <xf numFmtId="0" fontId="91" fillId="12" borderId="109" xfId="0" applyFont="1" applyFill="1" applyBorder="1" applyAlignment="1" applyProtection="1">
      <alignment horizontal="center" vertical="center" wrapText="1"/>
      <protection hidden="1"/>
    </xf>
    <xf numFmtId="0" fontId="91" fillId="12" borderId="61" xfId="0" applyFont="1" applyFill="1" applyBorder="1" applyAlignment="1" applyProtection="1">
      <alignment horizontal="center" vertical="center" wrapText="1"/>
      <protection hidden="1"/>
    </xf>
    <xf numFmtId="0" fontId="91" fillId="12" borderId="115" xfId="0" applyFont="1" applyFill="1" applyBorder="1" applyAlignment="1" applyProtection="1">
      <alignment horizontal="center" vertical="center" wrapText="1"/>
      <protection hidden="1"/>
    </xf>
    <xf numFmtId="0" fontId="91" fillId="12" borderId="60" xfId="0" applyFont="1" applyFill="1" applyBorder="1" applyAlignment="1" applyProtection="1">
      <alignment horizontal="center" vertical="center" wrapText="1"/>
      <protection hidden="1"/>
    </xf>
    <xf numFmtId="0" fontId="91" fillId="12" borderId="0" xfId="0" applyFont="1" applyFill="1" applyAlignment="1" applyProtection="1">
      <alignment horizontal="center" vertical="center" wrapText="1"/>
      <protection hidden="1"/>
    </xf>
    <xf numFmtId="0" fontId="91" fillId="12" borderId="55" xfId="0" applyFont="1" applyFill="1" applyBorder="1" applyAlignment="1" applyProtection="1">
      <alignment horizontal="center" vertical="center" wrapText="1"/>
      <protection hidden="1"/>
    </xf>
    <xf numFmtId="0" fontId="92" fillId="12" borderId="0" xfId="0" applyFont="1" applyFill="1" applyAlignment="1">
      <alignment horizontal="center" vertical="center"/>
    </xf>
    <xf numFmtId="0" fontId="92" fillId="12" borderId="64" xfId="0" applyFont="1" applyFill="1" applyBorder="1" applyAlignment="1">
      <alignment horizontal="center" vertical="center"/>
    </xf>
    <xf numFmtId="0" fontId="92" fillId="12" borderId="31" xfId="0" applyFont="1" applyFill="1" applyBorder="1" applyAlignment="1">
      <alignment horizontal="center" vertical="center"/>
    </xf>
    <xf numFmtId="0" fontId="92" fillId="12" borderId="27" xfId="0" applyFont="1" applyFill="1" applyBorder="1" applyAlignment="1">
      <alignment horizontal="center" vertical="center"/>
    </xf>
    <xf numFmtId="0" fontId="92" fillId="12" borderId="65" xfId="0" applyFont="1" applyFill="1" applyBorder="1" applyAlignment="1">
      <alignment horizontal="center" vertical="center"/>
    </xf>
    <xf numFmtId="0" fontId="90" fillId="12" borderId="55" xfId="0" applyFont="1" applyFill="1" applyBorder="1" applyAlignment="1" applyProtection="1">
      <alignment horizontal="center" vertical="center" wrapText="1"/>
      <protection hidden="1"/>
    </xf>
    <xf numFmtId="0" fontId="90" fillId="12" borderId="65" xfId="0" applyFont="1" applyFill="1" applyBorder="1" applyAlignment="1" applyProtection="1">
      <alignment horizontal="center" vertical="center" wrapText="1"/>
      <protection hidden="1"/>
    </xf>
    <xf numFmtId="0" fontId="90" fillId="12" borderId="61" xfId="0" applyFont="1" applyFill="1" applyBorder="1" applyAlignment="1" applyProtection="1">
      <alignment horizontal="center" vertical="center" wrapText="1"/>
      <protection hidden="1"/>
    </xf>
    <xf numFmtId="0" fontId="90" fillId="12" borderId="115" xfId="0" applyFont="1" applyFill="1" applyBorder="1" applyAlignment="1" applyProtection="1">
      <alignment horizontal="center" vertical="center" wrapText="1"/>
      <protection hidden="1"/>
    </xf>
    <xf numFmtId="0" fontId="90" fillId="12" borderId="109" xfId="0" applyFont="1" applyFill="1" applyBorder="1" applyAlignment="1" applyProtection="1">
      <alignment horizontal="center" vertical="center" wrapText="1"/>
      <protection hidden="1"/>
    </xf>
    <xf numFmtId="0" fontId="90" fillId="12" borderId="54" xfId="0" applyFont="1" applyFill="1" applyBorder="1" applyAlignment="1" applyProtection="1">
      <alignment horizontal="center" vertical="center" wrapText="1"/>
      <protection hidden="1"/>
    </xf>
    <xf numFmtId="49" fontId="70" fillId="8" borderId="51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52" xfId="0" applyNumberFormat="1" applyBorder="1" applyAlignment="1" applyProtection="1">
      <alignment horizontal="left" vertical="center" wrapText="1"/>
      <protection locked="0"/>
    </xf>
    <xf numFmtId="49" fontId="0" fillId="0" borderId="52" xfId="0" quotePrefix="1" applyNumberFormat="1" applyBorder="1" applyAlignment="1" applyProtection="1">
      <alignment horizontal="left" vertical="center" wrapText="1"/>
      <protection locked="0"/>
    </xf>
    <xf numFmtId="49" fontId="69" fillId="8" borderId="52" xfId="0" applyNumberFormat="1" applyFont="1" applyFill="1" applyBorder="1" applyAlignment="1" applyProtection="1">
      <alignment horizontal="center" vertical="center" wrapText="1"/>
      <protection locked="0"/>
    </xf>
    <xf numFmtId="49" fontId="70" fillId="8" borderId="52" xfId="0" quotePrefix="1" applyNumberFormat="1" applyFont="1" applyFill="1" applyBorder="1" applyAlignment="1" applyProtection="1">
      <alignment horizontal="center" vertical="center" wrapText="1"/>
      <protection locked="0"/>
    </xf>
    <xf numFmtId="0" fontId="70" fillId="8" borderId="51" xfId="0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49" fontId="0" fillId="0" borderId="0" xfId="0" quotePrefix="1" applyNumberFormat="1" applyAlignment="1" applyProtection="1">
      <alignment horizontal="left" vertical="center" wrapText="1"/>
      <protection locked="0"/>
    </xf>
    <xf numFmtId="49" fontId="70" fillId="8" borderId="43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44" xfId="0" applyNumberFormat="1" applyBorder="1" applyAlignment="1" applyProtection="1">
      <alignment horizontal="left" vertical="center" wrapText="1"/>
      <protection locked="0"/>
    </xf>
    <xf numFmtId="49" fontId="69" fillId="8" borderId="44" xfId="0" applyNumberFormat="1" applyFont="1" applyFill="1" applyBorder="1" applyAlignment="1" applyProtection="1">
      <alignment horizontal="center" vertical="center" wrapText="1"/>
      <protection locked="0"/>
    </xf>
    <xf numFmtId="49" fontId="70" fillId="8" borderId="52" xfId="0" applyNumberFormat="1" applyFont="1" applyFill="1" applyBorder="1" applyAlignment="1" applyProtection="1">
      <alignment horizontal="left" vertical="center" wrapText="1"/>
      <protection locked="0"/>
    </xf>
    <xf numFmtId="49" fontId="70" fillId="9" borderId="52" xfId="0" quotePrefix="1" applyNumberFormat="1" applyFont="1" applyFill="1" applyBorder="1" applyAlignment="1" applyProtection="1">
      <alignment horizontal="center" vertical="center" wrapText="1"/>
      <protection locked="0"/>
    </xf>
    <xf numFmtId="49" fontId="120" fillId="9" borderId="21" xfId="0" applyNumberFormat="1" applyFont="1" applyFill="1" applyBorder="1" applyAlignment="1" applyProtection="1">
      <alignment horizontal="left" vertical="center" wrapText="1"/>
      <protection locked="0"/>
    </xf>
    <xf numFmtId="0" fontId="69" fillId="9" borderId="22" xfId="0" applyFont="1" applyFill="1" applyBorder="1" applyAlignment="1" applyProtection="1">
      <alignment horizontal="center" vertical="center" wrapText="1"/>
      <protection locked="0"/>
    </xf>
    <xf numFmtId="49" fontId="75" fillId="9" borderId="52" xfId="1" quotePrefix="1" applyNumberFormat="1" applyFont="1" applyFill="1" applyBorder="1" applyAlignment="1" applyProtection="1">
      <alignment horizontal="center" vertical="center" wrapText="1"/>
      <protection locked="0"/>
    </xf>
    <xf numFmtId="49" fontId="70" fillId="9" borderId="44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8" borderId="24" xfId="0" quotePrefix="1" applyNumberFormat="1" applyFont="1" applyFill="1" applyBorder="1" applyAlignment="1" applyProtection="1">
      <alignment horizontal="center" vertical="center" wrapText="1"/>
      <protection locked="0"/>
    </xf>
    <xf numFmtId="49" fontId="70" fillId="9" borderId="19" xfId="0" quotePrefix="1" applyNumberFormat="1" applyFont="1" applyFill="1" applyBorder="1" applyAlignment="1" applyProtection="1">
      <alignment horizontal="center" vertical="center" wrapText="1"/>
      <protection locked="0"/>
    </xf>
    <xf numFmtId="49" fontId="75" fillId="9" borderId="44" xfId="1" quotePrefix="1" applyNumberFormat="1" applyFont="1" applyFill="1" applyBorder="1" applyAlignment="1" applyProtection="1">
      <alignment horizontal="center" vertical="center" wrapText="1"/>
      <protection locked="0"/>
    </xf>
    <xf numFmtId="49" fontId="70" fillId="0" borderId="51" xfId="0" quotePrefix="1" applyNumberFormat="1" applyFont="1" applyBorder="1" applyAlignment="1" applyProtection="1">
      <alignment horizontal="left" vertical="center" wrapText="1"/>
      <protection locked="0"/>
    </xf>
    <xf numFmtId="49" fontId="70" fillId="0" borderId="52" xfId="0" applyNumberFormat="1" applyFont="1" applyBorder="1" applyAlignment="1" applyProtection="1">
      <alignment horizontal="left" vertical="center" wrapText="1"/>
      <protection locked="0"/>
    </xf>
    <xf numFmtId="49" fontId="70" fillId="0" borderId="21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22" xfId="0" applyNumberFormat="1" applyFont="1" applyBorder="1" applyAlignment="1" applyProtection="1">
      <alignment horizontal="center" vertical="center" wrapText="1"/>
      <protection locked="0"/>
    </xf>
    <xf numFmtId="49" fontId="70" fillId="0" borderId="23" xfId="0" quotePrefix="1" applyNumberFormat="1" applyFont="1" applyBorder="1" applyAlignment="1" applyProtection="1">
      <alignment horizontal="center" vertical="center" wrapText="1"/>
      <protection locked="0"/>
    </xf>
    <xf numFmtId="1" fontId="70" fillId="0" borderId="13" xfId="0" applyNumberFormat="1" applyFont="1" applyBorder="1" applyAlignment="1" applyProtection="1">
      <alignment horizontal="center" vertical="center" wrapText="1"/>
      <protection locked="0"/>
    </xf>
    <xf numFmtId="49" fontId="69" fillId="0" borderId="52" xfId="0" applyNumberFormat="1" applyFont="1" applyBorder="1" applyAlignment="1" applyProtection="1">
      <alignment horizontal="center" vertical="center" wrapText="1"/>
      <protection locked="0"/>
    </xf>
    <xf numFmtId="49" fontId="70" fillId="0" borderId="60" xfId="0" quotePrefix="1" applyNumberFormat="1" applyFont="1" applyBorder="1" applyAlignment="1" applyProtection="1">
      <alignment horizontal="center" vertical="center" wrapText="1"/>
      <protection locked="0"/>
    </xf>
    <xf numFmtId="49" fontId="69" fillId="0" borderId="44" xfId="0" applyNumberFormat="1" applyFont="1" applyBorder="1" applyAlignment="1" applyProtection="1">
      <alignment horizontal="center" vertical="center" wrapText="1"/>
      <protection locked="0"/>
    </xf>
    <xf numFmtId="49" fontId="40" fillId="0" borderId="51" xfId="0" applyNumberFormat="1" applyFont="1" applyBorder="1" applyAlignment="1" applyProtection="1">
      <alignment horizontal="left" vertical="center" wrapText="1"/>
      <protection locked="0"/>
    </xf>
    <xf numFmtId="49" fontId="40" fillId="0" borderId="52" xfId="1" applyNumberFormat="1" applyFont="1" applyFill="1" applyBorder="1" applyAlignment="1" applyProtection="1">
      <alignment horizontal="left" vertical="center" wrapText="1"/>
      <protection locked="0"/>
    </xf>
    <xf numFmtId="49" fontId="86" fillId="0" borderId="53" xfId="1" applyNumberFormat="1" applyFont="1" applyFill="1" applyBorder="1" applyAlignment="1" applyProtection="1">
      <alignment horizontal="center" vertical="center" wrapText="1"/>
      <protection locked="0"/>
    </xf>
    <xf numFmtId="49" fontId="40" fillId="0" borderId="52" xfId="0" applyNumberFormat="1" applyFont="1" applyBorder="1" applyAlignment="1" applyProtection="1">
      <alignment horizontal="center" vertical="center" wrapText="1"/>
      <protection locked="0"/>
    </xf>
    <xf numFmtId="0" fontId="69" fillId="0" borderId="109" xfId="0" applyFont="1" applyBorder="1" applyAlignment="1" applyProtection="1">
      <alignment horizontal="center" vertical="center" wrapText="1"/>
      <protection locked="0"/>
    </xf>
    <xf numFmtId="49" fontId="120" fillId="9" borderId="11" xfId="0" applyNumberFormat="1" applyFont="1" applyFill="1" applyBorder="1" applyAlignment="1" applyProtection="1">
      <alignment horizontal="left" vertical="center" wrapText="1"/>
      <protection locked="0"/>
    </xf>
    <xf numFmtId="0" fontId="59" fillId="9" borderId="52" xfId="0" applyFont="1" applyFill="1" applyBorder="1" applyAlignment="1" applyProtection="1">
      <alignment horizontal="center" vertical="center" wrapText="1"/>
      <protection locked="0"/>
    </xf>
    <xf numFmtId="0" fontId="59" fillId="9" borderId="46" xfId="0" applyFont="1" applyFill="1" applyBorder="1" applyAlignment="1" applyProtection="1">
      <alignment horizontal="center" vertical="center" wrapText="1"/>
      <protection locked="0"/>
    </xf>
    <xf numFmtId="49" fontId="86" fillId="0" borderId="52" xfId="1" applyNumberFormat="1" applyFont="1" applyFill="1" applyBorder="1" applyAlignment="1" applyProtection="1">
      <alignment horizontal="center" vertical="center" wrapText="1"/>
      <protection locked="0"/>
    </xf>
    <xf numFmtId="49" fontId="40" fillId="0" borderId="53" xfId="0" applyNumberFormat="1" applyFont="1" applyBorder="1" applyAlignment="1" applyProtection="1">
      <alignment horizontal="center" vertical="center" wrapText="1"/>
      <protection locked="0"/>
    </xf>
    <xf numFmtId="49" fontId="40" fillId="0" borderId="54" xfId="0" applyNumberFormat="1" applyFont="1" applyBorder="1" applyAlignment="1" applyProtection="1">
      <alignment horizontal="left" vertical="center" wrapText="1"/>
      <protection locked="0"/>
    </xf>
    <xf numFmtId="49" fontId="40" fillId="0" borderId="43" xfId="0" applyNumberFormat="1" applyFont="1" applyBorder="1" applyAlignment="1" applyProtection="1">
      <alignment horizontal="left" vertical="center" wrapText="1"/>
      <protection locked="0"/>
    </xf>
    <xf numFmtId="0" fontId="59" fillId="9" borderId="44" xfId="0" applyFont="1" applyFill="1" applyBorder="1" applyAlignment="1" applyProtection="1">
      <alignment horizontal="center" vertical="center" wrapText="1"/>
      <protection locked="0"/>
    </xf>
    <xf numFmtId="49" fontId="70" fillId="0" borderId="57" xfId="0" applyNumberFormat="1" applyFont="1" applyBorder="1" applyAlignment="1" applyProtection="1">
      <alignment horizontal="left" vertical="center" wrapText="1"/>
      <protection locked="0"/>
    </xf>
    <xf numFmtId="49" fontId="70" fillId="0" borderId="30" xfId="0" applyNumberFormat="1" applyFont="1" applyBorder="1" applyAlignment="1" applyProtection="1">
      <alignment horizontal="left" vertical="center" wrapText="1"/>
      <protection locked="0"/>
    </xf>
    <xf numFmtId="0" fontId="69" fillId="0" borderId="13" xfId="0" applyFont="1" applyBorder="1" applyAlignment="1" applyProtection="1">
      <alignment horizontal="center" vertical="center" wrapText="1"/>
      <protection locked="0"/>
    </xf>
    <xf numFmtId="0" fontId="59" fillId="9" borderId="22" xfId="0" applyFont="1" applyFill="1" applyBorder="1" applyAlignment="1" applyProtection="1">
      <alignment horizontal="center" vertical="center" wrapText="1"/>
      <protection locked="0"/>
    </xf>
    <xf numFmtId="0" fontId="59" fillId="9" borderId="13" xfId="0" applyFont="1" applyFill="1" applyBorder="1" applyAlignment="1" applyProtection="1">
      <alignment horizontal="center" vertical="center" wrapText="1"/>
      <protection locked="0"/>
    </xf>
    <xf numFmtId="49" fontId="70" fillId="0" borderId="30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13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37" xfId="0" applyNumberFormat="1" applyFont="1" applyBorder="1" applyAlignment="1" applyProtection="1">
      <alignment horizontal="left" vertical="center" wrapText="1"/>
      <protection locked="0"/>
    </xf>
    <xf numFmtId="49" fontId="70" fillId="0" borderId="38" xfId="0" applyNumberFormat="1" applyFont="1" applyBorder="1" applyAlignment="1" applyProtection="1">
      <alignment horizontal="left" vertical="center" wrapText="1"/>
      <protection locked="0"/>
    </xf>
    <xf numFmtId="49" fontId="70" fillId="0" borderId="17" xfId="0" applyNumberFormat="1" applyFont="1" applyBorder="1" applyAlignment="1" applyProtection="1">
      <alignment horizontal="left" vertical="center" wrapText="1"/>
      <protection locked="0"/>
    </xf>
    <xf numFmtId="49" fontId="70" fillId="0" borderId="19" xfId="0" quotePrefix="1" applyNumberFormat="1" applyFont="1" applyBorder="1" applyAlignment="1" applyProtection="1">
      <alignment horizontal="center" vertical="center" wrapText="1"/>
      <protection locked="0"/>
    </xf>
    <xf numFmtId="1" fontId="69" fillId="0" borderId="20" xfId="0" applyNumberFormat="1" applyFont="1" applyBorder="1" applyAlignment="1" applyProtection="1">
      <alignment horizontal="center" vertical="center" wrapText="1"/>
      <protection locked="0"/>
    </xf>
    <xf numFmtId="49" fontId="70" fillId="0" borderId="17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20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53" xfId="0" quotePrefix="1" applyNumberFormat="1" applyFont="1" applyBorder="1" applyAlignment="1" applyProtection="1">
      <alignment horizontal="center" vertical="center" wrapText="1"/>
      <protection locked="0"/>
    </xf>
    <xf numFmtId="49" fontId="70" fillId="0" borderId="43" xfId="0" quotePrefix="1" applyNumberFormat="1" applyFont="1" applyBorder="1" applyAlignment="1" applyProtection="1">
      <alignment horizontal="left" vertical="center" wrapText="1"/>
      <protection locked="0"/>
    </xf>
    <xf numFmtId="49" fontId="70" fillId="0" borderId="51" xfId="0" applyNumberFormat="1" applyFont="1" applyBorder="1" applyAlignment="1" applyProtection="1">
      <alignment horizontal="left" vertical="center" wrapText="1"/>
      <protection locked="0"/>
    </xf>
    <xf numFmtId="49" fontId="70" fillId="0" borderId="53" xfId="0" applyNumberFormat="1" applyFont="1" applyBorder="1" applyAlignment="1" applyProtection="1">
      <alignment horizontal="center" vertical="center" wrapText="1"/>
      <protection locked="0"/>
    </xf>
    <xf numFmtId="49" fontId="70" fillId="0" borderId="51" xfId="0" applyNumberFormat="1" applyFont="1" applyBorder="1" applyAlignment="1" applyProtection="1">
      <alignment horizontal="center" vertical="center" wrapText="1"/>
      <protection locked="0"/>
    </xf>
    <xf numFmtId="0" fontId="70" fillId="0" borderId="109" xfId="0" applyFont="1" applyBorder="1" applyAlignment="1" applyProtection="1">
      <alignment horizontal="center" vertical="center" wrapText="1"/>
      <protection locked="0"/>
    </xf>
    <xf numFmtId="49" fontId="47" fillId="0" borderId="51" xfId="0" applyNumberFormat="1" applyFont="1" applyBorder="1" applyAlignment="1" applyProtection="1">
      <alignment horizontal="center" vertical="center" wrapText="1"/>
      <protection locked="0"/>
    </xf>
    <xf numFmtId="0" fontId="90" fillId="12" borderId="60" xfId="0" applyFont="1" applyFill="1" applyBorder="1" applyAlignment="1" applyProtection="1">
      <alignment horizontal="center" vertical="center" wrapText="1"/>
      <protection hidden="1"/>
    </xf>
    <xf numFmtId="164" fontId="40" fillId="0" borderId="51" xfId="0" applyNumberFormat="1" applyFont="1" applyBorder="1" applyAlignment="1" applyProtection="1">
      <alignment horizontal="center" vertical="center" wrapText="1"/>
      <protection locked="0"/>
    </xf>
    <xf numFmtId="164" fontId="40" fillId="0" borderId="52" xfId="0" applyNumberFormat="1" applyFont="1" applyBorder="1" applyAlignment="1" applyProtection="1">
      <alignment horizontal="center" vertical="center" wrapText="1"/>
      <protection locked="0"/>
    </xf>
    <xf numFmtId="164" fontId="40" fillId="0" borderId="53" xfId="0" applyNumberFormat="1" applyFont="1" applyBorder="1" applyAlignment="1" applyProtection="1">
      <alignment horizontal="center" vertical="center" wrapText="1"/>
      <protection locked="0"/>
    </xf>
    <xf numFmtId="164" fontId="40" fillId="0" borderId="43" xfId="0" applyNumberFormat="1" applyFont="1" applyBorder="1" applyAlignment="1" applyProtection="1">
      <alignment horizontal="center" vertical="center" wrapText="1"/>
      <protection locked="0"/>
    </xf>
    <xf numFmtId="164" fontId="40" fillId="0" borderId="44" xfId="0" applyNumberFormat="1" applyFont="1" applyBorder="1" applyAlignment="1" applyProtection="1">
      <alignment horizontal="center" vertical="center" wrapText="1"/>
      <protection locked="0"/>
    </xf>
    <xf numFmtId="164" fontId="40" fillId="0" borderId="56" xfId="0" applyNumberFormat="1" applyFont="1" applyBorder="1" applyAlignment="1" applyProtection="1">
      <alignment horizontal="center" vertical="center" wrapText="1"/>
      <protection locked="0"/>
    </xf>
    <xf numFmtId="0" fontId="38" fillId="0" borderId="43" xfId="0" applyFont="1" applyBorder="1" applyAlignment="1" applyProtection="1">
      <alignment horizontal="center" vertical="center" wrapText="1"/>
      <protection hidden="1"/>
    </xf>
    <xf numFmtId="0" fontId="38" fillId="0" borderId="56" xfId="0" applyFont="1" applyBorder="1" applyAlignment="1" applyProtection="1">
      <alignment horizontal="center" vertical="center"/>
      <protection hidden="1"/>
    </xf>
    <xf numFmtId="0" fontId="101" fillId="0" borderId="0" xfId="0" applyFont="1"/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23" borderId="0" xfId="0" applyFill="1" applyProtection="1">
      <protection locked="0"/>
    </xf>
    <xf numFmtId="0" fontId="98" fillId="24" borderId="160" xfId="0" applyFont="1" applyFill="1" applyBorder="1"/>
    <xf numFmtId="0" fontId="7" fillId="0" borderId="0" xfId="0" applyFont="1" applyAlignment="1">
      <alignment vertical="center"/>
    </xf>
    <xf numFmtId="0" fontId="7" fillId="0" borderId="160" xfId="0" applyFont="1" applyBorder="1" applyAlignment="1">
      <alignment vertical="center"/>
    </xf>
    <xf numFmtId="0" fontId="7" fillId="0" borderId="161" xfId="0" applyFont="1" applyBorder="1" applyAlignment="1">
      <alignment vertical="center"/>
    </xf>
    <xf numFmtId="0" fontId="0" fillId="17" borderId="0" xfId="0" applyFill="1"/>
    <xf numFmtId="0" fontId="7" fillId="17" borderId="0" xfId="0" applyFont="1" applyFill="1" applyAlignment="1">
      <alignment vertical="center"/>
    </xf>
    <xf numFmtId="0" fontId="0" fillId="17" borderId="0" xfId="0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17" borderId="0" xfId="0" applyFont="1" applyFill="1" applyAlignment="1">
      <alignment horizontal="center" vertical="center"/>
    </xf>
    <xf numFmtId="0" fontId="216" fillId="0" borderId="0" xfId="4"/>
    <xf numFmtId="0" fontId="128" fillId="0" borderId="0" xfId="5"/>
    <xf numFmtId="0" fontId="19" fillId="0" borderId="0" xfId="1" applyAlignment="1">
      <alignment horizontal="right"/>
    </xf>
    <xf numFmtId="0" fontId="128" fillId="0" borderId="0" xfId="5" applyProtection="1">
      <protection locked="0"/>
    </xf>
    <xf numFmtId="0" fontId="59" fillId="0" borderId="0" xfId="5" applyFont="1" applyAlignment="1" applyProtection="1">
      <alignment horizontal="right" indent="1"/>
      <protection locked="0"/>
    </xf>
    <xf numFmtId="0" fontId="139" fillId="0" borderId="0" xfId="5" quotePrefix="1" applyFont="1" applyProtection="1">
      <protection locked="0"/>
    </xf>
    <xf numFmtId="172" fontId="59" fillId="17" borderId="11" xfId="5" applyNumberFormat="1" applyFont="1" applyFill="1" applyBorder="1" applyAlignment="1" applyProtection="1">
      <alignment horizontal="right" indent="1"/>
      <protection locked="0"/>
    </xf>
    <xf numFmtId="172" fontId="59" fillId="17" borderId="15" xfId="5" applyNumberFormat="1" applyFont="1" applyFill="1" applyBorder="1" applyAlignment="1" applyProtection="1">
      <alignment horizontal="right" indent="1"/>
      <protection locked="0"/>
    </xf>
    <xf numFmtId="172" fontId="59" fillId="17" borderId="58" xfId="5" applyNumberFormat="1" applyFont="1" applyFill="1" applyBorder="1" applyAlignment="1" applyProtection="1">
      <alignment horizontal="right" indent="1"/>
      <protection locked="0"/>
    </xf>
    <xf numFmtId="0" fontId="7" fillId="0" borderId="0" xfId="6" applyProtection="1">
      <protection locked="0"/>
    </xf>
    <xf numFmtId="172" fontId="217" fillId="21" borderId="0" xfId="6" applyNumberFormat="1" applyFont="1" applyFill="1" applyAlignment="1" applyProtection="1">
      <alignment horizontal="right" vertical="top" indent="1"/>
      <protection locked="0"/>
    </xf>
    <xf numFmtId="0" fontId="59" fillId="0" borderId="0" xfId="4" applyFont="1"/>
    <xf numFmtId="0" fontId="0" fillId="0" borderId="0" xfId="0" applyAlignment="1" applyProtection="1">
      <alignment horizontal="right"/>
      <protection locked="0"/>
    </xf>
    <xf numFmtId="0" fontId="128" fillId="0" borderId="0" xfId="5" applyAlignment="1" applyProtection="1">
      <alignment horizontal="center"/>
      <protection locked="0"/>
    </xf>
    <xf numFmtId="0" fontId="7" fillId="0" borderId="0" xfId="6" applyAlignment="1" applyProtection="1">
      <alignment horizontal="center"/>
      <protection locked="0"/>
    </xf>
    <xf numFmtId="0" fontId="67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0" fontId="104" fillId="11" borderId="4" xfId="0" applyFont="1" applyFill="1" applyBorder="1" applyAlignment="1">
      <alignment horizontal="left"/>
    </xf>
    <xf numFmtId="0" fontId="222" fillId="2" borderId="31" xfId="0" applyFont="1" applyFill="1" applyBorder="1" applyProtection="1">
      <protection hidden="1"/>
    </xf>
    <xf numFmtId="0" fontId="219" fillId="7" borderId="1" xfId="0" applyFont="1" applyFill="1" applyBorder="1" applyAlignment="1" applyProtection="1">
      <alignment horizontal="center" vertical="center" wrapText="1"/>
      <protection hidden="1"/>
    </xf>
    <xf numFmtId="0" fontId="219" fillId="7" borderId="4" xfId="0" quotePrefix="1" applyFont="1" applyFill="1" applyBorder="1" applyAlignment="1" applyProtection="1">
      <alignment horizontal="center" vertical="center" wrapText="1"/>
      <protection hidden="1"/>
    </xf>
    <xf numFmtId="0" fontId="222" fillId="2" borderId="0" xfId="0" applyFont="1" applyFill="1"/>
    <xf numFmtId="0" fontId="222" fillId="2" borderId="28" xfId="0" applyFont="1" applyFill="1" applyBorder="1"/>
    <xf numFmtId="171" fontId="222" fillId="2" borderId="1" xfId="0" applyNumberFormat="1" applyFont="1" applyFill="1" applyBorder="1" applyAlignment="1" applyProtection="1">
      <alignment horizontal="left" vertical="center" wrapText="1" indent="3"/>
      <protection hidden="1"/>
    </xf>
    <xf numFmtId="0" fontId="219" fillId="2" borderId="4" xfId="0" applyFont="1" applyFill="1" applyBorder="1" applyAlignment="1" applyProtection="1">
      <alignment horizontal="center" vertical="center" wrapText="1"/>
      <protection hidden="1"/>
    </xf>
    <xf numFmtId="170" fontId="222" fillId="2" borderId="1" xfId="0" applyNumberFormat="1" applyFont="1" applyFill="1" applyBorder="1" applyAlignment="1" applyProtection="1">
      <alignment horizontal="left" vertical="center" wrapText="1" indent="3"/>
      <protection hidden="1"/>
    </xf>
    <xf numFmtId="0" fontId="219" fillId="7" borderId="4" xfId="0" applyFont="1" applyFill="1" applyBorder="1" applyAlignment="1" applyProtection="1">
      <alignment horizontal="center" vertical="center" wrapText="1"/>
      <protection hidden="1"/>
    </xf>
    <xf numFmtId="0" fontId="223" fillId="2" borderId="25" xfId="0" applyFont="1" applyFill="1" applyBorder="1" applyProtection="1">
      <protection hidden="1"/>
    </xf>
    <xf numFmtId="0" fontId="224" fillId="2" borderId="5" xfId="0" applyFont="1" applyFill="1" applyBorder="1" applyAlignment="1" applyProtection="1">
      <alignment horizontal="left" vertical="center" wrapText="1" indent="2"/>
      <protection hidden="1"/>
    </xf>
    <xf numFmtId="0" fontId="140" fillId="2" borderId="5" xfId="0" applyFont="1" applyFill="1" applyBorder="1" applyAlignment="1" applyProtection="1">
      <alignment horizontal="center" vertical="center" wrapText="1"/>
      <protection hidden="1"/>
    </xf>
    <xf numFmtId="0" fontId="140" fillId="2" borderId="26" xfId="0" applyFont="1" applyFill="1" applyBorder="1" applyAlignment="1" applyProtection="1">
      <alignment horizontal="center" vertical="center" wrapText="1"/>
      <protection hidden="1"/>
    </xf>
    <xf numFmtId="0" fontId="225" fillId="0" borderId="0" xfId="0" applyFont="1"/>
    <xf numFmtId="0" fontId="59" fillId="0" borderId="57" xfId="0" applyFont="1" applyBorder="1" applyAlignment="1">
      <alignment horizontal="center"/>
    </xf>
    <xf numFmtId="0" fontId="59" fillId="0" borderId="38" xfId="0" applyFont="1" applyBorder="1" applyAlignment="1">
      <alignment horizontal="center"/>
    </xf>
    <xf numFmtId="0" fontId="0" fillId="0" borderId="58" xfId="0" applyBorder="1" applyAlignment="1">
      <alignment horizontal="left"/>
    </xf>
    <xf numFmtId="0" fontId="4" fillId="0" borderId="101" xfId="0" applyFont="1" applyBorder="1" applyAlignment="1">
      <alignment horizontal="right"/>
    </xf>
    <xf numFmtId="0" fontId="0" fillId="0" borderId="40" xfId="0" applyBorder="1" applyAlignment="1">
      <alignment horizontal="left"/>
    </xf>
    <xf numFmtId="0" fontId="4" fillId="0" borderId="39" xfId="0" applyFont="1" applyBorder="1" applyAlignment="1">
      <alignment horizontal="right"/>
    </xf>
    <xf numFmtId="0" fontId="59" fillId="0" borderId="87" xfId="0" applyFont="1" applyBorder="1" applyAlignment="1">
      <alignment horizontal="center" vertical="center" wrapText="1"/>
    </xf>
    <xf numFmtId="0" fontId="59" fillId="0" borderId="68" xfId="0" applyFont="1" applyBorder="1" applyAlignment="1">
      <alignment horizontal="center" vertical="center" wrapText="1"/>
    </xf>
    <xf numFmtId="0" fontId="0" fillId="0" borderId="75" xfId="0" applyBorder="1" applyAlignment="1">
      <alignment horizontal="left"/>
    </xf>
    <xf numFmtId="0" fontId="0" fillId="0" borderId="86" xfId="0" quotePrefix="1" applyBorder="1" applyAlignment="1">
      <alignment horizontal="right"/>
    </xf>
    <xf numFmtId="0" fontId="10" fillId="0" borderId="39" xfId="0" applyFont="1" applyBorder="1" applyAlignment="1">
      <alignment horizontal="right"/>
    </xf>
    <xf numFmtId="0" fontId="8" fillId="0" borderId="87" xfId="0" applyFont="1" applyBorder="1" applyAlignment="1">
      <alignment horizontal="right"/>
    </xf>
    <xf numFmtId="49" fontId="0" fillId="0" borderId="74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6" xfId="0" applyBorder="1" applyAlignment="1">
      <alignment horizontal="left"/>
    </xf>
    <xf numFmtId="0" fontId="226" fillId="12" borderId="31" xfId="0" applyFont="1" applyFill="1" applyBorder="1" applyAlignment="1" applyProtection="1">
      <alignment horizontal="center" vertical="center" wrapText="1"/>
      <protection hidden="1"/>
    </xf>
    <xf numFmtId="0" fontId="88" fillId="12" borderId="60" xfId="0" applyFont="1" applyFill="1" applyBorder="1" applyAlignment="1" applyProtection="1">
      <alignment horizontal="center" vertical="center" wrapText="1"/>
      <protection hidden="1"/>
    </xf>
    <xf numFmtId="49" fontId="40" fillId="0" borderId="27" xfId="0" quotePrefix="1" applyNumberFormat="1" applyFont="1" applyBorder="1" applyAlignment="1" applyProtection="1">
      <alignment horizontal="left" vertical="center" wrapText="1"/>
      <protection locked="0"/>
    </xf>
    <xf numFmtId="0" fontId="88" fillId="12" borderId="53" xfId="0" applyFont="1" applyFill="1" applyBorder="1" applyAlignment="1" applyProtection="1">
      <alignment horizontal="center" vertical="center" wrapText="1"/>
      <protection hidden="1"/>
    </xf>
    <xf numFmtId="0" fontId="226" fillId="12" borderId="109" xfId="0" applyFont="1" applyFill="1" applyBorder="1" applyAlignment="1" applyProtection="1">
      <alignment horizontal="center" vertical="center" wrapText="1"/>
      <protection hidden="1"/>
    </xf>
    <xf numFmtId="0" fontId="0" fillId="11" borderId="12" xfId="0" applyFill="1" applyBorder="1" applyAlignment="1">
      <alignment horizontal="right"/>
    </xf>
    <xf numFmtId="0" fontId="0" fillId="11" borderId="66" xfId="0" applyFill="1" applyBorder="1" applyAlignment="1">
      <alignment horizontal="right"/>
    </xf>
    <xf numFmtId="0" fontId="0" fillId="11" borderId="51" xfId="0" quotePrefix="1" applyFill="1" applyBorder="1" applyAlignment="1">
      <alignment horizontal="left"/>
    </xf>
    <xf numFmtId="0" fontId="0" fillId="11" borderId="75" xfId="0" applyFill="1" applyBorder="1" applyAlignment="1">
      <alignment horizontal="right"/>
    </xf>
    <xf numFmtId="0" fontId="0" fillId="11" borderId="87" xfId="0" applyFill="1" applyBorder="1" applyAlignment="1">
      <alignment horizontal="right" vertical="center"/>
    </xf>
    <xf numFmtId="0" fontId="0" fillId="11" borderId="74" xfId="0" quotePrefix="1" applyFill="1" applyBorder="1" applyAlignment="1">
      <alignment horizontal="left"/>
    </xf>
    <xf numFmtId="0" fontId="0" fillId="11" borderId="5" xfId="0" applyFill="1" applyBorder="1" applyAlignment="1">
      <alignment horizontal="right"/>
    </xf>
    <xf numFmtId="0" fontId="0" fillId="11" borderId="39" xfId="0" applyFill="1" applyBorder="1" applyAlignment="1">
      <alignment horizontal="right" vertical="center"/>
    </xf>
    <xf numFmtId="0" fontId="0" fillId="11" borderId="58" xfId="0" applyFill="1" applyBorder="1" applyAlignment="1">
      <alignment horizontal="left"/>
    </xf>
    <xf numFmtId="0" fontId="0" fillId="11" borderId="2" xfId="0" applyFill="1" applyBorder="1" applyAlignment="1">
      <alignment horizontal="right"/>
    </xf>
    <xf numFmtId="0" fontId="11" fillId="11" borderId="37" xfId="0" applyFont="1" applyFill="1" applyBorder="1" applyAlignment="1">
      <alignment horizontal="right"/>
    </xf>
    <xf numFmtId="0" fontId="0" fillId="11" borderId="6" xfId="0" applyFill="1" applyBorder="1" applyAlignment="1">
      <alignment horizontal="left"/>
    </xf>
    <xf numFmtId="0" fontId="0" fillId="11" borderId="74" xfId="0" applyFill="1" applyBorder="1" applyAlignment="1">
      <alignment horizontal="left"/>
    </xf>
    <xf numFmtId="0" fontId="0" fillId="11" borderId="39" xfId="0" quotePrefix="1" applyFill="1" applyBorder="1" applyAlignment="1">
      <alignment horizontal="right" vertical="center"/>
    </xf>
    <xf numFmtId="49" fontId="0" fillId="11" borderId="58" xfId="0" applyNumberFormat="1" applyFill="1" applyBorder="1" applyAlignment="1">
      <alignment horizontal="left"/>
    </xf>
    <xf numFmtId="0" fontId="0" fillId="11" borderId="98" xfId="0" applyFill="1" applyBorder="1" applyAlignment="1">
      <alignment horizontal="right"/>
    </xf>
    <xf numFmtId="0" fontId="0" fillId="11" borderId="101" xfId="0" quotePrefix="1" applyFill="1" applyBorder="1" applyAlignment="1">
      <alignment horizontal="right"/>
    </xf>
    <xf numFmtId="49" fontId="0" fillId="11" borderId="40" xfId="0" applyNumberFormat="1" applyFill="1" applyBorder="1" applyAlignment="1">
      <alignment horizontal="left"/>
    </xf>
    <xf numFmtId="0" fontId="0" fillId="11" borderId="90" xfId="0" applyFill="1" applyBorder="1" applyAlignment="1">
      <alignment horizontal="right"/>
    </xf>
    <xf numFmtId="0" fontId="0" fillId="11" borderId="87" xfId="0" quotePrefix="1" applyFill="1" applyBorder="1" applyAlignment="1">
      <alignment horizontal="right"/>
    </xf>
    <xf numFmtId="49" fontId="0" fillId="11" borderId="74" xfId="0" applyNumberFormat="1" applyFill="1" applyBorder="1" applyAlignment="1">
      <alignment horizontal="left"/>
    </xf>
    <xf numFmtId="0" fontId="0" fillId="11" borderId="86" xfId="0" applyFill="1" applyBorder="1" applyAlignment="1">
      <alignment horizontal="right"/>
    </xf>
    <xf numFmtId="0" fontId="0" fillId="11" borderId="39" xfId="0" quotePrefix="1" applyFill="1" applyBorder="1" applyAlignment="1">
      <alignment horizontal="right"/>
    </xf>
    <xf numFmtId="0" fontId="0" fillId="11" borderId="34" xfId="0" applyFill="1" applyBorder="1" applyAlignment="1">
      <alignment horizontal="right"/>
    </xf>
    <xf numFmtId="0" fontId="0" fillId="11" borderId="37" xfId="0" quotePrefix="1" applyFill="1" applyBorder="1" applyAlignment="1">
      <alignment horizontal="right"/>
    </xf>
    <xf numFmtId="0" fontId="0" fillId="11" borderId="89" xfId="0" applyFill="1" applyBorder="1" applyAlignment="1">
      <alignment horizontal="right"/>
    </xf>
    <xf numFmtId="0" fontId="4" fillId="11" borderId="108" xfId="0" quotePrefix="1" applyFont="1" applyFill="1" applyBorder="1" applyAlignment="1">
      <alignment horizontal="right"/>
    </xf>
    <xf numFmtId="0" fontId="0" fillId="11" borderId="88" xfId="0" applyFill="1" applyBorder="1" applyAlignment="1">
      <alignment horizontal="left"/>
    </xf>
    <xf numFmtId="0" fontId="0" fillId="11" borderId="37" xfId="0" applyFill="1" applyBorder="1" applyAlignment="1">
      <alignment horizontal="right" vertical="center"/>
    </xf>
    <xf numFmtId="0" fontId="0" fillId="11" borderId="16" xfId="0" applyFill="1" applyBorder="1" applyAlignment="1">
      <alignment horizontal="right"/>
    </xf>
    <xf numFmtId="0" fontId="0" fillId="11" borderId="38" xfId="0" applyFill="1" applyBorder="1" applyAlignment="1">
      <alignment horizontal="right" vertical="center"/>
    </xf>
    <xf numFmtId="0" fontId="0" fillId="11" borderId="15" xfId="0" applyFill="1" applyBorder="1" applyAlignment="1">
      <alignment horizontal="left"/>
    </xf>
    <xf numFmtId="0" fontId="59" fillId="12" borderId="12" xfId="0" applyFont="1" applyFill="1" applyBorder="1" applyAlignment="1">
      <alignment horizontal="right"/>
    </xf>
    <xf numFmtId="0" fontId="11" fillId="12" borderId="57" xfId="0" applyFont="1" applyFill="1" applyBorder="1" applyAlignment="1">
      <alignment horizontal="right"/>
    </xf>
    <xf numFmtId="164" fontId="0" fillId="12" borderId="46" xfId="0" applyNumberFormat="1" applyFill="1" applyBorder="1" applyAlignment="1">
      <alignment horizontal="left"/>
    </xf>
    <xf numFmtId="0" fontId="0" fillId="12" borderId="2" xfId="0" applyFill="1" applyBorder="1" applyAlignment="1">
      <alignment horizontal="right"/>
    </xf>
    <xf numFmtId="0" fontId="11" fillId="12" borderId="37" xfId="0" applyFont="1" applyFill="1" applyBorder="1" applyAlignment="1">
      <alignment horizontal="right"/>
    </xf>
    <xf numFmtId="164" fontId="0" fillId="12" borderId="34" xfId="0" applyNumberFormat="1" applyFill="1" applyBorder="1" applyAlignment="1">
      <alignment horizontal="left"/>
    </xf>
    <xf numFmtId="0" fontId="0" fillId="12" borderId="74" xfId="0" applyFill="1" applyBorder="1" applyAlignment="1">
      <alignment horizontal="right"/>
    </xf>
    <xf numFmtId="0" fontId="11" fillId="12" borderId="87" xfId="0" applyFont="1" applyFill="1" applyBorder="1" applyAlignment="1">
      <alignment horizontal="right"/>
    </xf>
    <xf numFmtId="164" fontId="0" fillId="12" borderId="90" xfId="0" applyNumberFormat="1" applyFill="1" applyBorder="1" applyAlignment="1">
      <alignment horizontal="left"/>
    </xf>
    <xf numFmtId="0" fontId="0" fillId="12" borderId="5" xfId="0" applyFill="1" applyBorder="1" applyAlignment="1">
      <alignment horizontal="right"/>
    </xf>
    <xf numFmtId="0" fontId="11" fillId="12" borderId="39" xfId="0" applyFont="1" applyFill="1" applyBorder="1" applyAlignment="1">
      <alignment horizontal="right"/>
    </xf>
    <xf numFmtId="164" fontId="0" fillId="12" borderId="39" xfId="0" applyNumberFormat="1" applyFill="1" applyBorder="1" applyAlignment="1">
      <alignment horizontal="left"/>
    </xf>
    <xf numFmtId="164" fontId="0" fillId="12" borderId="37" xfId="0" applyNumberFormat="1" applyFill="1" applyBorder="1" applyAlignment="1">
      <alignment horizontal="left"/>
    </xf>
    <xf numFmtId="0" fontId="0" fillId="12" borderId="87" xfId="0" applyFill="1" applyBorder="1" applyAlignment="1">
      <alignment horizontal="right"/>
    </xf>
    <xf numFmtId="164" fontId="0" fillId="12" borderId="87" xfId="0" applyNumberFormat="1" applyFill="1" applyBorder="1" applyAlignment="1">
      <alignment horizontal="left"/>
    </xf>
    <xf numFmtId="164" fontId="0" fillId="12" borderId="86" xfId="0" applyNumberFormat="1" applyFill="1" applyBorder="1" applyAlignment="1">
      <alignment horizontal="left"/>
    </xf>
    <xf numFmtId="0" fontId="0" fillId="12" borderId="86" xfId="0" applyFill="1" applyBorder="1" applyAlignment="1">
      <alignment horizontal="left"/>
    </xf>
    <xf numFmtId="0" fontId="0" fillId="12" borderId="16" xfId="0" applyFill="1" applyBorder="1" applyAlignment="1">
      <alignment horizontal="right"/>
    </xf>
    <xf numFmtId="0" fontId="11" fillId="12" borderId="38" xfId="0" applyFont="1" applyFill="1" applyBorder="1" applyAlignment="1">
      <alignment horizontal="right"/>
    </xf>
    <xf numFmtId="0" fontId="0" fillId="12" borderId="35" xfId="0" applyFill="1" applyBorder="1" applyAlignment="1">
      <alignment horizontal="left"/>
    </xf>
    <xf numFmtId="0" fontId="0" fillId="25" borderId="66" xfId="0" applyFill="1" applyBorder="1" applyAlignment="1">
      <alignment horizontal="right"/>
    </xf>
    <xf numFmtId="0" fontId="6" fillId="25" borderId="66" xfId="0" applyFont="1" applyFill="1" applyBorder="1" applyAlignment="1">
      <alignment horizontal="right"/>
    </xf>
    <xf numFmtId="0" fontId="0" fillId="25" borderId="51" xfId="0" applyFill="1" applyBorder="1" applyAlignment="1">
      <alignment horizontal="left"/>
    </xf>
    <xf numFmtId="0" fontId="0" fillId="25" borderId="38" xfId="0" applyFill="1" applyBorder="1" applyAlignment="1">
      <alignment horizontal="right"/>
    </xf>
    <xf numFmtId="0" fontId="6" fillId="25" borderId="38" xfId="0" applyFont="1" applyFill="1" applyBorder="1" applyAlignment="1">
      <alignment horizontal="right"/>
    </xf>
    <xf numFmtId="0" fontId="0" fillId="25" borderId="15" xfId="0" applyFill="1" applyBorder="1" applyAlignment="1">
      <alignment horizontal="left"/>
    </xf>
    <xf numFmtId="0" fontId="0" fillId="25" borderId="57" xfId="0" applyFill="1" applyBorder="1" applyAlignment="1">
      <alignment horizontal="right"/>
    </xf>
    <xf numFmtId="0" fontId="5" fillId="25" borderId="57" xfId="0" applyFont="1" applyFill="1" applyBorder="1" applyAlignment="1">
      <alignment horizontal="right"/>
    </xf>
    <xf numFmtId="0" fontId="0" fillId="25" borderId="57" xfId="0" applyFill="1" applyBorder="1" applyAlignment="1">
      <alignment horizontal="left"/>
    </xf>
    <xf numFmtId="0" fontId="5" fillId="25" borderId="38" xfId="0" applyFont="1" applyFill="1" applyBorder="1" applyAlignment="1">
      <alignment horizontal="right"/>
    </xf>
    <xf numFmtId="0" fontId="0" fillId="25" borderId="38" xfId="0" applyFill="1" applyBorder="1" applyAlignment="1">
      <alignment horizontal="left"/>
    </xf>
    <xf numFmtId="0" fontId="3" fillId="0" borderId="0" xfId="4" applyFont="1"/>
    <xf numFmtId="0" fontId="91" fillId="12" borderId="65" xfId="0" applyFont="1" applyFill="1" applyBorder="1" applyAlignment="1" applyProtection="1">
      <alignment horizontal="center" vertical="center" wrapText="1"/>
      <protection hidden="1"/>
    </xf>
    <xf numFmtId="0" fontId="216" fillId="0" borderId="0" xfId="4" applyAlignment="1">
      <alignment horizontal="center"/>
    </xf>
    <xf numFmtId="0" fontId="216" fillId="0" borderId="0" xfId="4" applyAlignment="1">
      <alignment horizontal="right"/>
    </xf>
    <xf numFmtId="0" fontId="227" fillId="9" borderId="65" xfId="0" applyFont="1" applyFill="1" applyBorder="1" applyAlignment="1" applyProtection="1">
      <alignment horizontal="center" vertical="center" wrapText="1"/>
      <protection locked="0"/>
    </xf>
    <xf numFmtId="0" fontId="70" fillId="5" borderId="0" xfId="0" applyFont="1" applyFill="1" applyAlignment="1" applyProtection="1">
      <alignment horizontal="left" vertical="top"/>
      <protection locked="0"/>
    </xf>
    <xf numFmtId="165" fontId="70" fillId="5" borderId="0" xfId="0" applyNumberFormat="1" applyFont="1" applyFill="1" applyAlignment="1" applyProtection="1">
      <alignment horizontal="center" vertical="center"/>
      <protection locked="0"/>
    </xf>
    <xf numFmtId="165" fontId="70" fillId="5" borderId="0" xfId="0" applyNumberFormat="1" applyFont="1" applyFill="1" applyAlignment="1" applyProtection="1">
      <alignment horizontal="center" vertical="center" wrapText="1"/>
      <protection locked="0"/>
    </xf>
    <xf numFmtId="49" fontId="40" fillId="0" borderId="52" xfId="0" applyNumberFormat="1" applyFont="1" applyBorder="1" applyAlignment="1" applyProtection="1">
      <alignment horizontal="left" vertical="center" wrapText="1"/>
      <protection locked="0"/>
    </xf>
    <xf numFmtId="0" fontId="84" fillId="0" borderId="31" xfId="0" applyFont="1" applyBorder="1" applyAlignment="1" applyProtection="1">
      <alignment horizontal="center" vertical="center" wrapText="1"/>
      <protection hidden="1"/>
    </xf>
    <xf numFmtId="0" fontId="84" fillId="0" borderId="64" xfId="0" applyFont="1" applyBorder="1" applyAlignment="1" applyProtection="1">
      <alignment horizontal="center" vertical="center" wrapText="1"/>
      <protection hidden="1"/>
    </xf>
    <xf numFmtId="0" fontId="84" fillId="0" borderId="65" xfId="0" applyFont="1" applyBorder="1" applyAlignment="1" applyProtection="1">
      <alignment horizontal="center" vertical="center" wrapText="1"/>
      <protection hidden="1"/>
    </xf>
    <xf numFmtId="0" fontId="91" fillId="26" borderId="66" xfId="0" applyFont="1" applyFill="1" applyBorder="1" applyAlignment="1" applyProtection="1">
      <alignment horizontal="center" vertical="center" wrapText="1"/>
      <protection hidden="1"/>
    </xf>
    <xf numFmtId="0" fontId="88" fillId="12" borderId="66" xfId="0" applyFont="1" applyFill="1" applyBorder="1" applyAlignment="1" applyProtection="1">
      <alignment horizontal="center" vertical="center" wrapText="1"/>
      <protection hidden="1"/>
    </xf>
    <xf numFmtId="0" fontId="91" fillId="26" borderId="53" xfId="0" applyFont="1" applyFill="1" applyBorder="1" applyAlignment="1" applyProtection="1">
      <alignment horizontal="center" vertical="center" wrapText="1"/>
      <protection hidden="1"/>
    </xf>
    <xf numFmtId="0" fontId="91" fillId="26" borderId="50" xfId="0" applyFont="1" applyFill="1" applyBorder="1" applyAlignment="1" applyProtection="1">
      <alignment horizontal="center" vertical="center" wrapText="1"/>
      <protection hidden="1"/>
    </xf>
    <xf numFmtId="0" fontId="91" fillId="26" borderId="69" xfId="0" applyFont="1" applyFill="1" applyBorder="1" applyAlignment="1" applyProtection="1">
      <alignment horizontal="center" vertical="center" wrapText="1"/>
      <protection hidden="1"/>
    </xf>
    <xf numFmtId="0" fontId="92" fillId="26" borderId="66" xfId="0" applyFont="1" applyFill="1" applyBorder="1" applyAlignment="1" applyProtection="1">
      <alignment horizontal="center" vertical="center"/>
      <protection hidden="1"/>
    </xf>
    <xf numFmtId="0" fontId="92" fillId="26" borderId="69" xfId="0" applyFont="1" applyFill="1" applyBorder="1" applyAlignment="1" applyProtection="1">
      <alignment horizontal="center" vertical="center"/>
      <protection hidden="1"/>
    </xf>
    <xf numFmtId="0" fontId="92" fillId="26" borderId="49" xfId="0" applyFont="1" applyFill="1" applyBorder="1" applyAlignment="1" applyProtection="1">
      <alignment horizontal="center" vertical="center"/>
      <protection hidden="1"/>
    </xf>
    <xf numFmtId="0" fontId="230" fillId="11" borderId="26" xfId="0" applyFont="1" applyFill="1" applyBorder="1" applyAlignment="1" applyProtection="1">
      <alignment horizontal="center" vertical="center" wrapText="1"/>
      <protection hidden="1"/>
    </xf>
    <xf numFmtId="0" fontId="230" fillId="11" borderId="3" xfId="0" applyFont="1" applyFill="1" applyBorder="1" applyAlignment="1" applyProtection="1">
      <alignment horizontal="center" vertical="center" wrapText="1"/>
      <protection hidden="1"/>
    </xf>
    <xf numFmtId="0" fontId="230" fillId="11" borderId="8" xfId="0" applyFont="1" applyFill="1" applyBorder="1" applyAlignment="1" applyProtection="1">
      <alignment horizontal="center" vertical="center" wrapText="1"/>
      <protection hidden="1"/>
    </xf>
    <xf numFmtId="0" fontId="231" fillId="0" borderId="0" xfId="0" applyFont="1" applyProtection="1">
      <protection locked="0" hidden="1"/>
    </xf>
    <xf numFmtId="0" fontId="222" fillId="0" borderId="0" xfId="0" applyFont="1" applyAlignment="1">
      <alignment horizontal="center"/>
    </xf>
    <xf numFmtId="0" fontId="222" fillId="0" borderId="0" xfId="0" applyFont="1" applyAlignment="1">
      <alignment horizontal="left"/>
    </xf>
    <xf numFmtId="0" fontId="232" fillId="27" borderId="163" xfId="0" applyFont="1" applyFill="1" applyBorder="1" applyAlignment="1">
      <alignment horizontal="right"/>
    </xf>
    <xf numFmtId="0" fontId="167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167" fillId="0" borderId="0" xfId="0" applyFont="1" applyAlignment="1">
      <alignment horizontal="left" vertical="center"/>
    </xf>
    <xf numFmtId="0" fontId="167" fillId="0" borderId="0" xfId="0" applyFont="1" applyAlignment="1">
      <alignment vertical="top" wrapText="1"/>
    </xf>
    <xf numFmtId="172" fontId="167" fillId="0" borderId="0" xfId="0" applyNumberFormat="1" applyFont="1" applyAlignment="1">
      <alignment horizontal="right" vertical="center" indent="2"/>
    </xf>
    <xf numFmtId="0" fontId="70" fillId="5" borderId="0" xfId="0" applyFont="1" applyFill="1" applyAlignment="1" applyProtection="1">
      <alignment horizontal="left" vertical="center" wrapText="1"/>
      <protection locked="0"/>
    </xf>
    <xf numFmtId="0" fontId="70" fillId="5" borderId="0" xfId="0" applyFont="1" applyFill="1" applyAlignment="1" applyProtection="1">
      <alignment horizontal="left" vertical="center"/>
      <protection locked="0"/>
    </xf>
    <xf numFmtId="165" fontId="59" fillId="17" borderId="4" xfId="5" applyNumberFormat="1" applyFont="1" applyFill="1" applyBorder="1" applyProtection="1">
      <protection locked="0"/>
    </xf>
    <xf numFmtId="165" fontId="59" fillId="17" borderId="4" xfId="5" applyNumberFormat="1" applyFont="1" applyFill="1" applyBorder="1" applyAlignment="1" applyProtection="1">
      <alignment horizontal="left" vertical="center"/>
      <protection locked="0"/>
    </xf>
    <xf numFmtId="165" fontId="59" fillId="17" borderId="4" xfId="5" applyNumberFormat="1" applyFont="1" applyFill="1" applyBorder="1" applyAlignment="1" applyProtection="1">
      <alignment horizontal="left"/>
      <protection locked="0"/>
    </xf>
    <xf numFmtId="0" fontId="69" fillId="18" borderId="37" xfId="0" applyFont="1" applyFill="1" applyBorder="1" applyAlignment="1" applyProtection="1">
      <alignment horizontal="center" vertical="center" wrapText="1"/>
      <protection locked="0"/>
    </xf>
    <xf numFmtId="0" fontId="69" fillId="18" borderId="38" xfId="0" applyFont="1" applyFill="1" applyBorder="1" applyAlignment="1" applyProtection="1">
      <alignment horizontal="center" vertical="center" wrapText="1"/>
      <protection locked="0"/>
    </xf>
    <xf numFmtId="0" fontId="59" fillId="0" borderId="66" xfId="0" applyFont="1" applyBorder="1" applyAlignment="1" applyProtection="1">
      <alignment horizontal="left" vertical="center" indent="1"/>
      <protection locked="0"/>
    </xf>
    <xf numFmtId="0" fontId="59" fillId="0" borderId="68" xfId="0" applyFont="1" applyBorder="1" applyAlignment="1" applyProtection="1">
      <alignment horizontal="left" vertical="center" indent="1"/>
      <protection locked="0"/>
    </xf>
    <xf numFmtId="0" fontId="40" fillId="0" borderId="65" xfId="0" applyFont="1" applyBorder="1" applyAlignment="1" applyProtection="1">
      <alignment horizontal="center"/>
      <protection locked="0"/>
    </xf>
    <xf numFmtId="49" fontId="40" fillId="0" borderId="60" xfId="0" quotePrefix="1" applyNumberFormat="1" applyFont="1" applyBorder="1" applyAlignment="1" applyProtection="1">
      <alignment horizontal="center" vertical="center" wrapText="1"/>
      <protection locked="0"/>
    </xf>
    <xf numFmtId="49" fontId="40" fillId="0" borderId="27" xfId="0" quotePrefix="1" applyNumberFormat="1" applyFont="1" applyBorder="1" applyAlignment="1" applyProtection="1">
      <alignment horizontal="center" vertical="center" wrapText="1"/>
      <protection locked="0"/>
    </xf>
    <xf numFmtId="49" fontId="40" fillId="0" borderId="63" xfId="0" quotePrefix="1" applyNumberFormat="1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/>
      <protection locked="0"/>
    </xf>
    <xf numFmtId="0" fontId="69" fillId="18" borderId="68" xfId="0" applyFont="1" applyFill="1" applyBorder="1" applyAlignment="1" applyProtection="1">
      <alignment horizontal="center" wrapText="1"/>
      <protection locked="0"/>
    </xf>
    <xf numFmtId="0" fontId="70" fillId="5" borderId="0" xfId="0" applyFont="1" applyFill="1" applyAlignment="1" applyProtection="1">
      <alignment horizontal="left" vertical="top" wrapText="1"/>
      <protection locked="0"/>
    </xf>
    <xf numFmtId="165" fontId="70" fillId="5" borderId="0" xfId="0" applyNumberFormat="1" applyFont="1" applyFill="1" applyAlignment="1" applyProtection="1">
      <alignment horizontal="center" wrapText="1"/>
      <protection locked="0"/>
    </xf>
    <xf numFmtId="0" fontId="69" fillId="18" borderId="67" xfId="0" applyFont="1" applyFill="1" applyBorder="1" applyAlignment="1" applyProtection="1">
      <alignment horizontal="center" wrapText="1"/>
      <protection locked="0"/>
    </xf>
    <xf numFmtId="0" fontId="228" fillId="5" borderId="0" xfId="0" applyFont="1" applyFill="1" applyAlignment="1" applyProtection="1">
      <alignment horizontal="left" vertical="top"/>
      <protection locked="0"/>
    </xf>
    <xf numFmtId="165" fontId="228" fillId="5" borderId="0" xfId="0" applyNumberFormat="1" applyFont="1" applyFill="1" applyAlignment="1" applyProtection="1">
      <alignment horizontal="center" vertical="center"/>
      <protection locked="0"/>
    </xf>
    <xf numFmtId="0" fontId="69" fillId="26" borderId="54" xfId="0" applyFont="1" applyFill="1" applyBorder="1" applyAlignment="1" applyProtection="1">
      <alignment horizontal="center" vertical="center"/>
      <protection locked="0"/>
    </xf>
    <xf numFmtId="0" fontId="40" fillId="5" borderId="54" xfId="0" applyFont="1" applyFill="1" applyBorder="1" applyAlignment="1" applyProtection="1">
      <alignment horizontal="left" vertical="top"/>
      <protection locked="0"/>
    </xf>
    <xf numFmtId="165" fontId="40" fillId="5" borderId="0" xfId="0" applyNumberFormat="1" applyFont="1" applyFill="1" applyAlignment="1" applyProtection="1">
      <alignment horizontal="center"/>
      <protection locked="0"/>
    </xf>
    <xf numFmtId="0" fontId="40" fillId="5" borderId="0" xfId="0" applyFont="1" applyFill="1" applyAlignment="1" applyProtection="1">
      <alignment horizontal="left" vertical="top"/>
      <protection locked="0"/>
    </xf>
    <xf numFmtId="0" fontId="69" fillId="18" borderId="39" xfId="0" applyFont="1" applyFill="1" applyBorder="1" applyAlignment="1" applyProtection="1">
      <alignment horizontal="center" vertical="center" wrapText="1"/>
      <protection locked="0"/>
    </xf>
    <xf numFmtId="0" fontId="70" fillId="5" borderId="5" xfId="0" applyFont="1" applyFill="1" applyBorder="1" applyAlignment="1" applyProtection="1">
      <alignment horizontal="left" vertical="top" wrapText="1"/>
      <protection locked="0"/>
    </xf>
    <xf numFmtId="165" fontId="70" fillId="5" borderId="5" xfId="0" applyNumberFormat="1" applyFont="1" applyFill="1" applyBorder="1" applyAlignment="1" applyProtection="1">
      <alignment horizontal="center" vertical="center" wrapText="1"/>
      <protection locked="0"/>
    </xf>
    <xf numFmtId="0" fontId="70" fillId="5" borderId="2" xfId="0" applyFont="1" applyFill="1" applyBorder="1" applyAlignment="1" applyProtection="1">
      <alignment horizontal="left" vertical="top" wrapText="1"/>
      <protection locked="0"/>
    </xf>
    <xf numFmtId="165" fontId="70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70" fillId="5" borderId="7" xfId="0" applyFont="1" applyFill="1" applyBorder="1" applyAlignment="1" applyProtection="1">
      <alignment horizontal="left" vertical="top" wrapText="1"/>
      <protection locked="0"/>
    </xf>
    <xf numFmtId="165" fontId="70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53" fillId="11" borderId="73" xfId="0" applyFont="1" applyFill="1" applyBorder="1" applyAlignment="1" applyProtection="1">
      <alignment horizontal="center" vertical="center" wrapText="1"/>
      <protection locked="0"/>
    </xf>
    <xf numFmtId="0" fontId="153" fillId="11" borderId="29" xfId="0" applyFont="1" applyFill="1" applyBorder="1" applyAlignment="1" applyProtection="1">
      <alignment horizontal="center" vertical="center" wrapText="1"/>
      <protection locked="0"/>
    </xf>
    <xf numFmtId="0" fontId="153" fillId="11" borderId="59" xfId="0" applyFont="1" applyFill="1" applyBorder="1" applyAlignment="1" applyProtection="1">
      <alignment horizontal="center" vertical="center" wrapText="1"/>
      <protection locked="0"/>
    </xf>
    <xf numFmtId="0" fontId="153" fillId="11" borderId="55" xfId="0" applyFont="1" applyFill="1" applyBorder="1" applyAlignment="1" applyProtection="1">
      <alignment horizontal="center" vertical="center" wrapText="1"/>
      <protection locked="0"/>
    </xf>
    <xf numFmtId="0" fontId="153" fillId="11" borderId="54" xfId="0" applyFont="1" applyFill="1" applyBorder="1" applyAlignment="1" applyProtection="1">
      <alignment horizontal="center" vertical="center" wrapText="1"/>
      <protection locked="0"/>
    </xf>
    <xf numFmtId="0" fontId="153" fillId="11" borderId="0" xfId="0" applyFont="1" applyFill="1" applyAlignment="1" applyProtection="1">
      <alignment horizontal="center" vertical="center" wrapText="1"/>
      <protection locked="0"/>
    </xf>
    <xf numFmtId="0" fontId="69" fillId="26" borderId="68" xfId="0" applyFont="1" applyFill="1" applyBorder="1" applyAlignment="1" applyProtection="1">
      <alignment horizontal="center" vertical="center" wrapText="1"/>
      <protection locked="0"/>
    </xf>
    <xf numFmtId="0" fontId="153" fillId="11" borderId="42" xfId="0" applyFont="1" applyFill="1" applyBorder="1" applyAlignment="1" applyProtection="1">
      <alignment horizontal="center" vertical="center" wrapText="1"/>
      <protection locked="0"/>
    </xf>
    <xf numFmtId="0" fontId="153" fillId="11" borderId="4" xfId="0" applyFont="1" applyFill="1" applyBorder="1" applyAlignment="1" applyProtection="1">
      <alignment horizontal="center" vertical="center" wrapText="1"/>
      <protection locked="0"/>
    </xf>
    <xf numFmtId="0" fontId="153" fillId="11" borderId="14" xfId="0" applyFont="1" applyFill="1" applyBorder="1" applyAlignment="1" applyProtection="1">
      <alignment horizontal="center" vertical="center" wrapText="1"/>
      <protection locked="0"/>
    </xf>
    <xf numFmtId="0" fontId="153" fillId="11" borderId="24" xfId="0" applyFont="1" applyFill="1" applyBorder="1" applyAlignment="1" applyProtection="1">
      <alignment horizontal="center" vertical="center" wrapText="1"/>
      <protection locked="0"/>
    </xf>
    <xf numFmtId="0" fontId="153" fillId="11" borderId="18" xfId="0" applyFont="1" applyFill="1" applyBorder="1" applyAlignment="1" applyProtection="1">
      <alignment horizontal="center" vertical="center" wrapText="1"/>
      <protection locked="0"/>
    </xf>
    <xf numFmtId="0" fontId="153" fillId="11" borderId="20" xfId="0" applyFont="1" applyFill="1" applyBorder="1" applyAlignment="1" applyProtection="1">
      <alignment horizontal="center" vertical="center" wrapText="1"/>
      <protection locked="0"/>
    </xf>
    <xf numFmtId="0" fontId="153" fillId="11" borderId="56" xfId="0" applyFont="1" applyFill="1" applyBorder="1" applyAlignment="1" applyProtection="1">
      <alignment horizontal="center" vertical="center" wrapText="1"/>
      <protection locked="0"/>
    </xf>
    <xf numFmtId="0" fontId="153" fillId="11" borderId="43" xfId="0" applyFont="1" applyFill="1" applyBorder="1" applyAlignment="1" applyProtection="1">
      <alignment horizontal="center" vertical="center" wrapText="1"/>
      <protection locked="0"/>
    </xf>
    <xf numFmtId="0" fontId="153" fillId="11" borderId="44" xfId="0" applyFont="1" applyFill="1" applyBorder="1" applyAlignment="1" applyProtection="1">
      <alignment horizontal="center" vertical="center" wrapText="1"/>
      <protection locked="0"/>
    </xf>
    <xf numFmtId="0" fontId="69" fillId="26" borderId="67" xfId="0" applyFont="1" applyFill="1" applyBorder="1" applyAlignment="1" applyProtection="1">
      <alignment horizontal="center" vertical="center" wrapText="1"/>
      <protection locked="0"/>
    </xf>
    <xf numFmtId="0" fontId="69" fillId="26" borderId="55" xfId="0" applyFont="1" applyFill="1" applyBorder="1" applyAlignment="1" applyProtection="1">
      <alignment horizontal="center" vertical="center" wrapText="1"/>
      <protection locked="0"/>
    </xf>
    <xf numFmtId="0" fontId="152" fillId="11" borderId="0" xfId="0" applyFont="1" applyFill="1" applyAlignment="1" applyProtection="1">
      <alignment horizontal="center"/>
      <protection locked="0"/>
    </xf>
    <xf numFmtId="0" fontId="152" fillId="11" borderId="21" xfId="0" applyFont="1" applyFill="1" applyBorder="1" applyAlignment="1" applyProtection="1">
      <alignment horizontal="center"/>
      <protection locked="0"/>
    </xf>
    <xf numFmtId="0" fontId="152" fillId="11" borderId="12" xfId="0" applyFont="1" applyFill="1" applyBorder="1" applyAlignment="1" applyProtection="1">
      <alignment horizontal="center"/>
      <protection locked="0"/>
    </xf>
    <xf numFmtId="0" fontId="70" fillId="11" borderId="54" xfId="0" applyFont="1" applyFill="1" applyBorder="1" applyAlignment="1" applyProtection="1">
      <alignment horizontal="left"/>
      <protection locked="0"/>
    </xf>
    <xf numFmtId="0" fontId="70" fillId="11" borderId="55" xfId="0" applyFont="1" applyFill="1" applyBorder="1" applyAlignment="1" applyProtection="1">
      <alignment horizontal="left"/>
      <protection locked="0"/>
    </xf>
    <xf numFmtId="0" fontId="69" fillId="26" borderId="68" xfId="0" applyFont="1" applyFill="1" applyBorder="1" applyAlignment="1" applyProtection="1">
      <alignment horizontal="center" vertical="center"/>
      <protection locked="0"/>
    </xf>
    <xf numFmtId="0" fontId="70" fillId="5" borderId="0" xfId="0" applyFont="1" applyFill="1" applyProtection="1">
      <protection locked="0"/>
    </xf>
    <xf numFmtId="165" fontId="70" fillId="5" borderId="0" xfId="0" applyNumberFormat="1" applyFont="1" applyFill="1" applyAlignment="1" applyProtection="1">
      <alignment horizontal="center"/>
      <protection locked="0"/>
    </xf>
    <xf numFmtId="0" fontId="152" fillId="11" borderId="42" xfId="0" applyFont="1" applyFill="1" applyBorder="1" applyAlignment="1" applyProtection="1">
      <alignment horizontal="center"/>
      <protection locked="0"/>
    </xf>
    <xf numFmtId="0" fontId="152" fillId="11" borderId="2" xfId="0" applyFont="1" applyFill="1" applyBorder="1" applyAlignment="1" applyProtection="1">
      <alignment horizontal="center"/>
      <protection locked="0"/>
    </xf>
    <xf numFmtId="0" fontId="152" fillId="11" borderId="24" xfId="0" applyFont="1" applyFill="1" applyBorder="1" applyAlignment="1" applyProtection="1">
      <alignment horizontal="center"/>
      <protection locked="0"/>
    </xf>
    <xf numFmtId="0" fontId="152" fillId="11" borderId="16" xfId="0" applyFont="1" applyFill="1" applyBorder="1" applyAlignment="1" applyProtection="1">
      <alignment horizontal="center"/>
      <protection locked="0"/>
    </xf>
    <xf numFmtId="0" fontId="70" fillId="11" borderId="43" xfId="0" applyFont="1" applyFill="1" applyBorder="1" applyAlignment="1" applyProtection="1">
      <alignment horizontal="left"/>
      <protection locked="0"/>
    </xf>
    <xf numFmtId="0" fontId="70" fillId="11" borderId="56" xfId="0" applyFont="1" applyFill="1" applyBorder="1" applyAlignment="1" applyProtection="1">
      <alignment horizontal="left"/>
      <protection locked="0"/>
    </xf>
    <xf numFmtId="0" fontId="69" fillId="26" borderId="67" xfId="0" applyFont="1" applyFill="1" applyBorder="1" applyAlignment="1" applyProtection="1">
      <alignment horizontal="center" vertical="center"/>
      <protection locked="0"/>
    </xf>
    <xf numFmtId="0" fontId="233" fillId="0" borderId="0" xfId="0" applyFont="1" applyAlignment="1">
      <alignment horizontal="center"/>
    </xf>
    <xf numFmtId="173" fontId="222" fillId="0" borderId="0" xfId="5" applyNumberFormat="1" applyFont="1" applyAlignment="1" applyProtection="1">
      <alignment horizontal="right" indent="1"/>
      <protection locked="0"/>
    </xf>
    <xf numFmtId="174" fontId="222" fillId="0" borderId="0" xfId="5" applyNumberFormat="1" applyFont="1" applyAlignment="1" applyProtection="1">
      <alignment horizontal="right" indent="1"/>
      <protection locked="0"/>
    </xf>
    <xf numFmtId="175" fontId="222" fillId="0" borderId="0" xfId="5" applyNumberFormat="1" applyFont="1" applyAlignment="1" applyProtection="1">
      <alignment horizontal="right" indent="1"/>
      <protection locked="0"/>
    </xf>
    <xf numFmtId="176" fontId="222" fillId="0" borderId="0" xfId="5" applyNumberFormat="1" applyFont="1" applyAlignment="1" applyProtection="1">
      <alignment horizontal="right" indent="1"/>
      <protection locked="0"/>
    </xf>
    <xf numFmtId="0" fontId="0" fillId="21" borderId="4" xfId="0" applyFill="1" applyBorder="1" applyAlignment="1">
      <alignment horizontal="left" vertical="center"/>
    </xf>
    <xf numFmtId="0" fontId="40" fillId="0" borderId="0" xfId="0" applyFont="1" applyAlignment="1" applyProtection="1">
      <alignment vertical="center"/>
      <protection locked="0"/>
    </xf>
    <xf numFmtId="0" fontId="40" fillId="0" borderId="0" xfId="0" applyFont="1" applyAlignment="1" applyProtection="1">
      <alignment horizontal="center"/>
      <protection locked="0"/>
    </xf>
    <xf numFmtId="0" fontId="84" fillId="19" borderId="44" xfId="0" applyFont="1" applyFill="1" applyBorder="1" applyAlignment="1" applyProtection="1">
      <alignment horizontal="center" vertical="center" wrapText="1"/>
      <protection locked="0"/>
    </xf>
    <xf numFmtId="0" fontId="84" fillId="19" borderId="44" xfId="0" quotePrefix="1" applyFont="1" applyFill="1" applyBorder="1" applyAlignment="1" applyProtection="1">
      <alignment horizontal="center" vertical="center" wrapText="1"/>
      <protection locked="0"/>
    </xf>
    <xf numFmtId="0" fontId="84" fillId="19" borderId="36" xfId="0" quotePrefix="1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Protection="1">
      <protection locked="0"/>
    </xf>
    <xf numFmtId="0" fontId="40" fillId="0" borderId="0" xfId="0" applyFont="1" applyAlignment="1" applyProtection="1">
      <alignment horizontal="center" wrapText="1"/>
      <protection locked="0"/>
    </xf>
    <xf numFmtId="0" fontId="15" fillId="0" borderId="0" xfId="0" applyFont="1" applyProtection="1">
      <protection locked="0"/>
    </xf>
    <xf numFmtId="0" fontId="210" fillId="19" borderId="50" xfId="0" quotePrefix="1" applyFont="1" applyFill="1" applyBorder="1" applyAlignment="1" applyProtection="1">
      <alignment horizontal="center" vertical="center" wrapText="1"/>
      <protection locked="0"/>
    </xf>
    <xf numFmtId="0" fontId="210" fillId="19" borderId="71" xfId="0" applyFont="1" applyFill="1" applyBorder="1" applyAlignment="1" applyProtection="1">
      <alignment horizontal="center" vertical="center" wrapText="1"/>
      <protection locked="0"/>
    </xf>
    <xf numFmtId="0" fontId="210" fillId="19" borderId="47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 applyProtection="1">
      <alignment horizontal="center"/>
      <protection locked="0"/>
    </xf>
    <xf numFmtId="0" fontId="45" fillId="0" borderId="0" xfId="0" applyFont="1" applyProtection="1">
      <protection locked="0"/>
    </xf>
    <xf numFmtId="0" fontId="40" fillId="0" borderId="0" xfId="0" applyFont="1" applyAlignment="1" applyProtection="1">
      <alignment horizontal="left" vertical="center" wrapText="1"/>
      <protection locked="0"/>
    </xf>
    <xf numFmtId="0" fontId="40" fillId="0" borderId="0" xfId="0" applyFont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wrapText="1"/>
      <protection locked="0"/>
    </xf>
    <xf numFmtId="0" fontId="210" fillId="19" borderId="162" xfId="0" applyFont="1" applyFill="1" applyBorder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left" vertical="top" indent="1"/>
      <protection locked="0"/>
    </xf>
    <xf numFmtId="0" fontId="19" fillId="0" borderId="0" xfId="1" applyProtection="1">
      <protection locked="0"/>
    </xf>
    <xf numFmtId="0" fontId="46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210" fillId="19" borderId="32" xfId="0" applyFont="1" applyFill="1" applyBorder="1" applyAlignment="1" applyProtection="1">
      <alignment horizontal="center" vertical="center" wrapText="1"/>
      <protection locked="0"/>
    </xf>
    <xf numFmtId="0" fontId="40" fillId="19" borderId="44" xfId="0" applyFont="1" applyFill="1" applyBorder="1" applyProtection="1">
      <protection locked="0"/>
    </xf>
    <xf numFmtId="0" fontId="210" fillId="19" borderId="56" xfId="0" applyFont="1" applyFill="1" applyBorder="1" applyAlignment="1" applyProtection="1">
      <alignment horizontal="center" vertical="center" wrapText="1"/>
      <protection locked="0"/>
    </xf>
    <xf numFmtId="0" fontId="210" fillId="19" borderId="49" xfId="0" quotePrefix="1" applyFont="1" applyFill="1" applyBorder="1" applyAlignment="1" applyProtection="1">
      <alignment horizontal="center" vertical="center" wrapText="1"/>
      <protection locked="0"/>
    </xf>
    <xf numFmtId="0" fontId="234" fillId="26" borderId="55" xfId="0" applyFont="1" applyFill="1" applyBorder="1" applyAlignment="1">
      <alignment horizontal="center" vertical="center"/>
    </xf>
    <xf numFmtId="0" fontId="128" fillId="0" borderId="0" xfId="5" applyAlignment="1" applyProtection="1">
      <alignment horizontal="center" vertical="top"/>
      <protection locked="0"/>
    </xf>
    <xf numFmtId="0" fontId="59" fillId="0" borderId="0" xfId="6" applyFont="1" applyAlignment="1" applyProtection="1">
      <alignment horizontal="center" vertical="top"/>
      <protection locked="0"/>
    </xf>
    <xf numFmtId="0" fontId="7" fillId="0" borderId="0" xfId="6" applyAlignment="1" applyProtection="1">
      <alignment vertical="top"/>
      <protection locked="0"/>
    </xf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43" xfId="0" applyBorder="1"/>
    <xf numFmtId="0" fontId="0" fillId="0" borderId="44" xfId="0" applyBorder="1"/>
    <xf numFmtId="0" fontId="0" fillId="0" borderId="56" xfId="0" applyBorder="1"/>
    <xf numFmtId="0" fontId="0" fillId="22" borderId="0" xfId="0" applyFill="1"/>
    <xf numFmtId="0" fontId="0" fillId="22" borderId="0" xfId="0" applyFill="1" applyAlignment="1">
      <alignment horizontal="center" vertical="center"/>
    </xf>
    <xf numFmtId="0" fontId="88" fillId="12" borderId="39" xfId="0" applyFont="1" applyFill="1" applyBorder="1" applyAlignment="1">
      <alignment horizontal="right" vertical="center" wrapText="1"/>
    </xf>
    <xf numFmtId="0" fontId="88" fillId="12" borderId="37" xfId="0" applyFont="1" applyFill="1" applyBorder="1" applyAlignment="1">
      <alignment horizontal="right" vertical="center" wrapText="1"/>
    </xf>
    <xf numFmtId="0" fontId="156" fillId="12" borderId="37" xfId="0" applyFont="1" applyFill="1" applyBorder="1" applyAlignment="1">
      <alignment horizontal="right" vertical="center" wrapText="1"/>
    </xf>
    <xf numFmtId="0" fontId="156" fillId="12" borderId="38" xfId="0" applyFont="1" applyFill="1" applyBorder="1" applyAlignment="1">
      <alignment horizontal="right" vertical="center" wrapText="1"/>
    </xf>
    <xf numFmtId="0" fontId="213" fillId="0" borderId="57" xfId="0" applyFont="1" applyBorder="1" applyAlignment="1">
      <alignment horizontal="left"/>
    </xf>
    <xf numFmtId="0" fontId="213" fillId="0" borderId="37" xfId="0" applyFont="1" applyBorder="1" applyAlignment="1">
      <alignment horizontal="left"/>
    </xf>
    <xf numFmtId="0" fontId="213" fillId="0" borderId="38" xfId="0" applyFont="1" applyBorder="1" applyAlignment="1">
      <alignment horizontal="left"/>
    </xf>
    <xf numFmtId="0" fontId="59" fillId="2" borderId="49" xfId="0" applyFont="1" applyFill="1" applyBorder="1" applyAlignment="1">
      <alignment horizontal="center" vertical="center"/>
    </xf>
    <xf numFmtId="0" fontId="59" fillId="2" borderId="58" xfId="0" applyFont="1" applyFill="1" applyBorder="1" applyAlignment="1">
      <alignment horizontal="center" vertical="center"/>
    </xf>
    <xf numFmtId="0" fontId="59" fillId="2" borderId="6" xfId="0" applyFont="1" applyFill="1" applyBorder="1" applyAlignment="1">
      <alignment horizontal="center" vertical="center"/>
    </xf>
    <xf numFmtId="0" fontId="59" fillId="2" borderId="15" xfId="0" applyFont="1" applyFill="1" applyBorder="1" applyAlignment="1">
      <alignment horizontal="center" vertical="center"/>
    </xf>
    <xf numFmtId="0" fontId="210" fillId="12" borderId="37" xfId="0" applyFont="1" applyFill="1" applyBorder="1" applyAlignment="1">
      <alignment horizontal="right" vertical="center" wrapText="1"/>
    </xf>
    <xf numFmtId="0" fontId="213" fillId="0" borderId="39" xfId="0" applyFont="1" applyBorder="1" applyAlignment="1">
      <alignment horizontal="left"/>
    </xf>
    <xf numFmtId="0" fontId="59" fillId="2" borderId="58" xfId="0" applyFont="1" applyFill="1" applyBorder="1" applyAlignment="1">
      <alignment horizontal="center"/>
    </xf>
    <xf numFmtId="0" fontId="59" fillId="2" borderId="6" xfId="0" applyFont="1" applyFill="1" applyBorder="1" applyAlignment="1">
      <alignment horizontal="center"/>
    </xf>
    <xf numFmtId="0" fontId="59" fillId="2" borderId="15" xfId="0" applyFont="1" applyFill="1" applyBorder="1" applyAlignment="1">
      <alignment horizontal="center"/>
    </xf>
    <xf numFmtId="0" fontId="59" fillId="2" borderId="5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9" fillId="2" borderId="16" xfId="0" applyFont="1" applyFill="1" applyBorder="1" applyAlignment="1">
      <alignment horizontal="center" vertical="center"/>
    </xf>
    <xf numFmtId="0" fontId="59" fillId="2" borderId="39" xfId="0" applyFont="1" applyFill="1" applyBorder="1" applyAlignment="1">
      <alignment horizontal="center"/>
    </xf>
    <xf numFmtId="0" fontId="59" fillId="2" borderId="37" xfId="0" applyFont="1" applyFill="1" applyBorder="1" applyAlignment="1">
      <alignment horizontal="center"/>
    </xf>
    <xf numFmtId="0" fontId="59" fillId="2" borderId="38" xfId="0" applyFont="1" applyFill="1" applyBorder="1" applyAlignment="1">
      <alignment horizontal="center"/>
    </xf>
    <xf numFmtId="0" fontId="59" fillId="2" borderId="36" xfId="0" applyFont="1" applyFill="1" applyBorder="1" applyAlignment="1">
      <alignment horizontal="center" vertical="center"/>
    </xf>
    <xf numFmtId="0" fontId="59" fillId="2" borderId="39" xfId="0" applyFont="1" applyFill="1" applyBorder="1" applyAlignment="1">
      <alignment horizontal="center" vertical="center"/>
    </xf>
    <xf numFmtId="0" fontId="59" fillId="2" borderId="67" xfId="0" applyFont="1" applyFill="1" applyBorder="1" applyAlignment="1">
      <alignment horizontal="center" vertical="center"/>
    </xf>
    <xf numFmtId="0" fontId="88" fillId="12" borderId="11" xfId="0" applyFont="1" applyFill="1" applyBorder="1" applyAlignment="1">
      <alignment horizontal="right" vertical="center" wrapText="1"/>
    </xf>
    <xf numFmtId="0" fontId="59" fillId="2" borderId="57" xfId="0" applyFont="1" applyFill="1" applyBorder="1" applyAlignment="1">
      <alignment horizontal="center" vertical="center"/>
    </xf>
    <xf numFmtId="0" fontId="88" fillId="12" borderId="6" xfId="0" applyFont="1" applyFill="1" applyBorder="1" applyAlignment="1">
      <alignment horizontal="right" vertical="center" wrapText="1"/>
    </xf>
    <xf numFmtId="0" fontId="156" fillId="12" borderId="6" xfId="0" applyFont="1" applyFill="1" applyBorder="1" applyAlignment="1">
      <alignment horizontal="right" vertical="center" wrapText="1"/>
    </xf>
    <xf numFmtId="0" fontId="156" fillId="12" borderId="15" xfId="0" applyFont="1" applyFill="1" applyBorder="1" applyAlignment="1">
      <alignment horizontal="right" vertical="center" wrapText="1"/>
    </xf>
    <xf numFmtId="0" fontId="59" fillId="2" borderId="69" xfId="0" applyFont="1" applyFill="1" applyBorder="1" applyAlignment="1">
      <alignment horizontal="center" vertical="center"/>
    </xf>
    <xf numFmtId="0" fontId="88" fillId="12" borderId="21" xfId="0" applyFont="1" applyFill="1" applyBorder="1" applyAlignment="1">
      <alignment horizontal="right" vertical="center"/>
    </xf>
    <xf numFmtId="0" fontId="88" fillId="12" borderId="42" xfId="0" applyFont="1" applyFill="1" applyBorder="1" applyAlignment="1">
      <alignment horizontal="right" vertical="center"/>
    </xf>
    <xf numFmtId="0" fontId="213" fillId="0" borderId="55" xfId="0" applyFont="1" applyBorder="1" applyAlignment="1">
      <alignment horizontal="left"/>
    </xf>
    <xf numFmtId="0" fontId="156" fillId="12" borderId="42" xfId="0" applyFont="1" applyFill="1" applyBorder="1" applyAlignment="1">
      <alignment horizontal="right" vertical="center"/>
    </xf>
    <xf numFmtId="0" fontId="156" fillId="12" borderId="42" xfId="0" applyFont="1" applyFill="1" applyBorder="1" applyAlignment="1">
      <alignment horizontal="right" vertical="center" wrapText="1"/>
    </xf>
    <xf numFmtId="0" fontId="156" fillId="12" borderId="24" xfId="0" applyFont="1" applyFill="1" applyBorder="1" applyAlignment="1">
      <alignment horizontal="right" vertical="center" wrapText="1"/>
    </xf>
    <xf numFmtId="0" fontId="211" fillId="12" borderId="21" xfId="0" applyFont="1" applyFill="1" applyBorder="1" applyAlignment="1">
      <alignment horizontal="right" vertical="center" wrapText="1"/>
    </xf>
    <xf numFmtId="0" fontId="210" fillId="12" borderId="42" xfId="0" applyFont="1" applyFill="1" applyBorder="1" applyAlignment="1">
      <alignment horizontal="right" vertical="center" wrapText="1"/>
    </xf>
    <xf numFmtId="0" fontId="88" fillId="12" borderId="42" xfId="0" applyFont="1" applyFill="1" applyBorder="1" applyAlignment="1">
      <alignment horizontal="right" vertical="center" wrapText="1"/>
    </xf>
    <xf numFmtId="0" fontId="212" fillId="0" borderId="0" xfId="0" applyFont="1" applyAlignment="1">
      <alignment horizontal="center"/>
    </xf>
    <xf numFmtId="0" fontId="0" fillId="22" borderId="51" xfId="0" applyFill="1" applyBorder="1"/>
    <xf numFmtId="0" fontId="0" fillId="22" borderId="52" xfId="0" applyFill="1" applyBorder="1"/>
    <xf numFmtId="0" fontId="0" fillId="22" borderId="53" xfId="0" applyFill="1" applyBorder="1"/>
    <xf numFmtId="0" fontId="0" fillId="22" borderId="54" xfId="0" applyFill="1" applyBorder="1"/>
    <xf numFmtId="0" fontId="0" fillId="22" borderId="55" xfId="0" applyFill="1" applyBorder="1"/>
    <xf numFmtId="0" fontId="0" fillId="22" borderId="43" xfId="0" applyFill="1" applyBorder="1"/>
    <xf numFmtId="0" fontId="0" fillId="22" borderId="44" xfId="0" applyFill="1" applyBorder="1"/>
    <xf numFmtId="0" fontId="0" fillId="22" borderId="56" xfId="0" applyFill="1" applyBorder="1"/>
    <xf numFmtId="0" fontId="0" fillId="0" borderId="4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59" fillId="22" borderId="0" xfId="0" applyFont="1" applyFill="1"/>
    <xf numFmtId="0" fontId="0" fillId="22" borderId="49" xfId="0" applyFill="1" applyBorder="1"/>
    <xf numFmtId="0" fontId="0" fillId="22" borderId="68" xfId="0" applyFill="1" applyBorder="1"/>
    <xf numFmtId="0" fontId="59" fillId="22" borderId="68" xfId="0" applyFont="1" applyFill="1" applyBorder="1"/>
    <xf numFmtId="0" fontId="213" fillId="22" borderId="68" xfId="0" applyFont="1" applyFill="1" applyBorder="1" applyAlignment="1">
      <alignment horizontal="left"/>
    </xf>
    <xf numFmtId="0" fontId="88" fillId="12" borderId="73" xfId="0" applyFont="1" applyFill="1" applyBorder="1" applyAlignment="1">
      <alignment horizontal="right" vertical="center" wrapText="1"/>
    </xf>
    <xf numFmtId="0" fontId="88" fillId="12" borderId="24" xfId="0" applyFont="1" applyFill="1" applyBorder="1" applyAlignment="1">
      <alignment horizontal="right" vertical="center" wrapText="1"/>
    </xf>
    <xf numFmtId="0" fontId="59" fillId="2" borderId="11" xfId="0" applyFont="1" applyFill="1" applyBorder="1" applyAlignment="1">
      <alignment horizontal="center" vertical="center"/>
    </xf>
    <xf numFmtId="0" fontId="211" fillId="12" borderId="57" xfId="0" applyFont="1" applyFill="1" applyBorder="1" applyAlignment="1">
      <alignment horizontal="right" vertical="center" wrapText="1"/>
    </xf>
    <xf numFmtId="0" fontId="88" fillId="12" borderId="38" xfId="0" applyFont="1" applyFill="1" applyBorder="1" applyAlignment="1">
      <alignment horizontal="right" vertical="center" wrapText="1"/>
    </xf>
    <xf numFmtId="0" fontId="59" fillId="2" borderId="57" xfId="0" applyFont="1" applyFill="1" applyBorder="1" applyAlignment="1">
      <alignment horizontal="center"/>
    </xf>
    <xf numFmtId="0" fontId="59" fillId="2" borderId="53" xfId="0" applyFont="1" applyFill="1" applyBorder="1" applyAlignment="1">
      <alignment horizontal="center" vertical="center"/>
    </xf>
    <xf numFmtId="0" fontId="213" fillId="0" borderId="57" xfId="0" applyFont="1" applyBorder="1"/>
    <xf numFmtId="0" fontId="213" fillId="0" borderId="37" xfId="0" applyFont="1" applyBorder="1"/>
    <xf numFmtId="0" fontId="213" fillId="0" borderId="38" xfId="0" applyFont="1" applyBorder="1"/>
    <xf numFmtId="0" fontId="0" fillId="22" borderId="52" xfId="0" applyFill="1" applyBorder="1" applyAlignment="1">
      <alignment horizontal="center" vertical="center"/>
    </xf>
    <xf numFmtId="0" fontId="0" fillId="22" borderId="44" xfId="0" applyFill="1" applyBorder="1" applyAlignment="1">
      <alignment horizontal="center" vertical="center"/>
    </xf>
    <xf numFmtId="0" fontId="59" fillId="2" borderId="43" xfId="0" applyFont="1" applyFill="1" applyBorder="1" applyAlignment="1">
      <alignment horizontal="center" vertical="center"/>
    </xf>
    <xf numFmtId="0" fontId="84" fillId="17" borderId="164" xfId="0" applyFont="1" applyFill="1" applyBorder="1" applyAlignment="1">
      <alignment horizontal="center" vertical="center"/>
    </xf>
    <xf numFmtId="0" fontId="84" fillId="17" borderId="165" xfId="0" applyFont="1" applyFill="1" applyBorder="1" applyAlignment="1">
      <alignment horizontal="center" vertical="center"/>
    </xf>
    <xf numFmtId="0" fontId="84" fillId="17" borderId="166" xfId="0" applyFont="1" applyFill="1" applyBorder="1" applyAlignment="1">
      <alignment horizontal="center" vertical="center"/>
    </xf>
    <xf numFmtId="0" fontId="84" fillId="17" borderId="167" xfId="0" applyFont="1" applyFill="1" applyBorder="1" applyAlignment="1">
      <alignment horizontal="center" vertical="center"/>
    </xf>
    <xf numFmtId="0" fontId="84" fillId="17" borderId="168" xfId="0" applyFont="1" applyFill="1" applyBorder="1" applyAlignment="1">
      <alignment horizontal="center" vertical="center"/>
    </xf>
    <xf numFmtId="0" fontId="84" fillId="17" borderId="169" xfId="0" applyFont="1" applyFill="1" applyBorder="1" applyAlignment="1">
      <alignment horizontal="center" vertical="center"/>
    </xf>
    <xf numFmtId="0" fontId="213" fillId="0" borderId="39" xfId="0" applyFont="1" applyBorder="1"/>
    <xf numFmtId="0" fontId="84" fillId="17" borderId="170" xfId="0" applyFont="1" applyFill="1" applyBorder="1" applyAlignment="1">
      <alignment horizontal="center" vertical="center"/>
    </xf>
    <xf numFmtId="0" fontId="84" fillId="17" borderId="171" xfId="0" applyFont="1" applyFill="1" applyBorder="1" applyAlignment="1">
      <alignment horizontal="center" vertical="center"/>
    </xf>
    <xf numFmtId="0" fontId="84" fillId="17" borderId="172" xfId="0" applyFont="1" applyFill="1" applyBorder="1" applyAlignment="1">
      <alignment horizontal="center" vertical="center"/>
    </xf>
    <xf numFmtId="0" fontId="84" fillId="17" borderId="173" xfId="0" applyFont="1" applyFill="1" applyBorder="1" applyAlignment="1">
      <alignment horizontal="center" vertical="center"/>
    </xf>
    <xf numFmtId="0" fontId="156" fillId="12" borderId="73" xfId="0" applyFont="1" applyFill="1" applyBorder="1" applyAlignment="1">
      <alignment horizontal="right" vertical="center" wrapText="1"/>
    </xf>
    <xf numFmtId="0" fontId="156" fillId="12" borderId="24" xfId="0" applyFont="1" applyFill="1" applyBorder="1" applyAlignment="1">
      <alignment horizontal="right" vertical="center"/>
    </xf>
    <xf numFmtId="0" fontId="156" fillId="12" borderId="39" xfId="0" applyFont="1" applyFill="1" applyBorder="1" applyAlignment="1">
      <alignment horizontal="right" vertical="center" wrapText="1"/>
    </xf>
    <xf numFmtId="0" fontId="156" fillId="12" borderId="58" xfId="0" applyFont="1" applyFill="1" applyBorder="1" applyAlignment="1">
      <alignment horizontal="right" vertical="center" wrapText="1"/>
    </xf>
    <xf numFmtId="0" fontId="59" fillId="2" borderId="11" xfId="0" applyFont="1" applyFill="1" applyBorder="1" applyAlignment="1">
      <alignment horizontal="center"/>
    </xf>
    <xf numFmtId="0" fontId="88" fillId="12" borderId="57" xfId="0" applyFont="1" applyFill="1" applyBorder="1" applyAlignment="1">
      <alignment horizontal="right" vertical="center" wrapText="1"/>
    </xf>
    <xf numFmtId="0" fontId="59" fillId="2" borderId="12" xfId="0" applyFont="1" applyFill="1" applyBorder="1" applyAlignment="1">
      <alignment horizontal="center" vertical="center"/>
    </xf>
    <xf numFmtId="0" fontId="0" fillId="11" borderId="52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84" fillId="11" borderId="164" xfId="0" applyFont="1" applyFill="1" applyBorder="1" applyAlignment="1">
      <alignment horizontal="center" vertical="center"/>
    </xf>
    <xf numFmtId="0" fontId="84" fillId="11" borderId="165" xfId="0" applyFont="1" applyFill="1" applyBorder="1" applyAlignment="1">
      <alignment horizontal="center" vertical="center"/>
    </xf>
    <xf numFmtId="0" fontId="84" fillId="11" borderId="166" xfId="0" applyFont="1" applyFill="1" applyBorder="1" applyAlignment="1">
      <alignment horizontal="center" vertical="center"/>
    </xf>
    <xf numFmtId="0" fontId="84" fillId="11" borderId="167" xfId="0" applyFont="1" applyFill="1" applyBorder="1" applyAlignment="1">
      <alignment horizontal="center" vertical="center"/>
    </xf>
    <xf numFmtId="0" fontId="84" fillId="11" borderId="168" xfId="0" applyFont="1" applyFill="1" applyBorder="1" applyAlignment="1">
      <alignment horizontal="center" vertical="center"/>
    </xf>
    <xf numFmtId="0" fontId="84" fillId="11" borderId="169" xfId="0" applyFont="1" applyFill="1" applyBorder="1" applyAlignment="1">
      <alignment horizontal="center" vertical="center"/>
    </xf>
    <xf numFmtId="0" fontId="0" fillId="11" borderId="44" xfId="0" applyFill="1" applyBorder="1" applyAlignment="1">
      <alignment horizontal="center" vertical="center"/>
    </xf>
    <xf numFmtId="0" fontId="0" fillId="11" borderId="52" xfId="0" applyFill="1" applyBorder="1"/>
    <xf numFmtId="0" fontId="0" fillId="11" borderId="53" xfId="0" applyFill="1" applyBorder="1"/>
    <xf numFmtId="0" fontId="0" fillId="11" borderId="55" xfId="0" applyFill="1" applyBorder="1"/>
    <xf numFmtId="0" fontId="213" fillId="11" borderId="55" xfId="0" applyFont="1" applyFill="1" applyBorder="1" applyAlignment="1">
      <alignment horizontal="left"/>
    </xf>
    <xf numFmtId="0" fontId="0" fillId="11" borderId="56" xfId="0" applyFill="1" applyBorder="1"/>
    <xf numFmtId="0" fontId="0" fillId="11" borderId="44" xfId="0" applyFill="1" applyBorder="1"/>
    <xf numFmtId="0" fontId="213" fillId="11" borderId="44" xfId="0" applyFont="1" applyFill="1" applyBorder="1"/>
    <xf numFmtId="0" fontId="0" fillId="11" borderId="0" xfId="0" applyFill="1"/>
    <xf numFmtId="0" fontId="84" fillId="11" borderId="0" xfId="0" applyFont="1" applyFill="1" applyAlignment="1">
      <alignment horizontal="center" vertical="center"/>
    </xf>
    <xf numFmtId="0" fontId="167" fillId="11" borderId="0" xfId="0" applyFont="1" applyFill="1" applyAlignment="1">
      <alignment horizontal="center" vertical="center"/>
    </xf>
    <xf numFmtId="0" fontId="0" fillId="11" borderId="51" xfId="0" applyFill="1" applyBorder="1"/>
    <xf numFmtId="0" fontId="59" fillId="11" borderId="0" xfId="0" applyFont="1" applyFill="1"/>
    <xf numFmtId="0" fontId="0" fillId="11" borderId="43" xfId="0" applyFill="1" applyBorder="1"/>
    <xf numFmtId="0" fontId="0" fillId="11" borderId="54" xfId="0" applyFill="1" applyBorder="1"/>
    <xf numFmtId="0" fontId="213" fillId="11" borderId="44" xfId="0" applyFont="1" applyFill="1" applyBorder="1" applyAlignment="1">
      <alignment horizontal="left"/>
    </xf>
    <xf numFmtId="0" fontId="40" fillId="18" borderId="42" xfId="0" applyFont="1" applyFill="1" applyBorder="1" applyProtection="1">
      <protection locked="0"/>
    </xf>
    <xf numFmtId="0" fontId="40" fillId="18" borderId="0" xfId="0" applyFont="1" applyFill="1" applyProtection="1">
      <protection locked="0"/>
    </xf>
    <xf numFmtId="0" fontId="40" fillId="18" borderId="24" xfId="0" applyFont="1" applyFill="1" applyBorder="1" applyProtection="1">
      <protection locked="0"/>
    </xf>
    <xf numFmtId="0" fontId="40" fillId="18" borderId="73" xfId="0" applyFont="1" applyFill="1" applyBorder="1" applyProtection="1">
      <protection locked="0"/>
    </xf>
    <xf numFmtId="165" fontId="121" fillId="12" borderId="54" xfId="0" applyNumberFormat="1" applyFont="1" applyFill="1" applyBorder="1" applyAlignment="1" applyProtection="1">
      <alignment horizontal="center" vertical="center" wrapText="1"/>
      <protection locked="0"/>
    </xf>
    <xf numFmtId="165" fontId="121" fillId="12" borderId="0" xfId="0" applyNumberFormat="1" applyFont="1" applyFill="1" applyAlignment="1" applyProtection="1">
      <alignment horizontal="center" vertical="center" wrapText="1"/>
      <protection locked="0"/>
    </xf>
    <xf numFmtId="165" fontId="121" fillId="12" borderId="55" xfId="0" applyNumberFormat="1" applyFont="1" applyFill="1" applyBorder="1" applyAlignment="1" applyProtection="1">
      <alignment horizontal="center" vertical="center" wrapText="1"/>
      <protection locked="0"/>
    </xf>
    <xf numFmtId="165" fontId="121" fillId="12" borderId="43" xfId="0" applyNumberFormat="1" applyFont="1" applyFill="1" applyBorder="1" applyAlignment="1" applyProtection="1">
      <alignment horizontal="center" vertical="center" wrapText="1"/>
      <protection locked="0"/>
    </xf>
    <xf numFmtId="165" fontId="121" fillId="12" borderId="44" xfId="0" applyNumberFormat="1" applyFont="1" applyFill="1" applyBorder="1" applyAlignment="1" applyProtection="1">
      <alignment horizontal="center" vertical="center" wrapText="1"/>
      <protection locked="0"/>
    </xf>
    <xf numFmtId="165" fontId="121" fillId="12" borderId="56" xfId="0" applyNumberFormat="1" applyFont="1" applyFill="1" applyBorder="1" applyAlignment="1" applyProtection="1">
      <alignment horizontal="center" vertical="center" wrapText="1"/>
      <protection locked="0"/>
    </xf>
    <xf numFmtId="0" fontId="172" fillId="11" borderId="0" xfId="0" applyFont="1" applyFill="1" applyAlignment="1" applyProtection="1">
      <alignment horizontal="center" vertical="center" wrapText="1"/>
      <protection locked="0"/>
    </xf>
    <xf numFmtId="164" fontId="69" fillId="0" borderId="133" xfId="0" applyNumberFormat="1" applyFont="1" applyBorder="1" applyAlignment="1" applyProtection="1">
      <alignment horizontal="center" vertical="center"/>
      <protection hidden="1"/>
    </xf>
    <xf numFmtId="164" fontId="69" fillId="0" borderId="152" xfId="0" applyNumberFormat="1" applyFont="1" applyBorder="1" applyAlignment="1" applyProtection="1">
      <alignment horizontal="center" vertical="center"/>
      <protection hidden="1"/>
    </xf>
    <xf numFmtId="164" fontId="69" fillId="0" borderId="154" xfId="0" applyNumberFormat="1" applyFont="1" applyBorder="1" applyAlignment="1" applyProtection="1">
      <alignment horizontal="center" vertical="center"/>
      <protection hidden="1"/>
    </xf>
    <xf numFmtId="164" fontId="69" fillId="0" borderId="132" xfId="0" applyNumberFormat="1" applyFont="1" applyBorder="1" applyAlignment="1" applyProtection="1">
      <alignment horizontal="center" vertical="center"/>
      <protection hidden="1"/>
    </xf>
    <xf numFmtId="169" fontId="69" fillId="0" borderId="131" xfId="0" applyNumberFormat="1" applyFont="1" applyBorder="1" applyAlignment="1" applyProtection="1">
      <alignment horizontal="left" vertical="center" indent="1"/>
      <protection hidden="1"/>
    </xf>
    <xf numFmtId="164" fontId="69" fillId="0" borderId="157" xfId="0" applyNumberFormat="1" applyFont="1" applyBorder="1" applyAlignment="1" applyProtection="1">
      <alignment horizontal="center" vertical="center"/>
      <protection hidden="1"/>
    </xf>
    <xf numFmtId="169" fontId="69" fillId="0" borderId="175" xfId="0" applyNumberFormat="1" applyFont="1" applyBorder="1" applyAlignment="1" applyProtection="1">
      <alignment horizontal="left" vertical="center" indent="1"/>
      <protection hidden="1"/>
    </xf>
    <xf numFmtId="0" fontId="185" fillId="0" borderId="137" xfId="0" applyFont="1" applyBorder="1" applyAlignment="1" applyProtection="1">
      <alignment horizontal="right"/>
      <protection locked="0"/>
    </xf>
    <xf numFmtId="0" fontId="69" fillId="0" borderId="126" xfId="0" applyFont="1" applyBorder="1" applyAlignment="1" applyProtection="1">
      <alignment horizontal="center" vertical="center"/>
      <protection locked="0"/>
    </xf>
    <xf numFmtId="0" fontId="69" fillId="0" borderId="29" xfId="0" applyFont="1" applyBorder="1" applyAlignment="1" applyProtection="1">
      <alignment horizontal="center" vertical="center"/>
      <protection locked="0"/>
    </xf>
    <xf numFmtId="0" fontId="69" fillId="0" borderId="31" xfId="0" applyFont="1" applyBorder="1" applyAlignment="1" applyProtection="1">
      <alignment horizontal="center" vertical="center"/>
      <protection locked="0"/>
    </xf>
    <xf numFmtId="0" fontId="69" fillId="0" borderId="127" xfId="0" applyFont="1" applyBorder="1" applyAlignment="1" applyProtection="1">
      <alignment horizontal="center" vertical="center"/>
      <protection locked="0"/>
    </xf>
    <xf numFmtId="0" fontId="235" fillId="0" borderId="7" xfId="0" quotePrefix="1" applyFont="1" applyBorder="1" applyAlignment="1">
      <alignment horizontal="left"/>
    </xf>
    <xf numFmtId="169" fontId="69" fillId="0" borderId="133" xfId="0" applyNumberFormat="1" applyFont="1" applyBorder="1" applyAlignment="1" applyProtection="1">
      <alignment horizontal="left" vertical="center" indent="1"/>
      <protection hidden="1"/>
    </xf>
    <xf numFmtId="169" fontId="69" fillId="0" borderId="134" xfId="0" applyNumberFormat="1" applyFont="1" applyBorder="1" applyAlignment="1" applyProtection="1">
      <alignment horizontal="left" vertical="center" indent="1"/>
      <protection hidden="1"/>
    </xf>
    <xf numFmtId="0" fontId="190" fillId="0" borderId="137" xfId="0" applyFont="1" applyBorder="1" applyAlignment="1" applyProtection="1">
      <alignment horizontal="right"/>
      <protection locked="0"/>
    </xf>
    <xf numFmtId="0" fontId="79" fillId="0" borderId="4" xfId="0" applyFont="1" applyBorder="1" applyAlignment="1">
      <alignment horizontal="center" wrapText="1"/>
    </xf>
    <xf numFmtId="0" fontId="70" fillId="26" borderId="0" xfId="0" applyFont="1" applyFill="1" applyAlignment="1" applyProtection="1">
      <alignment horizontal="left"/>
      <protection locked="0"/>
    </xf>
    <xf numFmtId="0" fontId="70" fillId="26" borderId="65" xfId="0" applyFont="1" applyFill="1" applyBorder="1" applyAlignment="1" applyProtection="1">
      <alignment horizontal="left"/>
      <protection locked="0"/>
    </xf>
    <xf numFmtId="0" fontId="70" fillId="26" borderId="44" xfId="0" applyFont="1" applyFill="1" applyBorder="1" applyAlignment="1" applyProtection="1">
      <alignment horizontal="left"/>
      <protection locked="0"/>
    </xf>
    <xf numFmtId="0" fontId="70" fillId="26" borderId="33" xfId="0" applyFont="1" applyFill="1" applyBorder="1" applyAlignment="1" applyProtection="1">
      <alignment horizontal="left"/>
      <protection locked="0"/>
    </xf>
    <xf numFmtId="0" fontId="0" fillId="17" borderId="0" xfId="0" applyFill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/>
    </xf>
    <xf numFmtId="0" fontId="2" fillId="0" borderId="1" xfId="0" applyFont="1" applyBorder="1"/>
    <xf numFmtId="0" fontId="88" fillId="12" borderId="61" xfId="0" applyFont="1" applyFill="1" applyBorder="1" applyAlignment="1" applyProtection="1">
      <alignment horizontal="center" vertical="center" wrapText="1"/>
      <protection hidden="1"/>
    </xf>
    <xf numFmtId="0" fontId="69" fillId="0" borderId="4" xfId="0" quotePrefix="1" applyFont="1" applyBorder="1" applyAlignment="1">
      <alignment horizontal="right" vertical="center" wrapText="1"/>
    </xf>
    <xf numFmtId="0" fontId="181" fillId="0" borderId="0" xfId="0" applyFont="1" applyAlignment="1">
      <alignment horizontal="left" vertical="center" indent="2"/>
    </xf>
    <xf numFmtId="169" fontId="69" fillId="4" borderId="138" xfId="0" applyNumberFormat="1" applyFont="1" applyFill="1" applyBorder="1" applyAlignment="1" applyProtection="1">
      <alignment horizontal="left" vertical="center" indent="1"/>
      <protection hidden="1"/>
    </xf>
    <xf numFmtId="164" fontId="0" fillId="0" borderId="0" xfId="0" applyNumberFormat="1" applyAlignment="1">
      <alignment horizontal="center"/>
    </xf>
    <xf numFmtId="164" fontId="0" fillId="17" borderId="0" xfId="0" applyNumberFormat="1" applyFill="1" applyAlignment="1">
      <alignment horizontal="center"/>
    </xf>
    <xf numFmtId="164" fontId="0" fillId="0" borderId="0" xfId="0" applyNumberFormat="1"/>
    <xf numFmtId="0" fontId="0" fillId="29" borderId="4" xfId="0" applyFill="1" applyBorder="1" applyAlignment="1">
      <alignment horizontal="center"/>
    </xf>
    <xf numFmtId="0" fontId="148" fillId="29" borderId="0" xfId="0" applyFont="1" applyFill="1" applyAlignment="1">
      <alignment horizontal="center" vertical="center"/>
    </xf>
    <xf numFmtId="0" fontId="0" fillId="17" borderId="0" xfId="0" applyFill="1" applyAlignment="1">
      <alignment vertical="center"/>
    </xf>
    <xf numFmtId="0" fontId="59" fillId="17" borderId="0" xfId="0" applyFont="1" applyFill="1" applyAlignment="1">
      <alignment horizontal="left" vertical="center"/>
    </xf>
    <xf numFmtId="0" fontId="59" fillId="17" borderId="0" xfId="0" applyFont="1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162" fillId="0" borderId="51" xfId="0" applyFont="1" applyBorder="1" applyAlignment="1">
      <alignment horizontal="center" vertical="center"/>
    </xf>
    <xf numFmtId="0" fontId="162" fillId="0" borderId="52" xfId="0" applyFont="1" applyBorder="1" applyAlignment="1">
      <alignment horizontal="center" vertical="center"/>
    </xf>
    <xf numFmtId="0" fontId="162" fillId="0" borderId="53" xfId="0" applyFont="1" applyBorder="1" applyAlignment="1">
      <alignment horizontal="center" vertical="center"/>
    </xf>
    <xf numFmtId="0" fontId="162" fillId="0" borderId="43" xfId="0" applyFont="1" applyBorder="1" applyAlignment="1">
      <alignment horizontal="center" vertical="center"/>
    </xf>
    <xf numFmtId="0" fontId="162" fillId="0" borderId="44" xfId="0" applyFont="1" applyBorder="1" applyAlignment="1">
      <alignment horizontal="center" vertical="center"/>
    </xf>
    <xf numFmtId="0" fontId="162" fillId="0" borderId="56" xfId="0" applyFont="1" applyBorder="1" applyAlignment="1">
      <alignment horizontal="center" vertical="center"/>
    </xf>
    <xf numFmtId="0" fontId="163" fillId="0" borderId="66" xfId="0" applyFont="1" applyBorder="1" applyAlignment="1">
      <alignment horizontal="center" vertical="center"/>
    </xf>
    <xf numFmtId="0" fontId="163" fillId="0" borderId="67" xfId="0" applyFont="1" applyBorder="1" applyAlignment="1">
      <alignment horizontal="center" vertical="center"/>
    </xf>
    <xf numFmtId="0" fontId="59" fillId="0" borderId="66" xfId="0" applyFont="1" applyBorder="1" applyAlignment="1">
      <alignment horizontal="center" vertical="center" textRotation="90" wrapText="1"/>
    </xf>
    <xf numFmtId="0" fontId="59" fillId="0" borderId="68" xfId="0" applyFont="1" applyBorder="1" applyAlignment="1">
      <alignment horizontal="center" vertical="center" textRotation="90" wrapText="1"/>
    </xf>
    <xf numFmtId="0" fontId="59" fillId="0" borderId="54" xfId="0" applyFont="1" applyBorder="1" applyAlignment="1">
      <alignment horizontal="center" vertical="center" textRotation="90" wrapText="1"/>
    </xf>
    <xf numFmtId="0" fontId="59" fillId="0" borderId="43" xfId="0" applyFont="1" applyBorder="1" applyAlignment="1">
      <alignment horizontal="center" vertical="center" textRotation="90" wrapText="1"/>
    </xf>
    <xf numFmtId="0" fontId="59" fillId="0" borderId="67" xfId="0" applyFont="1" applyBorder="1" applyAlignment="1">
      <alignment horizontal="center" vertical="center" textRotation="90" wrapText="1"/>
    </xf>
    <xf numFmtId="0" fontId="162" fillId="0" borderId="71" xfId="0" applyFont="1" applyBorder="1" applyAlignment="1">
      <alignment horizontal="center"/>
    </xf>
    <xf numFmtId="0" fontId="162" fillId="0" borderId="72" xfId="0" applyFont="1" applyBorder="1" applyAlignment="1">
      <alignment horizontal="center"/>
    </xf>
    <xf numFmtId="0" fontId="162" fillId="0" borderId="47" xfId="0" applyFont="1" applyBorder="1" applyAlignment="1">
      <alignment horizontal="center"/>
    </xf>
    <xf numFmtId="0" fontId="163" fillId="0" borderId="62" xfId="0" applyFont="1" applyBorder="1" applyAlignment="1">
      <alignment horizontal="center"/>
    </xf>
    <xf numFmtId="0" fontId="163" fillId="0" borderId="32" xfId="0" applyFont="1" applyBorder="1" applyAlignment="1">
      <alignment horizontal="center"/>
    </xf>
    <xf numFmtId="0" fontId="163" fillId="0" borderId="63" xfId="0" applyFont="1" applyBorder="1" applyAlignment="1">
      <alignment horizontal="center"/>
    </xf>
    <xf numFmtId="0" fontId="163" fillId="0" borderId="71" xfId="0" applyFont="1" applyBorder="1" applyAlignment="1">
      <alignment horizontal="center" vertical="center"/>
    </xf>
    <xf numFmtId="0" fontId="163" fillId="0" borderId="72" xfId="0" applyFont="1" applyBorder="1" applyAlignment="1">
      <alignment horizontal="center" vertical="center"/>
    </xf>
    <xf numFmtId="0" fontId="163" fillId="0" borderId="47" xfId="0" applyFont="1" applyBorder="1" applyAlignment="1">
      <alignment horizontal="center" vertical="center"/>
    </xf>
    <xf numFmtId="0" fontId="59" fillId="2" borderId="27" xfId="0" applyFont="1" applyFill="1" applyBorder="1" applyAlignment="1">
      <alignment horizontal="center"/>
    </xf>
    <xf numFmtId="0" fontId="59" fillId="2" borderId="0" xfId="0" applyFont="1" applyFill="1" applyAlignment="1">
      <alignment horizontal="center"/>
    </xf>
    <xf numFmtId="0" fontId="56" fillId="0" borderId="0" xfId="0" applyFont="1" applyAlignment="1">
      <alignment horizontal="center"/>
    </xf>
    <xf numFmtId="0" fontId="14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0" xfId="0" applyAlignment="1">
      <alignment horizontal="left" vertical="center" wrapText="1"/>
    </xf>
    <xf numFmtId="0" fontId="59" fillId="0" borderId="0" xfId="0" applyFont="1" applyAlignment="1">
      <alignment horizontal="center"/>
    </xf>
    <xf numFmtId="0" fontId="62" fillId="2" borderId="25" xfId="0" applyFont="1" applyFill="1" applyBorder="1" applyAlignment="1" applyProtection="1">
      <alignment horizontal="left" wrapText="1" indent="2"/>
      <protection hidden="1"/>
    </xf>
    <xf numFmtId="0" fontId="62" fillId="2" borderId="5" xfId="0" applyFont="1" applyFill="1" applyBorder="1" applyAlignment="1" applyProtection="1">
      <alignment horizontal="left" wrapText="1" indent="2"/>
      <protection hidden="1"/>
    </xf>
    <xf numFmtId="0" fontId="62" fillId="2" borderId="26" xfId="0" applyFont="1" applyFill="1" applyBorder="1" applyAlignment="1" applyProtection="1">
      <alignment horizontal="left" wrapText="1" indent="2"/>
      <protection hidden="1"/>
    </xf>
    <xf numFmtId="0" fontId="79" fillId="2" borderId="1" xfId="0" applyFont="1" applyFill="1" applyBorder="1" applyAlignment="1" applyProtection="1">
      <alignment horizontal="right" vertical="center" wrapText="1"/>
      <protection hidden="1"/>
    </xf>
    <xf numFmtId="0" fontId="79" fillId="2" borderId="2" xfId="0" applyFont="1" applyFill="1" applyBorder="1" applyAlignment="1" applyProtection="1">
      <alignment horizontal="right" vertical="center" wrapText="1"/>
      <protection hidden="1"/>
    </xf>
    <xf numFmtId="0" fontId="79" fillId="2" borderId="3" xfId="0" applyFont="1" applyFill="1" applyBorder="1" applyAlignment="1" applyProtection="1">
      <alignment horizontal="right" vertical="center" wrapText="1"/>
      <protection hidden="1"/>
    </xf>
    <xf numFmtId="0" fontId="62" fillId="2" borderId="27" xfId="0" applyFont="1" applyFill="1" applyBorder="1" applyAlignment="1" applyProtection="1">
      <alignment horizontal="left" vertical="top" wrapText="1" indent="2"/>
      <protection hidden="1"/>
    </xf>
    <xf numFmtId="0" fontId="62" fillId="2" borderId="0" xfId="0" applyFont="1" applyFill="1" applyAlignment="1" applyProtection="1">
      <alignment horizontal="left" vertical="top" wrapText="1" indent="2"/>
      <protection hidden="1"/>
    </xf>
    <xf numFmtId="0" fontId="62" fillId="2" borderId="28" xfId="0" applyFont="1" applyFill="1" applyBorder="1" applyAlignment="1" applyProtection="1">
      <alignment horizontal="left" vertical="top" wrapText="1" indent="2"/>
      <protection hidden="1"/>
    </xf>
    <xf numFmtId="0" fontId="62" fillId="2" borderId="25" xfId="0" applyFont="1" applyFill="1" applyBorder="1" applyAlignment="1" applyProtection="1">
      <alignment horizontal="left" vertical="center" wrapText="1" indent="2"/>
      <protection hidden="1"/>
    </xf>
    <xf numFmtId="0" fontId="62" fillId="2" borderId="5" xfId="0" applyFont="1" applyFill="1" applyBorder="1" applyAlignment="1" applyProtection="1">
      <alignment horizontal="left" vertical="center" wrapText="1" indent="2"/>
      <protection hidden="1"/>
    </xf>
    <xf numFmtId="0" fontId="62" fillId="2" borderId="26" xfId="0" applyFont="1" applyFill="1" applyBorder="1" applyAlignment="1" applyProtection="1">
      <alignment horizontal="left" vertical="center" wrapText="1" indent="2"/>
      <protection hidden="1"/>
    </xf>
    <xf numFmtId="0" fontId="79" fillId="7" borderId="1" xfId="0" applyFont="1" applyFill="1" applyBorder="1" applyAlignment="1" applyProtection="1">
      <alignment horizontal="right" vertical="center" wrapText="1"/>
      <protection hidden="1"/>
    </xf>
    <xf numFmtId="0" fontId="79" fillId="7" borderId="2" xfId="0" applyFont="1" applyFill="1" applyBorder="1" applyAlignment="1" applyProtection="1">
      <alignment horizontal="right" vertical="center" wrapText="1"/>
      <protection hidden="1"/>
    </xf>
    <xf numFmtId="0" fontId="79" fillId="7" borderId="3" xfId="0" applyFont="1" applyFill="1" applyBorder="1" applyAlignment="1" applyProtection="1">
      <alignment horizontal="right" vertical="center" wrapText="1"/>
      <protection hidden="1"/>
    </xf>
    <xf numFmtId="0" fontId="138" fillId="0" borderId="1" xfId="0" applyFont="1" applyBorder="1" applyAlignment="1" applyProtection="1">
      <alignment horizontal="right" vertical="center" wrapText="1"/>
      <protection locked="0"/>
    </xf>
    <xf numFmtId="0" fontId="138" fillId="0" borderId="2" xfId="0" applyFont="1" applyBorder="1" applyAlignment="1" applyProtection="1">
      <alignment horizontal="right" vertical="center" wrapText="1"/>
      <protection locked="0"/>
    </xf>
    <xf numFmtId="0" fontId="37" fillId="0" borderId="104" xfId="0" applyFont="1" applyBorder="1" applyAlignment="1" applyProtection="1">
      <alignment vertical="center" wrapText="1"/>
      <protection locked="0"/>
    </xf>
    <xf numFmtId="0" fontId="37" fillId="0" borderId="2" xfId="0" applyFont="1" applyBorder="1" applyAlignment="1" applyProtection="1">
      <alignment vertical="center" wrapText="1"/>
      <protection locked="0"/>
    </xf>
    <xf numFmtId="0" fontId="37" fillId="0" borderId="3" xfId="0" applyFont="1" applyBorder="1" applyAlignment="1" applyProtection="1">
      <alignment vertical="center" wrapText="1"/>
      <protection locked="0"/>
    </xf>
    <xf numFmtId="0" fontId="18" fillId="0" borderId="7" xfId="0" applyFont="1" applyBorder="1" applyAlignment="1" applyProtection="1">
      <alignment horizontal="center" vertical="center"/>
      <protection hidden="1"/>
    </xf>
    <xf numFmtId="0" fontId="22" fillId="0" borderId="7" xfId="0" applyFont="1" applyBorder="1" applyAlignment="1" applyProtection="1">
      <alignment horizontal="center"/>
      <protection hidden="1"/>
    </xf>
    <xf numFmtId="0" fontId="65" fillId="0" borderId="66" xfId="0" applyFont="1" applyBorder="1" applyAlignment="1" applyProtection="1">
      <alignment horizontal="center" vertical="center" wrapText="1"/>
      <protection hidden="1"/>
    </xf>
    <xf numFmtId="0" fontId="65" fillId="0" borderId="67" xfId="0" applyFont="1" applyBorder="1" applyAlignment="1" applyProtection="1">
      <alignment horizontal="center" vertical="center" wrapText="1"/>
      <protection hidden="1"/>
    </xf>
    <xf numFmtId="0" fontId="28" fillId="0" borderId="74" xfId="0" applyFont="1" applyBorder="1" applyAlignment="1" applyProtection="1">
      <alignment horizontal="left" vertical="center" wrapText="1" indent="3"/>
      <protection hidden="1"/>
    </xf>
    <xf numFmtId="0" fontId="28" fillId="0" borderId="75" xfId="0" applyFont="1" applyBorder="1" applyAlignment="1" applyProtection="1">
      <alignment horizontal="left" vertical="center" wrapText="1" indent="3"/>
      <protection hidden="1"/>
    </xf>
    <xf numFmtId="0" fontId="28" fillId="0" borderId="6" xfId="0" applyFont="1" applyBorder="1" applyAlignment="1" applyProtection="1">
      <alignment horizontal="left" vertical="center" wrapText="1" indent="3"/>
      <protection hidden="1"/>
    </xf>
    <xf numFmtId="0" fontId="28" fillId="0" borderId="2" xfId="0" applyFont="1" applyBorder="1" applyAlignment="1" applyProtection="1">
      <alignment horizontal="left" vertical="center" wrapText="1" indent="3"/>
      <protection hidden="1"/>
    </xf>
    <xf numFmtId="0" fontId="62" fillId="2" borderId="27" xfId="0" applyFont="1" applyFill="1" applyBorder="1" applyAlignment="1" applyProtection="1">
      <alignment horizontal="left" vertical="center" wrapText="1" indent="2"/>
      <protection hidden="1"/>
    </xf>
    <xf numFmtId="0" fontId="62" fillId="2" borderId="0" xfId="0" applyFont="1" applyFill="1" applyAlignment="1" applyProtection="1">
      <alignment horizontal="left" vertical="center" wrapText="1" indent="2"/>
      <protection hidden="1"/>
    </xf>
    <xf numFmtId="0" fontId="62" fillId="2" borderId="28" xfId="0" applyFont="1" applyFill="1" applyBorder="1" applyAlignment="1" applyProtection="1">
      <alignment horizontal="left" vertical="center" wrapText="1" indent="2"/>
      <protection hidden="1"/>
    </xf>
    <xf numFmtId="0" fontId="62" fillId="2" borderId="27" xfId="0" applyFont="1" applyFill="1" applyBorder="1" applyAlignment="1" applyProtection="1">
      <alignment horizontal="left" wrapText="1" indent="2"/>
      <protection hidden="1"/>
    </xf>
    <xf numFmtId="0" fontId="62" fillId="2" borderId="0" xfId="0" applyFont="1" applyFill="1" applyAlignment="1" applyProtection="1">
      <alignment horizontal="left" wrapText="1" indent="2"/>
      <protection hidden="1"/>
    </xf>
    <xf numFmtId="0" fontId="62" fillId="2" borderId="28" xfId="0" applyFont="1" applyFill="1" applyBorder="1" applyAlignment="1" applyProtection="1">
      <alignment horizontal="left" wrapText="1" indent="2"/>
      <protection hidden="1"/>
    </xf>
    <xf numFmtId="0" fontId="28" fillId="0" borderId="58" xfId="0" quotePrefix="1" applyFont="1" applyBorder="1" applyAlignment="1" applyProtection="1">
      <alignment horizontal="left" vertical="center" wrapText="1" indent="3"/>
      <protection hidden="1"/>
    </xf>
    <xf numFmtId="0" fontId="28" fillId="0" borderId="5" xfId="0" applyFont="1" applyBorder="1" applyAlignment="1" applyProtection="1">
      <alignment horizontal="left" vertical="center" wrapText="1" indent="3"/>
      <protection hidden="1"/>
    </xf>
    <xf numFmtId="0" fontId="28" fillId="0" borderId="6" xfId="0" applyFont="1" applyBorder="1" applyAlignment="1" applyProtection="1">
      <alignment horizontal="left" vertical="center" wrapText="1" indent="1"/>
      <protection hidden="1"/>
    </xf>
    <xf numFmtId="0" fontId="28" fillId="0" borderId="2" xfId="0" applyFont="1" applyBorder="1" applyAlignment="1" applyProtection="1">
      <alignment horizontal="left" vertical="center" wrapText="1" indent="1"/>
      <protection hidden="1"/>
    </xf>
    <xf numFmtId="0" fontId="24" fillId="2" borderId="21" xfId="0" applyFont="1" applyFill="1" applyBorder="1" applyAlignment="1" applyProtection="1">
      <alignment horizontal="right" vertical="center"/>
      <protection hidden="1"/>
    </xf>
    <xf numFmtId="0" fontId="24" fillId="2" borderId="22" xfId="0" applyFont="1" applyFill="1" applyBorder="1" applyAlignment="1" applyProtection="1">
      <alignment horizontal="right" vertical="center"/>
      <protection hidden="1"/>
    </xf>
    <xf numFmtId="0" fontId="24" fillId="2" borderId="23" xfId="0" applyFont="1" applyFill="1" applyBorder="1" applyAlignment="1" applyProtection="1">
      <alignment horizontal="right" vertical="center"/>
      <protection hidden="1"/>
    </xf>
    <xf numFmtId="0" fontId="24" fillId="2" borderId="24" xfId="0" applyFont="1" applyFill="1" applyBorder="1" applyAlignment="1" applyProtection="1">
      <alignment horizontal="right" vertical="center"/>
      <protection hidden="1"/>
    </xf>
    <xf numFmtId="0" fontId="24" fillId="2" borderId="18" xfId="0" applyFont="1" applyFill="1" applyBorder="1" applyAlignment="1" applyProtection="1">
      <alignment horizontal="right" vertical="center"/>
      <protection hidden="1"/>
    </xf>
    <xf numFmtId="0" fontId="24" fillId="2" borderId="19" xfId="0" applyFont="1" applyFill="1" applyBorder="1" applyAlignment="1" applyProtection="1">
      <alignment horizontal="right" vertical="center"/>
      <protection hidden="1"/>
    </xf>
    <xf numFmtId="0" fontId="28" fillId="0" borderId="74" xfId="0" applyFont="1" applyBorder="1" applyAlignment="1" applyProtection="1">
      <alignment horizontal="left" vertical="center" wrapText="1" indent="1"/>
      <protection hidden="1"/>
    </xf>
    <xf numFmtId="0" fontId="28" fillId="0" borderId="75" xfId="0" applyFont="1" applyBorder="1" applyAlignment="1" applyProtection="1">
      <alignment horizontal="left" vertical="center" wrapText="1" indent="1"/>
      <protection hidden="1"/>
    </xf>
    <xf numFmtId="0" fontId="28" fillId="0" borderId="21" xfId="0" applyFont="1" applyBorder="1" applyAlignment="1" applyProtection="1">
      <alignment horizontal="right" vertical="center" wrapText="1"/>
      <protection hidden="1"/>
    </xf>
    <xf numFmtId="0" fontId="28" fillId="0" borderId="22" xfId="0" applyFont="1" applyBorder="1" applyAlignment="1" applyProtection="1">
      <alignment horizontal="right" vertical="center" wrapText="1"/>
      <protection hidden="1"/>
    </xf>
    <xf numFmtId="0" fontId="28" fillId="0" borderId="23" xfId="0" applyFont="1" applyBorder="1" applyAlignment="1" applyProtection="1">
      <alignment horizontal="right" vertical="center" wrapText="1"/>
      <protection hidden="1"/>
    </xf>
    <xf numFmtId="0" fontId="28" fillId="0" borderId="24" xfId="0" applyFont="1" applyBorder="1" applyAlignment="1" applyProtection="1">
      <alignment horizontal="right" vertical="center"/>
      <protection hidden="1"/>
    </xf>
    <xf numFmtId="0" fontId="28" fillId="0" borderId="18" xfId="0" applyFont="1" applyBorder="1" applyAlignment="1" applyProtection="1">
      <alignment horizontal="right" vertical="center"/>
      <protection hidden="1"/>
    </xf>
    <xf numFmtId="0" fontId="28" fillId="0" borderId="19" xfId="0" applyFont="1" applyBorder="1" applyAlignment="1" applyProtection="1">
      <alignment horizontal="right" vertical="center"/>
      <protection hidden="1"/>
    </xf>
    <xf numFmtId="0" fontId="28" fillId="0" borderId="58" xfId="0" applyFont="1" applyBorder="1" applyAlignment="1" applyProtection="1">
      <alignment horizontal="left" vertical="center" wrapText="1" indent="1"/>
      <protection hidden="1"/>
    </xf>
    <xf numFmtId="0" fontId="28" fillId="0" borderId="5" xfId="0" applyFont="1" applyBorder="1" applyAlignment="1" applyProtection="1">
      <alignment horizontal="left" vertical="center" wrapText="1" indent="1"/>
      <protection hidden="1"/>
    </xf>
    <xf numFmtId="0" fontId="109" fillId="0" borderId="1" xfId="0" applyFont="1" applyBorder="1" applyAlignment="1" applyProtection="1">
      <alignment horizontal="left" wrapText="1" indent="2"/>
      <protection hidden="1"/>
    </xf>
    <xf numFmtId="0" fontId="109" fillId="0" borderId="2" xfId="0" applyFont="1" applyBorder="1" applyAlignment="1" applyProtection="1">
      <alignment horizontal="left" indent="2"/>
      <protection hidden="1"/>
    </xf>
    <xf numFmtId="0" fontId="109" fillId="0" borderId="3" xfId="0" applyFont="1" applyBorder="1" applyAlignment="1" applyProtection="1">
      <alignment horizontal="left" indent="2"/>
      <protection hidden="1"/>
    </xf>
    <xf numFmtId="0" fontId="108" fillId="0" borderId="10" xfId="0" applyFont="1" applyBorder="1" applyAlignment="1" applyProtection="1">
      <alignment horizontal="left" wrapText="1" indent="1"/>
      <protection hidden="1"/>
    </xf>
    <xf numFmtId="0" fontId="108" fillId="0" borderId="7" xfId="0" applyFont="1" applyBorder="1" applyAlignment="1" applyProtection="1">
      <alignment horizontal="left" wrapText="1" indent="1"/>
      <protection hidden="1"/>
    </xf>
    <xf numFmtId="0" fontId="108" fillId="0" borderId="8" xfId="0" applyFont="1" applyBorder="1" applyAlignment="1" applyProtection="1">
      <alignment horizontal="left" wrapText="1" indent="1"/>
      <protection hidden="1"/>
    </xf>
    <xf numFmtId="0" fontId="108" fillId="0" borderId="27" xfId="0" applyFont="1" applyBorder="1" applyAlignment="1" applyProtection="1">
      <alignment horizontal="left" wrapText="1" indent="1"/>
      <protection hidden="1"/>
    </xf>
    <xf numFmtId="0" fontId="108" fillId="0" borderId="0" xfId="0" applyFont="1" applyAlignment="1" applyProtection="1">
      <alignment horizontal="left" wrapText="1" indent="1"/>
      <protection hidden="1"/>
    </xf>
    <xf numFmtId="0" fontId="108" fillId="0" borderId="28" xfId="0" applyFont="1" applyBorder="1" applyAlignment="1" applyProtection="1">
      <alignment horizontal="left" wrapText="1" indent="1"/>
      <protection hidden="1"/>
    </xf>
    <xf numFmtId="0" fontId="62" fillId="2" borderId="10" xfId="0" applyFont="1" applyFill="1" applyBorder="1" applyAlignment="1" applyProtection="1">
      <alignment horizontal="left" vertical="center" wrapText="1" indent="2"/>
      <protection hidden="1"/>
    </xf>
    <xf numFmtId="0" fontId="62" fillId="2" borderId="7" xfId="0" applyFont="1" applyFill="1" applyBorder="1" applyAlignment="1" applyProtection="1">
      <alignment horizontal="left" vertical="center" wrapText="1" indent="2"/>
      <protection hidden="1"/>
    </xf>
    <xf numFmtId="0" fontId="62" fillId="2" borderId="8" xfId="0" applyFont="1" applyFill="1" applyBorder="1" applyAlignment="1" applyProtection="1">
      <alignment horizontal="left" vertical="center" wrapText="1" indent="2"/>
      <protection hidden="1"/>
    </xf>
    <xf numFmtId="166" fontId="24" fillId="2" borderId="11" xfId="0" applyNumberFormat="1" applyFont="1" applyFill="1" applyBorder="1" applyAlignment="1" applyProtection="1">
      <alignment horizontal="center" vertical="center"/>
      <protection hidden="1"/>
    </xf>
    <xf numFmtId="166" fontId="24" fillId="2" borderId="12" xfId="0" applyNumberFormat="1" applyFont="1" applyFill="1" applyBorder="1" applyAlignment="1" applyProtection="1">
      <alignment horizontal="center" vertical="center"/>
      <protection hidden="1"/>
    </xf>
    <xf numFmtId="166" fontId="24" fillId="2" borderId="46" xfId="0" applyNumberFormat="1" applyFont="1" applyFill="1" applyBorder="1" applyAlignment="1" applyProtection="1">
      <alignment horizontal="center" vertical="center"/>
      <protection hidden="1"/>
    </xf>
    <xf numFmtId="166" fontId="24" fillId="2" borderId="15" xfId="0" applyNumberFormat="1" applyFont="1" applyFill="1" applyBorder="1" applyAlignment="1" applyProtection="1">
      <alignment horizontal="center" vertical="center"/>
      <protection hidden="1"/>
    </xf>
    <xf numFmtId="166" fontId="24" fillId="2" borderId="16" xfId="0" applyNumberFormat="1" applyFont="1" applyFill="1" applyBorder="1" applyAlignment="1" applyProtection="1">
      <alignment horizontal="center" vertical="center"/>
      <protection hidden="1"/>
    </xf>
    <xf numFmtId="166" fontId="24" fillId="2" borderId="35" xfId="0" applyNumberFormat="1" applyFont="1" applyFill="1" applyBorder="1" applyAlignment="1" applyProtection="1">
      <alignment horizontal="center" vertical="center"/>
      <protection hidden="1"/>
    </xf>
    <xf numFmtId="0" fontId="31" fillId="0" borderId="6" xfId="0" applyFont="1" applyBorder="1" applyAlignment="1" applyProtection="1">
      <alignment horizontal="right" vertical="center"/>
      <protection hidden="1"/>
    </xf>
    <xf numFmtId="0" fontId="31" fillId="0" borderId="2" xfId="0" applyFont="1" applyBorder="1" applyAlignment="1" applyProtection="1">
      <alignment horizontal="right" vertical="center"/>
      <protection hidden="1"/>
    </xf>
    <xf numFmtId="0" fontId="31" fillId="0" borderId="3" xfId="0" applyFont="1" applyBorder="1" applyAlignment="1" applyProtection="1">
      <alignment horizontal="right" vertical="center"/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7" fillId="2" borderId="12" xfId="0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Alignment="1" applyProtection="1">
      <alignment horizontal="center" vertical="center"/>
      <protection hidden="1"/>
    </xf>
    <xf numFmtId="0" fontId="17" fillId="2" borderId="30" xfId="0" applyFont="1" applyFill="1" applyBorder="1" applyAlignment="1" applyProtection="1">
      <alignment horizontal="center" vertical="center"/>
      <protection hidden="1"/>
    </xf>
    <xf numFmtId="0" fontId="27" fillId="3" borderId="21" xfId="0" applyFont="1" applyFill="1" applyBorder="1" applyAlignment="1" applyProtection="1">
      <alignment horizontal="left" vertical="center"/>
      <protection hidden="1"/>
    </xf>
    <xf numFmtId="0" fontId="27" fillId="3" borderId="22" xfId="0" applyFont="1" applyFill="1" applyBorder="1" applyAlignment="1" applyProtection="1">
      <alignment horizontal="left" vertical="center"/>
      <protection hidden="1"/>
    </xf>
    <xf numFmtId="0" fontId="27" fillId="3" borderId="13" xfId="0" applyFont="1" applyFill="1" applyBorder="1" applyAlignment="1" applyProtection="1">
      <alignment horizontal="left" vertical="center"/>
      <protection hidden="1"/>
    </xf>
    <xf numFmtId="0" fontId="111" fillId="2" borderId="10" xfId="0" applyFont="1" applyFill="1" applyBorder="1" applyAlignment="1" applyProtection="1">
      <alignment horizontal="left" vertical="center"/>
      <protection hidden="1"/>
    </xf>
    <xf numFmtId="0" fontId="111" fillId="2" borderId="7" xfId="0" applyFont="1" applyFill="1" applyBorder="1" applyAlignment="1" applyProtection="1">
      <alignment horizontal="left" vertical="center"/>
      <protection hidden="1"/>
    </xf>
    <xf numFmtId="0" fontId="111" fillId="2" borderId="8" xfId="0" applyFont="1" applyFill="1" applyBorder="1" applyAlignment="1" applyProtection="1">
      <alignment horizontal="left" vertical="center"/>
      <protection hidden="1"/>
    </xf>
    <xf numFmtId="0" fontId="31" fillId="0" borderId="24" xfId="0" applyFont="1" applyBorder="1" applyAlignment="1" applyProtection="1">
      <alignment horizontal="right" vertical="center"/>
      <protection hidden="1"/>
    </xf>
    <xf numFmtId="0" fontId="31" fillId="0" borderId="18" xfId="0" applyFont="1" applyBorder="1" applyAlignment="1" applyProtection="1">
      <alignment horizontal="right" vertical="center"/>
      <protection hidden="1"/>
    </xf>
    <xf numFmtId="165" fontId="27" fillId="0" borderId="11" xfId="0" applyNumberFormat="1" applyFont="1" applyBorder="1" applyAlignment="1" applyProtection="1">
      <alignment horizontal="center" vertic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0" borderId="46" xfId="0" applyNumberFormat="1" applyFont="1" applyBorder="1" applyAlignment="1" applyProtection="1">
      <alignment horizontal="center" vertical="center"/>
      <protection hidden="1"/>
    </xf>
    <xf numFmtId="0" fontId="111" fillId="2" borderId="27" xfId="0" applyFont="1" applyFill="1" applyBorder="1" applyAlignment="1" applyProtection="1">
      <alignment horizontal="left" indent="1"/>
      <protection hidden="1"/>
    </xf>
    <xf numFmtId="0" fontId="111" fillId="2" borderId="0" xfId="0" applyFont="1" applyFill="1" applyAlignment="1" applyProtection="1">
      <alignment horizontal="left" indent="1"/>
      <protection hidden="1"/>
    </xf>
    <xf numFmtId="0" fontId="111" fillId="2" borderId="28" xfId="0" applyFont="1" applyFill="1" applyBorder="1" applyAlignment="1" applyProtection="1">
      <alignment horizontal="left" indent="1"/>
      <protection hidden="1"/>
    </xf>
    <xf numFmtId="0" fontId="141" fillId="6" borderId="2" xfId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/>
      <protection hidden="1"/>
    </xf>
    <xf numFmtId="0" fontId="22" fillId="0" borderId="7" xfId="0" applyFont="1" applyBorder="1" applyAlignment="1" applyProtection="1">
      <alignment horizontal="center" vertical="top"/>
      <protection hidden="1"/>
    </xf>
    <xf numFmtId="0" fontId="63" fillId="0" borderId="4" xfId="0" applyFont="1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wrapText="1"/>
      <protection hidden="1"/>
    </xf>
    <xf numFmtId="0" fontId="53" fillId="6" borderId="1" xfId="0" applyFont="1" applyFill="1" applyBorder="1" applyAlignment="1" applyProtection="1">
      <alignment horizontal="right" vertical="center"/>
      <protection hidden="1"/>
    </xf>
    <xf numFmtId="0" fontId="53" fillId="6" borderId="2" xfId="0" applyFont="1" applyFill="1" applyBorder="1" applyAlignment="1" applyProtection="1">
      <alignment horizontal="right" vertical="center"/>
      <protection hidden="1"/>
    </xf>
    <xf numFmtId="0" fontId="63" fillId="0" borderId="4" xfId="0" applyFont="1" applyBorder="1" applyAlignment="1" applyProtection="1">
      <alignment horizontal="center" shrinkToFit="1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22" fillId="0" borderId="2" xfId="0" applyFont="1" applyBorder="1" applyAlignment="1" applyProtection="1">
      <alignment horizontal="center" vertical="top"/>
      <protection hidden="1"/>
    </xf>
    <xf numFmtId="0" fontId="2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right" vertical="center"/>
      <protection hidden="1"/>
    </xf>
    <xf numFmtId="0" fontId="34" fillId="9" borderId="0" xfId="0" applyFont="1" applyFill="1" applyAlignment="1" applyProtection="1">
      <alignment horizontal="right" vertical="center"/>
      <protection hidden="1"/>
    </xf>
    <xf numFmtId="0" fontId="24" fillId="0" borderId="4" xfId="0" applyFont="1" applyBorder="1" applyAlignment="1" applyProtection="1">
      <alignment horizontal="left" vertical="center"/>
      <protection locked="0"/>
    </xf>
    <xf numFmtId="0" fontId="33" fillId="2" borderId="4" xfId="0" applyFont="1" applyFill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 wrapText="1"/>
      <protection hidden="1"/>
    </xf>
    <xf numFmtId="0" fontId="65" fillId="0" borderId="46" xfId="0" applyFont="1" applyBorder="1" applyAlignment="1" applyProtection="1">
      <alignment horizontal="center" vertical="center"/>
      <protection hidden="1"/>
    </xf>
    <xf numFmtId="0" fontId="84" fillId="0" borderId="0" xfId="0" applyFont="1" applyAlignment="1">
      <alignment horizontal="right" vertical="center" wrapText="1"/>
    </xf>
    <xf numFmtId="0" fontId="25" fillId="4" borderId="1" xfId="0" applyFont="1" applyFill="1" applyBorder="1" applyAlignment="1" applyProtection="1">
      <alignment horizontal="left" vertical="top" wrapText="1"/>
      <protection locked="0"/>
    </xf>
    <xf numFmtId="0" fontId="25" fillId="4" borderId="2" xfId="0" applyFont="1" applyFill="1" applyBorder="1" applyAlignment="1" applyProtection="1">
      <alignment horizontal="left" vertical="top" wrapText="1"/>
      <protection locked="0"/>
    </xf>
    <xf numFmtId="0" fontId="25" fillId="4" borderId="3" xfId="0" applyFont="1" applyFill="1" applyBorder="1" applyAlignment="1" applyProtection="1">
      <alignment horizontal="left" vertical="top" wrapText="1"/>
      <protection locked="0"/>
    </xf>
    <xf numFmtId="0" fontId="77" fillId="0" borderId="52" xfId="0" applyFont="1" applyBorder="1" applyAlignment="1" applyProtection="1">
      <alignment horizontal="left" vertical="center"/>
      <protection hidden="1"/>
    </xf>
    <xf numFmtId="0" fontId="77" fillId="0" borderId="53" xfId="0" applyFont="1" applyBorder="1" applyAlignment="1" applyProtection="1">
      <alignment horizontal="left" vertical="center"/>
      <protection hidden="1"/>
    </xf>
    <xf numFmtId="0" fontId="77" fillId="0" borderId="44" xfId="0" applyFont="1" applyBorder="1" applyAlignment="1" applyProtection="1">
      <alignment horizontal="left" vertical="center"/>
      <protection hidden="1"/>
    </xf>
    <xf numFmtId="0" fontId="77" fillId="0" borderId="56" xfId="0" applyFont="1" applyBorder="1" applyAlignment="1" applyProtection="1">
      <alignment horizontal="left" vertical="center"/>
      <protection hidden="1"/>
    </xf>
    <xf numFmtId="0" fontId="27" fillId="0" borderId="51" xfId="0" applyFont="1" applyBorder="1" applyAlignment="1" applyProtection="1">
      <alignment horizontal="right" vertical="center"/>
      <protection hidden="1"/>
    </xf>
    <xf numFmtId="0" fontId="27" fillId="0" borderId="52" xfId="0" applyFont="1" applyBorder="1" applyAlignment="1" applyProtection="1">
      <alignment horizontal="right" vertical="center"/>
      <protection hidden="1"/>
    </xf>
    <xf numFmtId="0" fontId="27" fillId="0" borderId="43" xfId="0" applyFont="1" applyBorder="1" applyAlignment="1" applyProtection="1">
      <alignment horizontal="right" vertical="center"/>
      <protection hidden="1"/>
    </xf>
    <xf numFmtId="0" fontId="27" fillId="0" borderId="44" xfId="0" applyFont="1" applyBorder="1" applyAlignment="1" applyProtection="1">
      <alignment horizontal="right" vertical="center"/>
      <protection hidden="1"/>
    </xf>
    <xf numFmtId="0" fontId="65" fillId="0" borderId="12" xfId="0" applyFont="1" applyBorder="1" applyAlignment="1" applyProtection="1">
      <alignment horizontal="center" vertical="center"/>
      <protection hidden="1"/>
    </xf>
    <xf numFmtId="0" fontId="70" fillId="0" borderId="1" xfId="0" applyFont="1" applyBorder="1" applyAlignment="1" applyProtection="1">
      <alignment horizontal="left" vertical="center"/>
      <protection locked="0"/>
    </xf>
    <xf numFmtId="0" fontId="70" fillId="0" borderId="2" xfId="0" applyFont="1" applyBorder="1" applyAlignment="1" applyProtection="1">
      <alignment horizontal="left" vertical="center"/>
      <protection locked="0"/>
    </xf>
    <xf numFmtId="0" fontId="70" fillId="0" borderId="3" xfId="0" applyFont="1" applyBorder="1" applyAlignment="1" applyProtection="1">
      <alignment horizontal="left" vertical="center"/>
      <protection locked="0"/>
    </xf>
    <xf numFmtId="0" fontId="32" fillId="0" borderId="6" xfId="0" applyFont="1" applyBorder="1" applyAlignment="1" applyProtection="1">
      <alignment horizontal="right" vertical="center"/>
      <protection hidden="1"/>
    </xf>
    <xf numFmtId="0" fontId="32" fillId="0" borderId="3" xfId="0" applyFont="1" applyBorder="1" applyAlignment="1" applyProtection="1">
      <alignment horizontal="right" vertical="center"/>
      <protection hidden="1"/>
    </xf>
    <xf numFmtId="0" fontId="24" fillId="0" borderId="1" xfId="0" applyFont="1" applyBorder="1" applyAlignment="1" applyProtection="1">
      <alignment horizontal="left"/>
      <protection hidden="1"/>
    </xf>
    <xf numFmtId="0" fontId="24" fillId="0" borderId="2" xfId="0" applyFont="1" applyBorder="1" applyAlignment="1" applyProtection="1">
      <alignment horizontal="left"/>
      <protection hidden="1"/>
    </xf>
    <xf numFmtId="0" fontId="24" fillId="0" borderId="34" xfId="0" applyFont="1" applyBorder="1" applyAlignment="1" applyProtection="1">
      <alignment horizontal="left"/>
      <protection hidden="1"/>
    </xf>
    <xf numFmtId="0" fontId="32" fillId="0" borderId="15" xfId="0" applyFont="1" applyBorder="1" applyAlignment="1" applyProtection="1">
      <alignment horizontal="right" vertical="center" wrapText="1"/>
      <protection hidden="1"/>
    </xf>
    <xf numFmtId="0" fontId="32" fillId="0" borderId="17" xfId="0" applyFont="1" applyBorder="1" applyAlignment="1" applyProtection="1">
      <alignment horizontal="right" vertical="center" wrapText="1"/>
      <protection hidden="1"/>
    </xf>
    <xf numFmtId="0" fontId="17" fillId="0" borderId="19" xfId="0" applyFont="1" applyBorder="1" applyAlignment="1" applyProtection="1">
      <alignment horizontal="left" vertical="top"/>
      <protection hidden="1"/>
    </xf>
    <xf numFmtId="0" fontId="17" fillId="0" borderId="16" xfId="0" applyFont="1" applyBorder="1" applyAlignment="1" applyProtection="1">
      <alignment horizontal="left" vertical="top"/>
      <protection hidden="1"/>
    </xf>
    <xf numFmtId="0" fontId="17" fillId="0" borderId="17" xfId="0" applyFont="1" applyBorder="1" applyAlignment="1" applyProtection="1">
      <alignment horizontal="left" vertical="top"/>
      <protection hidden="1"/>
    </xf>
    <xf numFmtId="0" fontId="17" fillId="0" borderId="35" xfId="0" applyFont="1" applyBorder="1" applyAlignment="1" applyProtection="1">
      <alignment horizontal="left" vertical="top"/>
      <protection hidden="1"/>
    </xf>
    <xf numFmtId="0" fontId="65" fillId="3" borderId="10" xfId="0" applyFont="1" applyFill="1" applyBorder="1" applyAlignment="1" applyProtection="1">
      <alignment horizontal="left" vertical="center"/>
      <protection hidden="1"/>
    </xf>
    <xf numFmtId="0" fontId="65" fillId="3" borderId="7" xfId="0" applyFont="1" applyFill="1" applyBorder="1" applyAlignment="1" applyProtection="1">
      <alignment horizontal="left" vertical="center"/>
      <protection hidden="1"/>
    </xf>
    <xf numFmtId="0" fontId="65" fillId="3" borderId="8" xfId="0" applyFont="1" applyFill="1" applyBorder="1" applyAlignment="1" applyProtection="1">
      <alignment horizontal="left" vertical="center"/>
      <protection hidden="1"/>
    </xf>
    <xf numFmtId="0" fontId="65" fillId="3" borderId="25" xfId="0" applyFont="1" applyFill="1" applyBorder="1" applyAlignment="1" applyProtection="1">
      <alignment horizontal="left" vertical="center"/>
      <protection hidden="1"/>
    </xf>
    <xf numFmtId="0" fontId="65" fillId="3" borderId="5" xfId="0" applyFont="1" applyFill="1" applyBorder="1" applyAlignment="1" applyProtection="1">
      <alignment horizontal="left" vertical="center"/>
      <protection hidden="1"/>
    </xf>
    <xf numFmtId="0" fontId="65" fillId="3" borderId="26" xfId="0" applyFont="1" applyFill="1" applyBorder="1" applyAlignment="1" applyProtection="1">
      <alignment horizontal="left" vertical="center"/>
      <protection hidden="1"/>
    </xf>
    <xf numFmtId="0" fontId="65" fillId="3" borderId="27" xfId="0" applyFont="1" applyFill="1" applyBorder="1" applyAlignment="1" applyProtection="1">
      <alignment horizontal="left" vertical="center" wrapText="1"/>
      <protection hidden="1"/>
    </xf>
    <xf numFmtId="0" fontId="65" fillId="3" borderId="0" xfId="0" applyFont="1" applyFill="1" applyAlignment="1" applyProtection="1">
      <alignment horizontal="left" vertical="center" wrapText="1"/>
      <protection hidden="1"/>
    </xf>
    <xf numFmtId="0" fontId="65" fillId="3" borderId="28" xfId="0" applyFont="1" applyFill="1" applyBorder="1" applyAlignment="1" applyProtection="1">
      <alignment horizontal="left" vertical="center" wrapText="1"/>
      <protection hidden="1"/>
    </xf>
    <xf numFmtId="0" fontId="27" fillId="0" borderId="24" xfId="0" applyFont="1" applyBorder="1" applyAlignment="1" applyProtection="1">
      <alignment horizontal="right" vertical="center"/>
      <protection hidden="1"/>
    </xf>
    <xf numFmtId="0" fontId="27" fillId="0" borderId="18" xfId="0" applyFont="1" applyBorder="1" applyAlignment="1" applyProtection="1">
      <alignment horizontal="right" vertical="center"/>
      <protection hidden="1"/>
    </xf>
    <xf numFmtId="0" fontId="27" fillId="0" borderId="19" xfId="0" applyFont="1" applyBorder="1" applyAlignment="1" applyProtection="1">
      <alignment horizontal="right" vertical="center"/>
      <protection hidden="1"/>
    </xf>
    <xf numFmtId="165" fontId="27" fillId="0" borderId="43" xfId="0" applyNumberFormat="1" applyFont="1" applyBorder="1" applyAlignment="1" applyProtection="1">
      <alignment horizontal="center" vertical="center"/>
      <protection hidden="1"/>
    </xf>
    <xf numFmtId="165" fontId="27" fillId="0" borderId="44" xfId="0" applyNumberFormat="1" applyFont="1" applyBorder="1" applyAlignment="1" applyProtection="1">
      <alignment horizontal="center" vertical="center"/>
      <protection hidden="1"/>
    </xf>
    <xf numFmtId="165" fontId="27" fillId="0" borderId="56" xfId="0" applyNumberFormat="1" applyFont="1" applyBorder="1" applyAlignment="1" applyProtection="1">
      <alignment horizontal="center" vertical="center"/>
      <protection hidden="1"/>
    </xf>
    <xf numFmtId="0" fontId="27" fillId="3" borderId="50" xfId="0" applyFont="1" applyFill="1" applyBorder="1" applyAlignment="1" applyProtection="1">
      <alignment horizontal="left" vertical="center"/>
      <protection hidden="1"/>
    </xf>
    <xf numFmtId="0" fontId="27" fillId="3" borderId="49" xfId="0" applyFont="1" applyFill="1" applyBorder="1" applyAlignment="1" applyProtection="1">
      <alignment horizontal="left" vertical="center"/>
      <protection hidden="1"/>
    </xf>
    <xf numFmtId="0" fontId="27" fillId="3" borderId="69" xfId="0" applyFont="1" applyFill="1" applyBorder="1" applyAlignment="1" applyProtection="1">
      <alignment horizontal="left" vertical="center"/>
      <protection hidden="1"/>
    </xf>
    <xf numFmtId="0" fontId="27" fillId="3" borderId="50" xfId="0" applyFont="1" applyFill="1" applyBorder="1" applyAlignment="1" applyProtection="1">
      <alignment horizontal="left" vertical="center" wrapText="1"/>
      <protection hidden="1"/>
    </xf>
    <xf numFmtId="0" fontId="27" fillId="3" borderId="49" xfId="0" applyFont="1" applyFill="1" applyBorder="1" applyAlignment="1" applyProtection="1">
      <alignment horizontal="left" vertical="center" wrapText="1"/>
      <protection hidden="1"/>
    </xf>
    <xf numFmtId="0" fontId="27" fillId="3" borderId="69" xfId="0" applyFont="1" applyFill="1" applyBorder="1" applyAlignment="1" applyProtection="1">
      <alignment horizontal="left" vertical="center" wrapText="1"/>
      <protection hidden="1"/>
    </xf>
    <xf numFmtId="0" fontId="28" fillId="0" borderId="11" xfId="0" applyFont="1" applyBorder="1" applyAlignment="1" applyProtection="1">
      <alignment horizontal="left" vertical="center" wrapText="1" indent="1"/>
      <protection hidden="1"/>
    </xf>
    <xf numFmtId="0" fontId="28" fillId="0" borderId="12" xfId="0" applyFont="1" applyBorder="1" applyAlignment="1" applyProtection="1">
      <alignment horizontal="left" vertical="center" wrapText="1" indent="1"/>
      <protection hidden="1"/>
    </xf>
    <xf numFmtId="0" fontId="165" fillId="0" borderId="58" xfId="0" applyFont="1" applyBorder="1" applyAlignment="1" applyProtection="1">
      <alignment horizontal="left" vertical="center" wrapText="1" indent="3"/>
      <protection hidden="1"/>
    </xf>
    <xf numFmtId="0" fontId="165" fillId="0" borderId="5" xfId="0" applyFont="1" applyBorder="1" applyAlignment="1" applyProtection="1">
      <alignment horizontal="left" vertical="center" wrapText="1" indent="3"/>
      <protection hidden="1"/>
    </xf>
    <xf numFmtId="0" fontId="165" fillId="0" borderId="6" xfId="0" applyFont="1" applyBorder="1" applyAlignment="1" applyProtection="1">
      <alignment horizontal="left" vertical="center" wrapText="1" indent="3"/>
      <protection hidden="1"/>
    </xf>
    <xf numFmtId="0" fontId="165" fillId="0" borderId="2" xfId="0" applyFont="1" applyBorder="1" applyAlignment="1" applyProtection="1">
      <alignment horizontal="left" vertical="center" wrapText="1" indent="3"/>
      <protection hidden="1"/>
    </xf>
    <xf numFmtId="0" fontId="165" fillId="0" borderId="74" xfId="0" applyFont="1" applyBorder="1" applyAlignment="1" applyProtection="1">
      <alignment horizontal="left" vertical="center" wrapText="1" indent="3"/>
      <protection hidden="1"/>
    </xf>
    <xf numFmtId="0" fontId="165" fillId="0" borderId="75" xfId="0" applyFont="1" applyBorder="1" applyAlignment="1" applyProtection="1">
      <alignment horizontal="left" vertical="center" wrapText="1" indent="3"/>
      <protection hidden="1"/>
    </xf>
    <xf numFmtId="0" fontId="196" fillId="0" borderId="88" xfId="0" quotePrefix="1" applyFont="1" applyBorder="1" applyAlignment="1" applyProtection="1">
      <alignment horizontal="left" vertical="center" wrapText="1" indent="3"/>
      <protection hidden="1"/>
    </xf>
    <xf numFmtId="0" fontId="196" fillId="0" borderId="116" xfId="0" applyFont="1" applyBorder="1" applyAlignment="1" applyProtection="1">
      <alignment horizontal="left" vertical="center" wrapText="1" indent="3"/>
      <protection hidden="1"/>
    </xf>
    <xf numFmtId="0" fontId="27" fillId="0" borderId="99" xfId="0" applyFont="1" applyBorder="1" applyAlignment="1" applyProtection="1">
      <alignment horizontal="left" vertical="center" wrapText="1" indent="1"/>
      <protection hidden="1"/>
    </xf>
    <xf numFmtId="0" fontId="27" fillId="0" borderId="95" xfId="0" applyFont="1" applyBorder="1" applyAlignment="1" applyProtection="1">
      <alignment horizontal="left" vertical="center" wrapText="1" indent="1"/>
      <protection hidden="1"/>
    </xf>
    <xf numFmtId="0" fontId="28" fillId="0" borderId="58" xfId="0" applyFont="1" applyBorder="1" applyAlignment="1" applyProtection="1">
      <alignment horizontal="left" vertical="center" wrapText="1" indent="3"/>
      <protection hidden="1"/>
    </xf>
    <xf numFmtId="0" fontId="28" fillId="0" borderId="40" xfId="0" applyFont="1" applyBorder="1" applyAlignment="1" applyProtection="1">
      <alignment horizontal="left" vertical="center" wrapText="1" indent="1"/>
      <protection hidden="1"/>
    </xf>
    <xf numFmtId="0" fontId="28" fillId="0" borderId="7" xfId="0" applyFont="1" applyBorder="1" applyAlignment="1" applyProtection="1">
      <alignment horizontal="left" vertical="center" wrapText="1" indent="1"/>
      <protection hidden="1"/>
    </xf>
    <xf numFmtId="0" fontId="27" fillId="0" borderId="21" xfId="0" applyFont="1" applyBorder="1" applyAlignment="1" applyProtection="1">
      <alignment horizontal="right" vertical="center" wrapText="1"/>
      <protection hidden="1"/>
    </xf>
    <xf numFmtId="0" fontId="27" fillId="0" borderId="22" xfId="0" applyFont="1" applyBorder="1" applyAlignment="1" applyProtection="1">
      <alignment horizontal="right" vertical="center" wrapText="1"/>
      <protection hidden="1"/>
    </xf>
    <xf numFmtId="0" fontId="27" fillId="0" borderId="23" xfId="0" applyFont="1" applyBorder="1" applyAlignment="1" applyProtection="1">
      <alignment horizontal="right" vertical="center" wrapText="1"/>
      <protection hidden="1"/>
    </xf>
    <xf numFmtId="168" fontId="138" fillId="0" borderId="1" xfId="0" applyNumberFormat="1" applyFont="1" applyBorder="1" applyAlignment="1" applyProtection="1">
      <alignment horizontal="right" vertical="center" wrapText="1"/>
      <protection locked="0"/>
    </xf>
    <xf numFmtId="168" fontId="138" fillId="0" borderId="2" xfId="0" applyNumberFormat="1" applyFont="1" applyBorder="1" applyAlignment="1" applyProtection="1">
      <alignment horizontal="right" vertical="center" wrapText="1"/>
      <protection locked="0"/>
    </xf>
    <xf numFmtId="0" fontId="142" fillId="6" borderId="44" xfId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63" fillId="0" borderId="4" xfId="0" applyFont="1" applyBorder="1" applyAlignment="1" applyProtection="1">
      <alignment horizontal="center" vertical="center"/>
      <protection locked="0"/>
    </xf>
    <xf numFmtId="0" fontId="63" fillId="0" borderId="4" xfId="0" applyFont="1" applyBorder="1" applyAlignment="1" applyProtection="1">
      <alignment horizontal="center" vertical="center" shrinkToFit="1"/>
      <protection locked="0"/>
    </xf>
    <xf numFmtId="0" fontId="142" fillId="6" borderId="52" xfId="1" applyFont="1" applyFill="1" applyBorder="1" applyAlignment="1" applyProtection="1">
      <alignment horizontal="left" vertical="center"/>
      <protection hidden="1"/>
    </xf>
    <xf numFmtId="0" fontId="144" fillId="6" borderId="52" xfId="1" applyFont="1" applyFill="1" applyBorder="1" applyAlignment="1" applyProtection="1">
      <alignment horizontal="left" vertical="center" wrapText="1"/>
      <protection hidden="1"/>
    </xf>
    <xf numFmtId="0" fontId="144" fillId="6" borderId="44" xfId="1" applyFont="1" applyFill="1" applyBorder="1" applyAlignment="1" applyProtection="1">
      <alignment horizontal="left" vertical="center" wrapText="1"/>
      <protection hidden="1"/>
    </xf>
    <xf numFmtId="0" fontId="142" fillId="6" borderId="53" xfId="1" applyFont="1" applyFill="1" applyBorder="1" applyAlignment="1" applyProtection="1">
      <alignment horizontal="center" vertical="center" wrapText="1"/>
      <protection hidden="1"/>
    </xf>
    <xf numFmtId="0" fontId="142" fillId="6" borderId="56" xfId="1" applyFont="1" applyFill="1" applyBorder="1" applyAlignment="1" applyProtection="1">
      <alignment horizontal="center" vertical="center" wrapText="1"/>
      <protection hidden="1"/>
    </xf>
    <xf numFmtId="0" fontId="76" fillId="6" borderId="51" xfId="0" applyFont="1" applyFill="1" applyBorder="1" applyAlignment="1" applyProtection="1">
      <alignment horizontal="right" vertical="center"/>
      <protection hidden="1"/>
    </xf>
    <xf numFmtId="0" fontId="76" fillId="6" borderId="52" xfId="0" applyFont="1" applyFill="1" applyBorder="1" applyAlignment="1" applyProtection="1">
      <alignment horizontal="right" vertical="center"/>
      <protection hidden="1"/>
    </xf>
    <xf numFmtId="0" fontId="76" fillId="6" borderId="43" xfId="0" applyFont="1" applyFill="1" applyBorder="1" applyAlignment="1" applyProtection="1">
      <alignment horizontal="right" vertical="center"/>
      <protection hidden="1"/>
    </xf>
    <xf numFmtId="0" fontId="76" fillId="6" borderId="44" xfId="0" applyFont="1" applyFill="1" applyBorder="1" applyAlignment="1" applyProtection="1">
      <alignment horizontal="right" vertical="center"/>
      <protection hidden="1"/>
    </xf>
    <xf numFmtId="0" fontId="142" fillId="6" borderId="52" xfId="1" applyFont="1" applyFill="1" applyBorder="1" applyAlignment="1" applyProtection="1">
      <alignment horizontal="center" vertical="center"/>
      <protection hidden="1"/>
    </xf>
    <xf numFmtId="0" fontId="142" fillId="6" borderId="44" xfId="1" applyFont="1" applyFill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27" fillId="3" borderId="50" xfId="0" applyFont="1" applyFill="1" applyBorder="1" applyAlignment="1" applyProtection="1">
      <alignment horizontal="left"/>
      <protection hidden="1"/>
    </xf>
    <xf numFmtId="0" fontId="27" fillId="3" borderId="49" xfId="0" applyFont="1" applyFill="1" applyBorder="1" applyAlignment="1" applyProtection="1">
      <alignment horizontal="left"/>
      <protection hidden="1"/>
    </xf>
    <xf numFmtId="0" fontId="27" fillId="3" borderId="69" xfId="0" applyFont="1" applyFill="1" applyBorder="1" applyAlignment="1" applyProtection="1">
      <alignment horizontal="left"/>
      <protection hidden="1"/>
    </xf>
    <xf numFmtId="0" fontId="27" fillId="3" borderId="50" xfId="0" applyFont="1" applyFill="1" applyBorder="1" applyAlignment="1" applyProtection="1">
      <alignment horizontal="left" wrapText="1"/>
      <protection hidden="1"/>
    </xf>
    <xf numFmtId="0" fontId="27" fillId="3" borderId="49" xfId="0" applyFont="1" applyFill="1" applyBorder="1" applyAlignment="1" applyProtection="1">
      <alignment horizontal="left" wrapText="1"/>
      <protection hidden="1"/>
    </xf>
    <xf numFmtId="0" fontId="27" fillId="3" borderId="69" xfId="0" applyFont="1" applyFill="1" applyBorder="1" applyAlignment="1" applyProtection="1">
      <alignment horizontal="left" wrapText="1"/>
      <protection hidden="1"/>
    </xf>
    <xf numFmtId="0" fontId="27" fillId="0" borderId="99" xfId="0" applyFont="1" applyBorder="1" applyAlignment="1" applyProtection="1">
      <alignment horizontal="left" wrapText="1" indent="1"/>
      <protection hidden="1"/>
    </xf>
    <xf numFmtId="0" fontId="27" fillId="0" borderId="95" xfId="0" applyFont="1" applyBorder="1" applyAlignment="1" applyProtection="1">
      <alignment horizontal="left" wrapText="1" indent="1"/>
      <protection hidden="1"/>
    </xf>
    <xf numFmtId="0" fontId="18" fillId="0" borderId="58" xfId="0" applyFont="1" applyBorder="1" applyAlignment="1" applyProtection="1">
      <alignment horizontal="left" vertical="center" wrapText="1" indent="3"/>
      <protection hidden="1"/>
    </xf>
    <xf numFmtId="0" fontId="18" fillId="0" borderId="5" xfId="0" applyFont="1" applyBorder="1" applyAlignment="1" applyProtection="1">
      <alignment horizontal="left" vertical="center" wrapText="1" indent="3"/>
      <protection hidden="1"/>
    </xf>
    <xf numFmtId="0" fontId="18" fillId="0" borderId="74" xfId="0" applyFont="1" applyBorder="1" applyAlignment="1" applyProtection="1">
      <alignment horizontal="left" vertical="center" wrapText="1" indent="3"/>
      <protection hidden="1"/>
    </xf>
    <xf numFmtId="0" fontId="18" fillId="0" borderId="75" xfId="0" applyFont="1" applyBorder="1" applyAlignment="1" applyProtection="1">
      <alignment horizontal="left" vertical="center" wrapText="1" indent="3"/>
      <protection hidden="1"/>
    </xf>
    <xf numFmtId="0" fontId="18" fillId="0" borderId="6" xfId="0" applyFont="1" applyBorder="1" applyAlignment="1" applyProtection="1">
      <alignment horizontal="left" vertical="center" wrapText="1" indent="3"/>
      <protection hidden="1"/>
    </xf>
    <xf numFmtId="0" fontId="18" fillId="0" borderId="2" xfId="0" applyFont="1" applyBorder="1" applyAlignment="1" applyProtection="1">
      <alignment horizontal="left" vertical="center" wrapText="1" indent="3"/>
      <protection hidden="1"/>
    </xf>
    <xf numFmtId="0" fontId="78" fillId="0" borderId="58" xfId="0" applyFont="1" applyBorder="1" applyAlignment="1" applyProtection="1">
      <alignment horizontal="left" vertical="center" wrapText="1" indent="3"/>
      <protection hidden="1"/>
    </xf>
    <xf numFmtId="0" fontId="78" fillId="0" borderId="5" xfId="0" applyFont="1" applyBorder="1" applyAlignment="1" applyProtection="1">
      <alignment horizontal="left" vertical="center" wrapText="1" indent="3"/>
      <protection hidden="1"/>
    </xf>
    <xf numFmtId="0" fontId="78" fillId="0" borderId="6" xfId="0" applyFont="1" applyBorder="1" applyAlignment="1" applyProtection="1">
      <alignment horizontal="left" vertical="center" wrapText="1" indent="3"/>
      <protection hidden="1"/>
    </xf>
    <xf numFmtId="0" fontId="78" fillId="0" borderId="2" xfId="0" applyFont="1" applyBorder="1" applyAlignment="1" applyProtection="1">
      <alignment horizontal="left" vertical="center" wrapText="1" indent="3"/>
      <protection hidden="1"/>
    </xf>
    <xf numFmtId="0" fontId="78" fillId="0" borderId="74" xfId="0" applyFont="1" applyBorder="1" applyAlignment="1" applyProtection="1">
      <alignment horizontal="left" vertical="center" wrapText="1" indent="3"/>
      <protection hidden="1"/>
    </xf>
    <xf numFmtId="0" fontId="78" fillId="0" borderId="75" xfId="0" applyFont="1" applyBorder="1" applyAlignment="1" applyProtection="1">
      <alignment horizontal="left" vertical="center" wrapText="1" indent="3"/>
      <protection hidden="1"/>
    </xf>
    <xf numFmtId="0" fontId="28" fillId="0" borderId="82" xfId="0" applyFont="1" applyBorder="1" applyAlignment="1" applyProtection="1">
      <alignment horizontal="left" vertical="center" wrapText="1" indent="1"/>
      <protection hidden="1"/>
    </xf>
    <xf numFmtId="0" fontId="28" fillId="0" borderId="83" xfId="0" applyFont="1" applyBorder="1" applyAlignment="1" applyProtection="1">
      <alignment horizontal="left" vertical="center" wrapText="1" indent="1"/>
      <protection hidden="1"/>
    </xf>
    <xf numFmtId="0" fontId="28" fillId="0" borderId="15" xfId="0" applyFont="1" applyBorder="1" applyAlignment="1" applyProtection="1">
      <alignment horizontal="left" vertical="center" wrapText="1" indent="1"/>
      <protection hidden="1"/>
    </xf>
    <xf numFmtId="0" fontId="28" fillId="0" borderId="16" xfId="0" applyFont="1" applyBorder="1" applyAlignment="1" applyProtection="1">
      <alignment horizontal="left" vertical="center" wrapText="1" indent="1"/>
      <protection hidden="1"/>
    </xf>
    <xf numFmtId="0" fontId="27" fillId="0" borderId="73" xfId="0" applyFont="1" applyBorder="1" applyAlignment="1" applyProtection="1">
      <alignment horizontal="right" vertical="center" wrapText="1"/>
      <protection hidden="1"/>
    </xf>
    <xf numFmtId="0" fontId="27" fillId="0" borderId="29" xfId="0" applyFont="1" applyBorder="1" applyAlignment="1" applyProtection="1">
      <alignment horizontal="right" vertical="center" wrapText="1"/>
      <protection hidden="1"/>
    </xf>
    <xf numFmtId="0" fontId="27" fillId="0" borderId="25" xfId="0" applyFont="1" applyBorder="1" applyAlignment="1" applyProtection="1">
      <alignment horizontal="right" vertical="center" wrapText="1"/>
      <protection hidden="1"/>
    </xf>
    <xf numFmtId="164" fontId="24" fillId="2" borderId="11" xfId="0" applyNumberFormat="1" applyFont="1" applyFill="1" applyBorder="1" applyAlignment="1" applyProtection="1">
      <alignment horizontal="center" vertical="center"/>
      <protection hidden="1"/>
    </xf>
    <xf numFmtId="164" fontId="24" fillId="2" borderId="12" xfId="0" applyNumberFormat="1" applyFont="1" applyFill="1" applyBorder="1" applyAlignment="1" applyProtection="1">
      <alignment horizontal="center" vertical="center"/>
      <protection hidden="1"/>
    </xf>
    <xf numFmtId="164" fontId="24" fillId="2" borderId="46" xfId="0" applyNumberFormat="1" applyFont="1" applyFill="1" applyBorder="1" applyAlignment="1" applyProtection="1">
      <alignment horizontal="center" vertical="center"/>
      <protection hidden="1"/>
    </xf>
    <xf numFmtId="0" fontId="17" fillId="2" borderId="24" xfId="0" applyFont="1" applyFill="1" applyBorder="1" applyAlignment="1" applyProtection="1">
      <alignment horizontal="right" vertical="center"/>
      <protection hidden="1"/>
    </xf>
    <xf numFmtId="0" fontId="17" fillId="2" borderId="18" xfId="0" applyFont="1" applyFill="1" applyBorder="1" applyAlignment="1" applyProtection="1">
      <alignment horizontal="right" vertical="center"/>
      <protection hidden="1"/>
    </xf>
    <xf numFmtId="0" fontId="17" fillId="2" borderId="19" xfId="0" applyFont="1" applyFill="1" applyBorder="1" applyAlignment="1" applyProtection="1">
      <alignment horizontal="right" vertical="center"/>
      <protection hidden="1"/>
    </xf>
    <xf numFmtId="164" fontId="24" fillId="2" borderId="15" xfId="0" applyNumberFormat="1" applyFont="1" applyFill="1" applyBorder="1" applyAlignment="1" applyProtection="1">
      <alignment horizontal="center" vertical="center"/>
      <protection hidden="1"/>
    </xf>
    <xf numFmtId="164" fontId="24" fillId="2" borderId="16" xfId="0" applyNumberFormat="1" applyFont="1" applyFill="1" applyBorder="1" applyAlignment="1" applyProtection="1">
      <alignment horizontal="center" vertical="center"/>
      <protection hidden="1"/>
    </xf>
    <xf numFmtId="164" fontId="24" fillId="2" borderId="35" xfId="0" applyNumberFormat="1" applyFont="1" applyFill="1" applyBorder="1" applyAlignment="1" applyProtection="1">
      <alignment horizontal="center" vertical="center"/>
      <protection hidden="1"/>
    </xf>
    <xf numFmtId="0" fontId="17" fillId="2" borderId="50" xfId="0" applyFont="1" applyFill="1" applyBorder="1" applyAlignment="1" applyProtection="1">
      <alignment horizontal="right" vertical="center"/>
      <protection hidden="1"/>
    </xf>
    <xf numFmtId="0" fontId="17" fillId="2" borderId="49" xfId="0" applyFont="1" applyFill="1" applyBorder="1" applyAlignment="1" applyProtection="1">
      <alignment horizontal="right" vertical="center"/>
      <protection hidden="1"/>
    </xf>
    <xf numFmtId="0" fontId="17" fillId="2" borderId="50" xfId="0" applyFont="1" applyFill="1" applyBorder="1" applyAlignment="1" applyProtection="1">
      <alignment horizontal="center" vertical="center"/>
      <protection hidden="1"/>
    </xf>
    <xf numFmtId="0" fontId="17" fillId="2" borderId="69" xfId="0" applyFont="1" applyFill="1" applyBorder="1" applyAlignment="1" applyProtection="1">
      <alignment horizontal="center" vertical="center"/>
      <protection hidden="1"/>
    </xf>
    <xf numFmtId="0" fontId="17" fillId="2" borderId="49" xfId="0" applyFont="1" applyFill="1" applyBorder="1" applyAlignment="1" applyProtection="1">
      <alignment horizontal="center" vertical="center"/>
      <protection hidden="1"/>
    </xf>
    <xf numFmtId="0" fontId="31" fillId="0" borderId="58" xfId="0" applyFont="1" applyBorder="1" applyAlignment="1" applyProtection="1">
      <alignment horizontal="right" vertical="center"/>
      <protection hidden="1"/>
    </xf>
    <xf numFmtId="0" fontId="31" fillId="0" borderId="5" xfId="0" applyFont="1" applyBorder="1" applyAlignment="1" applyProtection="1">
      <alignment horizontal="right" vertical="center"/>
      <protection hidden="1"/>
    </xf>
    <xf numFmtId="0" fontId="31" fillId="0" borderId="19" xfId="0" applyFont="1" applyBorder="1" applyAlignment="1" applyProtection="1">
      <alignment horizontal="right" vertical="center"/>
      <protection hidden="1"/>
    </xf>
    <xf numFmtId="0" fontId="27" fillId="3" borderId="71" xfId="0" applyFont="1" applyFill="1" applyBorder="1" applyAlignment="1" applyProtection="1">
      <alignment horizontal="left" vertical="center"/>
      <protection hidden="1"/>
    </xf>
    <xf numFmtId="0" fontId="27" fillId="3" borderId="72" xfId="0" applyFont="1" applyFill="1" applyBorder="1" applyAlignment="1" applyProtection="1">
      <alignment horizontal="left" vertical="center"/>
      <protection hidden="1"/>
    </xf>
    <xf numFmtId="0" fontId="27" fillId="3" borderId="47" xfId="0" applyFont="1" applyFill="1" applyBorder="1" applyAlignment="1" applyProtection="1">
      <alignment horizontal="left" vertical="center"/>
      <protection hidden="1"/>
    </xf>
    <xf numFmtId="0" fontId="24" fillId="0" borderId="58" xfId="0" applyFont="1" applyBorder="1" applyAlignment="1" applyProtection="1">
      <alignment horizontal="right" vertical="center"/>
      <protection hidden="1"/>
    </xf>
    <xf numFmtId="0" fontId="24" fillId="0" borderId="5" xfId="0" applyFont="1" applyBorder="1" applyAlignment="1" applyProtection="1">
      <alignment horizontal="right" vertical="center"/>
      <protection hidden="1"/>
    </xf>
    <xf numFmtId="0" fontId="24" fillId="0" borderId="11" xfId="0" applyFont="1" applyBorder="1" applyAlignment="1" applyProtection="1">
      <alignment horizontal="left" vertical="center"/>
      <protection hidden="1"/>
    </xf>
    <xf numFmtId="0" fontId="24" fillId="0" borderId="12" xfId="0" applyFont="1" applyBorder="1" applyAlignment="1" applyProtection="1">
      <alignment horizontal="left" vertical="center"/>
      <protection hidden="1"/>
    </xf>
    <xf numFmtId="0" fontId="24" fillId="0" borderId="46" xfId="0" applyFont="1" applyBorder="1" applyAlignment="1" applyProtection="1">
      <alignment horizontal="left" vertical="center"/>
      <protection hidden="1"/>
    </xf>
    <xf numFmtId="0" fontId="24" fillId="0" borderId="15" xfId="0" applyFont="1" applyBorder="1" applyAlignment="1" applyProtection="1">
      <alignment horizontal="right" vertical="center" wrapText="1"/>
      <protection hidden="1"/>
    </xf>
    <xf numFmtId="0" fontId="24" fillId="0" borderId="16" xfId="0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 applyProtection="1">
      <alignment horizontal="left" vertical="top"/>
      <protection hidden="1"/>
    </xf>
    <xf numFmtId="0" fontId="79" fillId="7" borderId="4" xfId="0" applyFont="1" applyFill="1" applyBorder="1" applyAlignment="1" applyProtection="1">
      <alignment horizontal="right" vertical="center" wrapText="1"/>
      <protection hidden="1"/>
    </xf>
    <xf numFmtId="0" fontId="79" fillId="2" borderId="4" xfId="0" applyFont="1" applyFill="1" applyBorder="1" applyAlignment="1" applyProtection="1">
      <alignment horizontal="right" vertical="center" wrapText="1"/>
      <protection hidden="1"/>
    </xf>
    <xf numFmtId="0" fontId="17" fillId="2" borderId="21" xfId="0" applyFont="1" applyFill="1" applyBorder="1" applyAlignment="1" applyProtection="1">
      <alignment horizontal="right" vertical="center"/>
      <protection hidden="1"/>
    </xf>
    <xf numFmtId="0" fontId="17" fillId="2" borderId="22" xfId="0" applyFont="1" applyFill="1" applyBorder="1" applyAlignment="1" applyProtection="1">
      <alignment horizontal="right" vertical="center"/>
      <protection hidden="1"/>
    </xf>
    <xf numFmtId="0" fontId="17" fillId="2" borderId="23" xfId="0" applyFont="1" applyFill="1" applyBorder="1" applyAlignment="1" applyProtection="1">
      <alignment horizontal="right" vertical="center"/>
      <protection hidden="1"/>
    </xf>
    <xf numFmtId="0" fontId="20" fillId="0" borderId="0" xfId="0" quotePrefix="1" applyFont="1" applyAlignment="1">
      <alignment horizontal="center" vertical="top"/>
    </xf>
    <xf numFmtId="0" fontId="182" fillId="0" borderId="116" xfId="0" applyFont="1" applyBorder="1" applyAlignment="1">
      <alignment horizontal="center"/>
    </xf>
    <xf numFmtId="0" fontId="79" fillId="0" borderId="137" xfId="0" quotePrefix="1" applyFont="1" applyBorder="1" applyAlignment="1">
      <alignment horizontal="center"/>
    </xf>
    <xf numFmtId="0" fontId="79" fillId="0" borderId="137" xfId="0" applyFont="1" applyBorder="1" applyAlignment="1">
      <alignment horizontal="center"/>
    </xf>
    <xf numFmtId="0" fontId="192" fillId="0" borderId="0" xfId="0" quotePrefix="1" applyFont="1" applyAlignment="1">
      <alignment horizontal="center" vertical="top"/>
    </xf>
    <xf numFmtId="0" fontId="79" fillId="0" borderId="137" xfId="0" applyFont="1" applyBorder="1" applyAlignment="1" applyProtection="1">
      <alignment horizontal="center"/>
      <protection locked="0"/>
    </xf>
    <xf numFmtId="0" fontId="70" fillId="0" borderId="29" xfId="0" quotePrefix="1" applyFont="1" applyBorder="1" applyAlignment="1">
      <alignment horizontal="left" vertical="center" indent="1"/>
    </xf>
    <xf numFmtId="0" fontId="70" fillId="0" borderId="25" xfId="0" applyFont="1" applyBorder="1" applyAlignment="1">
      <alignment horizontal="left" vertical="center" indent="1"/>
    </xf>
    <xf numFmtId="0" fontId="167" fillId="0" borderId="126" xfId="0" quotePrefix="1" applyFont="1" applyBorder="1" applyAlignment="1">
      <alignment horizontal="left" vertical="center" indent="2"/>
    </xf>
    <xf numFmtId="0" fontId="167" fillId="0" borderId="119" xfId="0" quotePrefix="1" applyFont="1" applyBorder="1" applyAlignment="1">
      <alignment horizontal="left" vertical="center" indent="2"/>
    </xf>
    <xf numFmtId="0" fontId="180" fillId="2" borderId="1" xfId="0" quotePrefix="1" applyFont="1" applyFill="1" applyBorder="1" applyAlignment="1">
      <alignment horizontal="left" vertical="center"/>
    </xf>
    <xf numFmtId="0" fontId="180" fillId="2" borderId="2" xfId="0" quotePrefix="1" applyFont="1" applyFill="1" applyBorder="1" applyAlignment="1">
      <alignment horizontal="left" vertical="center"/>
    </xf>
    <xf numFmtId="0" fontId="180" fillId="2" borderId="3" xfId="0" quotePrefix="1" applyFont="1" applyFill="1" applyBorder="1" applyAlignment="1">
      <alignment horizontal="left" vertical="center"/>
    </xf>
    <xf numFmtId="0" fontId="181" fillId="0" borderId="137" xfId="0" quotePrefix="1" applyFont="1" applyBorder="1" applyAlignment="1" applyProtection="1">
      <alignment horizontal="left" vertical="center"/>
      <protection locked="0"/>
    </xf>
    <xf numFmtId="0" fontId="181" fillId="0" borderId="137" xfId="0" applyFont="1" applyBorder="1" applyAlignment="1" applyProtection="1">
      <alignment horizontal="left" vertical="center"/>
      <protection locked="0"/>
    </xf>
    <xf numFmtId="0" fontId="192" fillId="0" borderId="0" xfId="0" applyFont="1" applyAlignment="1">
      <alignment horizontal="center" vertical="top"/>
    </xf>
    <xf numFmtId="0" fontId="70" fillId="4" borderId="1" xfId="0" applyFont="1" applyFill="1" applyBorder="1" applyAlignment="1" applyProtection="1">
      <alignment horizontal="left" vertical="top"/>
      <protection locked="0"/>
    </xf>
    <xf numFmtId="0" fontId="70" fillId="4" borderId="2" xfId="0" applyFont="1" applyFill="1" applyBorder="1" applyAlignment="1" applyProtection="1">
      <alignment horizontal="left" vertical="top"/>
      <protection locked="0"/>
    </xf>
    <xf numFmtId="0" fontId="70" fillId="4" borderId="3" xfId="0" applyFont="1" applyFill="1" applyBorder="1" applyAlignment="1" applyProtection="1">
      <alignment horizontal="left" vertical="top"/>
      <protection locked="0"/>
    </xf>
    <xf numFmtId="0" fontId="70" fillId="0" borderId="126" xfId="0" quotePrefix="1" applyFont="1" applyBorder="1" applyAlignment="1">
      <alignment horizontal="left" vertical="center" indent="1"/>
    </xf>
    <xf numFmtId="0" fontId="70" fillId="0" borderId="119" xfId="0" applyFont="1" applyBorder="1" applyAlignment="1">
      <alignment horizontal="left" vertical="center" indent="1"/>
    </xf>
    <xf numFmtId="0" fontId="180" fillId="2" borderId="1" xfId="0" quotePrefix="1" applyFont="1" applyFill="1" applyBorder="1" applyAlignment="1">
      <alignment horizontal="left"/>
    </xf>
    <xf numFmtId="0" fontId="180" fillId="2" borderId="2" xfId="0" quotePrefix="1" applyFont="1" applyFill="1" applyBorder="1" applyAlignment="1">
      <alignment horizontal="left"/>
    </xf>
    <xf numFmtId="0" fontId="180" fillId="2" borderId="3" xfId="0" quotePrefix="1" applyFont="1" applyFill="1" applyBorder="1" applyAlignment="1">
      <alignment horizontal="left"/>
    </xf>
    <xf numFmtId="0" fontId="167" fillId="0" borderId="139" xfId="0" quotePrefix="1" applyFont="1" applyBorder="1" applyAlignment="1">
      <alignment horizontal="left" vertical="center" wrapText="1" indent="2"/>
    </xf>
    <xf numFmtId="0" fontId="167" fillId="0" borderId="124" xfId="0" quotePrefix="1" applyFont="1" applyBorder="1" applyAlignment="1">
      <alignment horizontal="left" vertical="center" wrapText="1" indent="2"/>
    </xf>
    <xf numFmtId="0" fontId="69" fillId="4" borderId="4" xfId="0" quotePrefix="1" applyFont="1" applyFill="1" applyBorder="1" applyAlignment="1">
      <alignment horizontal="left" vertical="center" indent="1"/>
    </xf>
    <xf numFmtId="0" fontId="69" fillId="4" borderId="1" xfId="0" quotePrefix="1" applyFont="1" applyFill="1" applyBorder="1" applyAlignment="1">
      <alignment horizontal="left" vertical="center" indent="1"/>
    </xf>
    <xf numFmtId="0" fontId="191" fillId="0" borderId="0" xfId="0" quotePrefix="1" applyFont="1" applyAlignment="1">
      <alignment horizontal="left" wrapText="1"/>
    </xf>
    <xf numFmtId="0" fontId="191" fillId="0" borderId="0" xfId="0" applyFont="1" applyAlignment="1">
      <alignment horizontal="left"/>
    </xf>
    <xf numFmtId="0" fontId="167" fillId="0" borderId="127" xfId="0" quotePrefix="1" applyFont="1" applyBorder="1" applyAlignment="1">
      <alignment horizontal="left" vertical="center" wrapText="1" indent="2"/>
    </xf>
    <xf numFmtId="0" fontId="167" fillId="0" borderId="121" xfId="0" quotePrefix="1" applyFont="1" applyBorder="1" applyAlignment="1">
      <alignment horizontal="left" vertical="center" wrapText="1" indent="2"/>
    </xf>
    <xf numFmtId="0" fontId="69" fillId="4" borderId="2" xfId="0" quotePrefix="1" applyFont="1" applyFill="1" applyBorder="1" applyAlignment="1">
      <alignment horizontal="left" vertical="center" indent="1"/>
    </xf>
    <xf numFmtId="0" fontId="69" fillId="4" borderId="3" xfId="0" quotePrefix="1" applyFont="1" applyFill="1" applyBorder="1" applyAlignment="1">
      <alignment horizontal="left" vertical="center" indent="1"/>
    </xf>
    <xf numFmtId="0" fontId="69" fillId="0" borderId="9" xfId="0" quotePrefix="1" applyFont="1" applyBorder="1" applyAlignment="1">
      <alignment horizontal="right" vertical="center" wrapText="1"/>
    </xf>
    <xf numFmtId="0" fontId="69" fillId="0" borderId="29" xfId="0" quotePrefix="1" applyFont="1" applyBorder="1" applyAlignment="1">
      <alignment horizontal="right" vertical="center" wrapText="1"/>
    </xf>
    <xf numFmtId="0" fontId="69" fillId="0" borderId="0" xfId="0" quotePrefix="1" applyFont="1" applyAlignment="1">
      <alignment horizontal="right" wrapText="1" justifyLastLine="1"/>
    </xf>
    <xf numFmtId="0" fontId="69" fillId="0" borderId="0" xfId="0" applyFont="1" applyAlignment="1">
      <alignment horizontal="right" justifyLastLine="1"/>
    </xf>
    <xf numFmtId="0" fontId="79" fillId="0" borderId="4" xfId="0" applyFont="1" applyBorder="1" applyAlignment="1">
      <alignment horizontal="center" vertical="center"/>
    </xf>
    <xf numFmtId="0" fontId="79" fillId="0" borderId="4" xfId="0" applyFont="1" applyBorder="1" applyAlignment="1" applyProtection="1">
      <alignment horizontal="center" vertical="center" wrapText="1"/>
      <protection hidden="1"/>
    </xf>
    <xf numFmtId="0" fontId="69" fillId="0" borderId="25" xfId="0" quotePrefix="1" applyFont="1" applyBorder="1" applyAlignment="1">
      <alignment horizontal="right" vertical="center"/>
    </xf>
    <xf numFmtId="0" fontId="69" fillId="0" borderId="5" xfId="0" quotePrefix="1" applyFont="1" applyBorder="1" applyAlignment="1">
      <alignment horizontal="right" vertical="center"/>
    </xf>
    <xf numFmtId="0" fontId="69" fillId="0" borderId="26" xfId="0" quotePrefix="1" applyFont="1" applyBorder="1" applyAlignment="1">
      <alignment horizontal="right" vertical="center"/>
    </xf>
    <xf numFmtId="0" fontId="69" fillId="0" borderId="10" xfId="0" quotePrefix="1" applyFont="1" applyBorder="1" applyAlignment="1">
      <alignment horizontal="right" vertical="center"/>
    </xf>
    <xf numFmtId="0" fontId="69" fillId="0" borderId="7" xfId="0" quotePrefix="1" applyFont="1" applyBorder="1" applyAlignment="1">
      <alignment horizontal="right" vertical="center"/>
    </xf>
    <xf numFmtId="0" fontId="69" fillId="0" borderId="8" xfId="0" quotePrefix="1" applyFont="1" applyBorder="1" applyAlignment="1">
      <alignment horizontal="right" vertical="center"/>
    </xf>
    <xf numFmtId="0" fontId="69" fillId="0" borderId="25" xfId="0" quotePrefix="1" applyFont="1" applyBorder="1" applyAlignment="1">
      <alignment horizontal="right" vertical="center" wrapText="1"/>
    </xf>
    <xf numFmtId="0" fontId="69" fillId="0" borderId="5" xfId="0" quotePrefix="1" applyFont="1" applyBorder="1" applyAlignment="1">
      <alignment horizontal="right" vertical="center" wrapText="1"/>
    </xf>
    <xf numFmtId="0" fontId="69" fillId="0" borderId="26" xfId="0" quotePrefix="1" applyFont="1" applyBorder="1" applyAlignment="1">
      <alignment horizontal="right" vertical="center" wrapText="1"/>
    </xf>
    <xf numFmtId="0" fontId="167" fillId="0" borderId="127" xfId="0" quotePrefix="1" applyFont="1" applyBorder="1" applyAlignment="1">
      <alignment horizontal="left" vertical="center" indent="2"/>
    </xf>
    <xf numFmtId="0" fontId="167" fillId="0" borderId="121" xfId="0" quotePrefix="1" applyFont="1" applyBorder="1" applyAlignment="1">
      <alignment horizontal="left" vertical="center" indent="2"/>
    </xf>
    <xf numFmtId="0" fontId="167" fillId="0" borderId="31" xfId="0" quotePrefix="1" applyFont="1" applyBorder="1" applyAlignment="1">
      <alignment horizontal="left" vertical="center" wrapText="1" indent="2"/>
    </xf>
    <xf numFmtId="0" fontId="167" fillId="0" borderId="27" xfId="0" quotePrefix="1" applyFont="1" applyBorder="1" applyAlignment="1">
      <alignment horizontal="left" vertical="center" wrapText="1" indent="2"/>
    </xf>
    <xf numFmtId="0" fontId="167" fillId="0" borderId="0" xfId="0" quotePrefix="1" applyFont="1" applyAlignment="1">
      <alignment horizontal="left" indent="1"/>
    </xf>
    <xf numFmtId="0" fontId="167" fillId="0" borderId="0" xfId="0" applyFont="1" applyAlignment="1">
      <alignment horizontal="left" indent="1"/>
    </xf>
    <xf numFmtId="0" fontId="84" fillId="0" borderId="0" xfId="0" quotePrefix="1" applyFont="1" applyAlignment="1">
      <alignment horizontal="left" vertical="top" wrapText="1" indent="2"/>
    </xf>
    <xf numFmtId="0" fontId="84" fillId="0" borderId="0" xfId="0" applyFont="1" applyAlignment="1">
      <alignment horizontal="left" vertical="top" indent="2"/>
    </xf>
    <xf numFmtId="0" fontId="69" fillId="2" borderId="143" xfId="0" applyFont="1" applyFill="1" applyBorder="1"/>
    <xf numFmtId="0" fontId="69" fillId="2" borderId="2" xfId="0" applyFont="1" applyFill="1" applyBorder="1"/>
    <xf numFmtId="0" fontId="69" fillId="2" borderId="144" xfId="0" applyFont="1" applyFill="1" applyBorder="1"/>
    <xf numFmtId="0" fontId="79" fillId="0" borderId="140" xfId="0" applyFont="1" applyBorder="1" applyAlignment="1" applyProtection="1">
      <alignment horizontal="center" vertical="center"/>
      <protection hidden="1"/>
    </xf>
    <xf numFmtId="0" fontId="79" fillId="0" borderId="141" xfId="0" applyFont="1" applyBorder="1" applyAlignment="1" applyProtection="1">
      <alignment horizontal="center" vertical="center"/>
      <protection hidden="1"/>
    </xf>
    <xf numFmtId="0" fontId="181" fillId="0" borderId="137" xfId="0" applyFont="1" applyBorder="1" applyAlignment="1" applyProtection="1">
      <alignment horizontal="center"/>
      <protection locked="0"/>
    </xf>
    <xf numFmtId="0" fontId="181" fillId="0" borderId="137" xfId="0" applyFont="1" applyBorder="1" applyAlignment="1">
      <alignment horizontal="center" shrinkToFit="1"/>
    </xf>
    <xf numFmtId="0" fontId="167" fillId="0" borderId="118" xfId="0" quotePrefix="1" applyFont="1" applyBorder="1" applyAlignment="1">
      <alignment horizontal="left" vertical="center" indent="1"/>
    </xf>
    <xf numFmtId="0" fontId="167" fillId="0" borderId="119" xfId="0" applyFont="1" applyBorder="1" applyAlignment="1">
      <alignment horizontal="left" vertical="center" indent="1"/>
    </xf>
    <xf numFmtId="0" fontId="167" fillId="0" borderId="117" xfId="0" quotePrefix="1" applyFont="1" applyBorder="1" applyAlignment="1">
      <alignment horizontal="left" vertical="center" indent="1"/>
    </xf>
    <xf numFmtId="0" fontId="167" fillId="0" borderId="25" xfId="0" applyFont="1" applyBorder="1" applyAlignment="1">
      <alignment horizontal="left" vertical="center" indent="1"/>
    </xf>
    <xf numFmtId="0" fontId="167" fillId="0" borderId="119" xfId="0" quotePrefix="1" applyFont="1" applyBorder="1" applyAlignment="1">
      <alignment horizontal="left" vertical="center" indent="1"/>
    </xf>
    <xf numFmtId="0" fontId="214" fillId="0" borderId="120" xfId="0" quotePrefix="1" applyFont="1" applyBorder="1" applyAlignment="1">
      <alignment horizontal="left" vertical="center" indent="1"/>
    </xf>
    <xf numFmtId="0" fontId="214" fillId="0" borderId="121" xfId="0" applyFont="1" applyBorder="1" applyAlignment="1">
      <alignment horizontal="left" vertical="center" indent="1"/>
    </xf>
    <xf numFmtId="0" fontId="167" fillId="0" borderId="120" xfId="0" quotePrefix="1" applyFont="1" applyBorder="1" applyAlignment="1">
      <alignment horizontal="left" vertical="center" indent="1"/>
    </xf>
    <xf numFmtId="0" fontId="167" fillId="0" borderId="121" xfId="0" quotePrefix="1" applyFont="1" applyBorder="1" applyAlignment="1">
      <alignment horizontal="left" vertical="center" indent="1"/>
    </xf>
    <xf numFmtId="0" fontId="69" fillId="2" borderId="143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left" vertical="center"/>
    </xf>
    <xf numFmtId="0" fontId="69" fillId="2" borderId="144" xfId="0" applyFont="1" applyFill="1" applyBorder="1" applyAlignment="1">
      <alignment horizontal="left" vertical="center"/>
    </xf>
    <xf numFmtId="0" fontId="214" fillId="0" borderId="121" xfId="0" quotePrefix="1" applyFont="1" applyBorder="1" applyAlignment="1">
      <alignment horizontal="left" vertical="center" indent="1"/>
    </xf>
    <xf numFmtId="0" fontId="84" fillId="0" borderId="0" xfId="0" quotePrefix="1" applyFont="1" applyAlignment="1">
      <alignment horizontal="left" vertical="top" wrapText="1" justifyLastLine="1"/>
    </xf>
    <xf numFmtId="0" fontId="84" fillId="0" borderId="0" xfId="0" applyFont="1" applyAlignment="1">
      <alignment horizontal="left" vertical="top" justifyLastLine="1"/>
    </xf>
    <xf numFmtId="0" fontId="187" fillId="0" borderId="0" xfId="0" applyFont="1" applyAlignment="1">
      <alignment horizontal="right"/>
    </xf>
    <xf numFmtId="0" fontId="187" fillId="0" borderId="28" xfId="0" applyFont="1" applyBorder="1" applyAlignment="1">
      <alignment horizontal="right"/>
    </xf>
    <xf numFmtId="0" fontId="167" fillId="0" borderId="142" xfId="0" quotePrefix="1" applyFont="1" applyBorder="1" applyAlignment="1">
      <alignment horizontal="left" vertical="center" indent="1"/>
    </xf>
    <xf numFmtId="0" fontId="167" fillId="0" borderId="27" xfId="0" quotePrefix="1" applyFont="1" applyBorder="1" applyAlignment="1">
      <alignment horizontal="left" vertical="center" indent="1"/>
    </xf>
    <xf numFmtId="0" fontId="167" fillId="0" borderId="122" xfId="0" quotePrefix="1" applyFont="1" applyBorder="1" applyAlignment="1">
      <alignment horizontal="left" vertical="center" indent="1"/>
    </xf>
    <xf numFmtId="0" fontId="167" fillId="0" borderId="123" xfId="0" applyFont="1" applyBorder="1" applyAlignment="1">
      <alignment horizontal="left" vertical="center" indent="1"/>
    </xf>
    <xf numFmtId="0" fontId="69" fillId="0" borderId="128" xfId="0" quotePrefix="1" applyFont="1" applyBorder="1" applyAlignment="1">
      <alignment horizontal="right" vertical="center"/>
    </xf>
    <xf numFmtId="0" fontId="69" fillId="0" borderId="130" xfId="0" applyFont="1" applyBorder="1" applyAlignment="1">
      <alignment horizontal="right" vertical="center"/>
    </xf>
    <xf numFmtId="0" fontId="69" fillId="0" borderId="116" xfId="0" applyFont="1" applyBorder="1" applyAlignment="1">
      <alignment horizontal="right" vertical="center"/>
    </xf>
    <xf numFmtId="0" fontId="69" fillId="0" borderId="155" xfId="0" applyFont="1" applyBorder="1" applyAlignment="1">
      <alignment horizontal="right" vertical="center"/>
    </xf>
    <xf numFmtId="0" fontId="70" fillId="0" borderId="130" xfId="0" quotePrefix="1" applyFont="1" applyBorder="1" applyAlignment="1">
      <alignment horizontal="right" vertical="center"/>
    </xf>
    <xf numFmtId="0" fontId="70" fillId="0" borderId="116" xfId="0" quotePrefix="1" applyFont="1" applyBorder="1" applyAlignment="1">
      <alignment horizontal="right" vertical="center"/>
    </xf>
    <xf numFmtId="0" fontId="70" fillId="0" borderId="155" xfId="0" quotePrefix="1" applyFont="1" applyBorder="1" applyAlignment="1">
      <alignment horizontal="right" vertical="center"/>
    </xf>
    <xf numFmtId="0" fontId="70" fillId="0" borderId="174" xfId="0" quotePrefix="1" applyFont="1" applyBorder="1" applyAlignment="1">
      <alignment horizontal="right" vertical="center"/>
    </xf>
    <xf numFmtId="0" fontId="70" fillId="0" borderId="0" xfId="0" quotePrefix="1" applyFont="1" applyAlignment="1">
      <alignment horizontal="right" vertical="center"/>
    </xf>
    <xf numFmtId="0" fontId="70" fillId="0" borderId="28" xfId="0" quotePrefix="1" applyFont="1" applyBorder="1" applyAlignment="1">
      <alignment horizontal="right" vertical="center"/>
    </xf>
    <xf numFmtId="0" fontId="69" fillId="0" borderId="129" xfId="0" applyFont="1" applyBorder="1" applyAlignment="1">
      <alignment horizontal="right" vertical="center"/>
    </xf>
    <xf numFmtId="0" fontId="69" fillId="0" borderId="5" xfId="0" applyFont="1" applyBorder="1" applyAlignment="1">
      <alignment horizontal="right" vertical="center"/>
    </xf>
    <xf numFmtId="0" fontId="69" fillId="0" borderId="26" xfId="0" applyFont="1" applyBorder="1" applyAlignment="1">
      <alignment horizontal="right" vertical="center"/>
    </xf>
    <xf numFmtId="0" fontId="218" fillId="2" borderId="10" xfId="0" applyFont="1" applyFill="1" applyBorder="1" applyAlignment="1" applyProtection="1">
      <alignment vertical="center"/>
      <protection hidden="1"/>
    </xf>
    <xf numFmtId="0" fontId="218" fillId="2" borderId="7" xfId="0" applyFont="1" applyFill="1" applyBorder="1" applyAlignment="1" applyProtection="1">
      <alignment vertical="center"/>
      <protection hidden="1"/>
    </xf>
    <xf numFmtId="0" fontId="218" fillId="2" borderId="8" xfId="0" applyFont="1" applyFill="1" applyBorder="1" applyAlignment="1" applyProtection="1">
      <alignment vertical="center"/>
      <protection hidden="1"/>
    </xf>
    <xf numFmtId="0" fontId="219" fillId="2" borderId="27" xfId="0" quotePrefix="1" applyFont="1" applyFill="1" applyBorder="1" applyAlignment="1" applyProtection="1">
      <alignment horizontal="left" indent="1"/>
      <protection hidden="1"/>
    </xf>
    <xf numFmtId="0" fontId="219" fillId="2" borderId="0" xfId="0" quotePrefix="1" applyFont="1" applyFill="1" applyAlignment="1" applyProtection="1">
      <alignment horizontal="left" indent="1"/>
      <protection hidden="1"/>
    </xf>
    <xf numFmtId="0" fontId="219" fillId="2" borderId="28" xfId="0" quotePrefix="1" applyFont="1" applyFill="1" applyBorder="1" applyAlignment="1" applyProtection="1">
      <alignment horizontal="left" indent="1"/>
      <protection hidden="1"/>
    </xf>
    <xf numFmtId="0" fontId="220" fillId="2" borderId="27" xfId="0" quotePrefix="1" applyFont="1" applyFill="1" applyBorder="1" applyAlignment="1" applyProtection="1">
      <alignment horizontal="left" vertical="top" wrapText="1" indent="3"/>
      <protection hidden="1"/>
    </xf>
    <xf numFmtId="0" fontId="220" fillId="2" borderId="0" xfId="0" quotePrefix="1" applyFont="1" applyFill="1" applyAlignment="1" applyProtection="1">
      <alignment horizontal="left" vertical="top" wrapText="1" indent="3"/>
      <protection hidden="1"/>
    </xf>
    <xf numFmtId="0" fontId="220" fillId="2" borderId="28" xfId="0" quotePrefix="1" applyFont="1" applyFill="1" applyBorder="1" applyAlignment="1" applyProtection="1">
      <alignment horizontal="left" vertical="top" wrapText="1" indent="3"/>
      <protection hidden="1"/>
    </xf>
    <xf numFmtId="0" fontId="221" fillId="2" borderId="27" xfId="0" quotePrefix="1" applyFont="1" applyFill="1" applyBorder="1" applyAlignment="1" applyProtection="1">
      <alignment horizontal="left" vertical="center" wrapText="1" indent="1"/>
      <protection hidden="1"/>
    </xf>
    <xf numFmtId="0" fontId="221" fillId="2" borderId="0" xfId="0" quotePrefix="1" applyFont="1" applyFill="1" applyAlignment="1" applyProtection="1">
      <alignment horizontal="left" vertical="center" wrapText="1" indent="1"/>
      <protection hidden="1"/>
    </xf>
    <xf numFmtId="0" fontId="221" fillId="2" borderId="28" xfId="0" quotePrefix="1" applyFont="1" applyFill="1" applyBorder="1" applyAlignment="1" applyProtection="1">
      <alignment horizontal="left" vertical="center" wrapText="1" indent="1"/>
      <protection hidden="1"/>
    </xf>
    <xf numFmtId="0" fontId="221" fillId="2" borderId="27" xfId="0" quotePrefix="1" applyFont="1" applyFill="1" applyBorder="1" applyAlignment="1" applyProtection="1">
      <alignment horizontal="left" wrapText="1" indent="1"/>
      <protection hidden="1"/>
    </xf>
    <xf numFmtId="0" fontId="221" fillId="2" borderId="0" xfId="0" quotePrefix="1" applyFont="1" applyFill="1" applyAlignment="1" applyProtection="1">
      <alignment horizontal="left" wrapText="1" indent="1"/>
      <protection hidden="1"/>
    </xf>
    <xf numFmtId="0" fontId="221" fillId="2" borderId="28" xfId="0" quotePrefix="1" applyFont="1" applyFill="1" applyBorder="1" applyAlignment="1" applyProtection="1">
      <alignment horizontal="left" wrapText="1" indent="1"/>
      <protection hidden="1"/>
    </xf>
    <xf numFmtId="0" fontId="203" fillId="0" borderId="74" xfId="0" applyFont="1" applyBorder="1" applyAlignment="1" applyProtection="1">
      <alignment horizontal="left" vertical="center" wrapText="1" indent="3"/>
      <protection hidden="1"/>
    </xf>
    <xf numFmtId="0" fontId="203" fillId="0" borderId="75" xfId="0" applyFont="1" applyBorder="1" applyAlignment="1" applyProtection="1">
      <alignment horizontal="left" vertical="center" wrapText="1" indent="3"/>
      <protection hidden="1"/>
    </xf>
    <xf numFmtId="164" fontId="68" fillId="0" borderId="74" xfId="0" applyNumberFormat="1" applyFont="1" applyBorder="1" applyAlignment="1" applyProtection="1">
      <alignment horizontal="center" vertical="center" wrapText="1"/>
      <protection hidden="1"/>
    </xf>
    <xf numFmtId="164" fontId="68" fillId="0" borderId="90" xfId="0" applyNumberFormat="1" applyFont="1" applyBorder="1" applyAlignment="1" applyProtection="1">
      <alignment horizontal="center" vertical="center" wrapText="1"/>
      <protection hidden="1"/>
    </xf>
    <xf numFmtId="165" fontId="68" fillId="4" borderId="74" xfId="0" applyNumberFormat="1" applyFont="1" applyFill="1" applyBorder="1" applyAlignment="1" applyProtection="1">
      <alignment horizontal="center" vertical="center" wrapText="1"/>
      <protection hidden="1"/>
    </xf>
    <xf numFmtId="165" fontId="68" fillId="4" borderId="90" xfId="0" applyNumberFormat="1" applyFont="1" applyFill="1" applyBorder="1" applyAlignment="1" applyProtection="1">
      <alignment horizontal="center" vertical="center" wrapText="1"/>
      <protection hidden="1"/>
    </xf>
    <xf numFmtId="0" fontId="203" fillId="0" borderId="58" xfId="0" quotePrefix="1" applyFont="1" applyBorder="1" applyAlignment="1" applyProtection="1">
      <alignment horizontal="left" vertical="center" wrapText="1" indent="3"/>
      <protection hidden="1"/>
    </xf>
    <xf numFmtId="0" fontId="203" fillId="0" borderId="5" xfId="0" applyFont="1" applyBorder="1" applyAlignment="1" applyProtection="1">
      <alignment horizontal="left" vertical="center" wrapText="1" indent="3"/>
      <protection hidden="1"/>
    </xf>
    <xf numFmtId="164" fontId="68" fillId="0" borderId="58" xfId="0" applyNumberFormat="1" applyFont="1" applyBorder="1" applyAlignment="1" applyProtection="1">
      <alignment horizontal="center" vertical="center" wrapText="1"/>
      <protection hidden="1"/>
    </xf>
    <xf numFmtId="164" fontId="68" fillId="0" borderId="5" xfId="0" applyNumberFormat="1" applyFont="1" applyBorder="1" applyAlignment="1" applyProtection="1">
      <alignment horizontal="center" vertical="center" wrapText="1"/>
      <protection hidden="1"/>
    </xf>
    <xf numFmtId="165" fontId="68" fillId="4" borderId="58" xfId="0" applyNumberFormat="1" applyFont="1" applyFill="1" applyBorder="1" applyAlignment="1" applyProtection="1">
      <alignment horizontal="center" vertical="center" wrapText="1"/>
      <protection hidden="1"/>
    </xf>
    <xf numFmtId="165" fontId="68" fillId="4" borderId="86" xfId="0" applyNumberFormat="1" applyFont="1" applyFill="1" applyBorder="1" applyAlignment="1" applyProtection="1">
      <alignment horizontal="center" vertical="center" wrapText="1"/>
      <protection hidden="1"/>
    </xf>
    <xf numFmtId="0" fontId="203" fillId="0" borderId="6" xfId="0" applyFont="1" applyBorder="1" applyAlignment="1" applyProtection="1">
      <alignment horizontal="left" vertical="center" wrapText="1" indent="3"/>
      <protection hidden="1"/>
    </xf>
    <xf numFmtId="0" fontId="203" fillId="0" borderId="2" xfId="0" applyFont="1" applyBorder="1" applyAlignment="1" applyProtection="1">
      <alignment horizontal="left" vertical="center" wrapText="1" indent="3"/>
      <protection hidden="1"/>
    </xf>
    <xf numFmtId="164" fontId="68" fillId="0" borderId="6" xfId="0" applyNumberFormat="1" applyFont="1" applyBorder="1" applyAlignment="1" applyProtection="1">
      <alignment horizontal="center" vertical="center" wrapText="1"/>
      <protection hidden="1"/>
    </xf>
    <xf numFmtId="164" fontId="68" fillId="0" borderId="2" xfId="0" applyNumberFormat="1" applyFont="1" applyBorder="1" applyAlignment="1" applyProtection="1">
      <alignment horizontal="center" vertical="center" wrapText="1"/>
      <protection hidden="1"/>
    </xf>
    <xf numFmtId="165" fontId="27" fillId="4" borderId="6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34" xfId="0" applyNumberFormat="1" applyFont="1" applyFill="1" applyBorder="1" applyAlignment="1" applyProtection="1">
      <alignment horizontal="center" vertical="center" wrapText="1"/>
      <protection hidden="1"/>
    </xf>
    <xf numFmtId="164" fontId="27" fillId="0" borderId="40" xfId="0" applyNumberFormat="1" applyFont="1" applyBorder="1" applyAlignment="1" applyProtection="1">
      <alignment horizontal="center" vertical="center" wrapText="1"/>
      <protection hidden="1"/>
    </xf>
    <xf numFmtId="164" fontId="27" fillId="0" borderId="98" xfId="0" applyNumberFormat="1" applyFont="1" applyBorder="1" applyAlignment="1" applyProtection="1">
      <alignment horizontal="center" vertical="center" wrapText="1"/>
      <protection hidden="1"/>
    </xf>
    <xf numFmtId="164" fontId="68" fillId="0" borderId="88" xfId="0" applyNumberFormat="1" applyFont="1" applyBorder="1" applyAlignment="1" applyProtection="1">
      <alignment horizontal="center" vertical="center" wrapText="1"/>
      <protection hidden="1"/>
    </xf>
    <xf numFmtId="164" fontId="68" fillId="0" borderId="116" xfId="0" applyNumberFormat="1" applyFont="1" applyBorder="1" applyAlignment="1" applyProtection="1">
      <alignment horizontal="center" vertical="center" wrapText="1"/>
      <protection hidden="1"/>
    </xf>
    <xf numFmtId="164" fontId="68" fillId="0" borderId="82" xfId="0" applyNumberFormat="1" applyFont="1" applyBorder="1" applyAlignment="1" applyProtection="1">
      <alignment horizontal="center" vertical="center" wrapText="1"/>
      <protection hidden="1"/>
    </xf>
    <xf numFmtId="164" fontId="68" fillId="0" borderId="83" xfId="0" applyNumberFormat="1" applyFont="1" applyBorder="1" applyAlignment="1" applyProtection="1">
      <alignment horizontal="center" vertical="center" wrapText="1"/>
      <protection hidden="1"/>
    </xf>
    <xf numFmtId="165" fontId="27" fillId="4" borderId="88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89" xfId="0" applyNumberFormat="1" applyFont="1" applyFill="1" applyBorder="1" applyAlignment="1" applyProtection="1">
      <alignment horizontal="center" vertical="center" wrapText="1"/>
      <protection hidden="1"/>
    </xf>
    <xf numFmtId="165" fontId="68" fillId="4" borderId="82" xfId="0" applyNumberFormat="1" applyFont="1" applyFill="1" applyBorder="1" applyAlignment="1" applyProtection="1">
      <alignment horizontal="center" vertical="center" wrapText="1"/>
      <protection hidden="1"/>
    </xf>
    <xf numFmtId="165" fontId="68" fillId="4" borderId="91" xfId="0" applyNumberFormat="1" applyFont="1" applyFill="1" applyBorder="1" applyAlignment="1" applyProtection="1">
      <alignment horizontal="center" vertical="center" wrapText="1"/>
      <protection hidden="1"/>
    </xf>
    <xf numFmtId="165" fontId="68" fillId="4" borderId="6" xfId="0" applyNumberFormat="1" applyFont="1" applyFill="1" applyBorder="1" applyAlignment="1" applyProtection="1">
      <alignment horizontal="center" vertical="center" wrapText="1"/>
      <protection hidden="1"/>
    </xf>
    <xf numFmtId="165" fontId="68" fillId="4" borderId="34" xfId="0" applyNumberFormat="1" applyFont="1" applyFill="1" applyBorder="1" applyAlignment="1" applyProtection="1">
      <alignment horizontal="center" vertical="center" wrapText="1"/>
      <protection hidden="1"/>
    </xf>
    <xf numFmtId="164" fontId="27" fillId="0" borderId="16" xfId="0" applyNumberFormat="1" applyFont="1" applyBorder="1" applyAlignment="1" applyProtection="1">
      <alignment horizontal="center" vertical="center" wrapText="1"/>
      <protection hidden="1"/>
    </xf>
    <xf numFmtId="164" fontId="27" fillId="0" borderId="35" xfId="0" applyNumberFormat="1" applyFont="1" applyBorder="1" applyAlignment="1" applyProtection="1">
      <alignment horizontal="center" vertical="center" wrapText="1"/>
      <protection hidden="1"/>
    </xf>
    <xf numFmtId="164" fontId="158" fillId="0" borderId="12" xfId="0" applyNumberFormat="1" applyFont="1" applyBorder="1" applyAlignment="1" applyProtection="1">
      <alignment horizontal="center" vertical="center" wrapText="1"/>
      <protection hidden="1"/>
    </xf>
    <xf numFmtId="164" fontId="158" fillId="0" borderId="46" xfId="0" applyNumberFormat="1" applyFont="1" applyBorder="1" applyAlignment="1" applyProtection="1">
      <alignment horizontal="center" vertical="center" wrapText="1"/>
      <protection hidden="1"/>
    </xf>
    <xf numFmtId="164" fontId="158" fillId="0" borderId="16" xfId="0" applyNumberFormat="1" applyFont="1" applyBorder="1" applyAlignment="1" applyProtection="1">
      <alignment horizontal="center"/>
      <protection hidden="1"/>
    </xf>
    <xf numFmtId="164" fontId="158" fillId="0" borderId="35" xfId="0" applyNumberFormat="1" applyFont="1" applyBorder="1" applyAlignment="1" applyProtection="1">
      <alignment horizontal="center"/>
      <protection hidden="1"/>
    </xf>
    <xf numFmtId="165" fontId="160" fillId="4" borderId="11" xfId="0" applyNumberFormat="1" applyFont="1" applyFill="1" applyBorder="1" applyAlignment="1" applyProtection="1">
      <alignment horizontal="center" vertical="center" wrapText="1"/>
      <protection hidden="1"/>
    </xf>
    <xf numFmtId="165" fontId="160" fillId="4" borderId="46" xfId="0" applyNumberFormat="1" applyFont="1" applyFill="1" applyBorder="1" applyAlignment="1" applyProtection="1">
      <alignment horizontal="center" vertical="center" wrapText="1"/>
      <protection hidden="1"/>
    </xf>
    <xf numFmtId="165" fontId="160" fillId="4" borderId="15" xfId="0" applyNumberFormat="1" applyFont="1" applyFill="1" applyBorder="1" applyAlignment="1" applyProtection="1">
      <alignment horizontal="center" vertical="center" wrapText="1"/>
      <protection hidden="1"/>
    </xf>
    <xf numFmtId="165" fontId="160" fillId="4" borderId="35" xfId="0" applyNumberFormat="1" applyFont="1" applyFill="1" applyBorder="1" applyAlignment="1" applyProtection="1">
      <alignment horizontal="center" vertical="center" wrapText="1"/>
      <protection hidden="1"/>
    </xf>
    <xf numFmtId="164" fontId="27" fillId="2" borderId="11" xfId="0" applyNumberFormat="1" applyFont="1" applyFill="1" applyBorder="1" applyAlignment="1" applyProtection="1">
      <alignment horizontal="center" vertical="center"/>
      <protection hidden="1"/>
    </xf>
    <xf numFmtId="164" fontId="27" fillId="2" borderId="46" xfId="0" applyNumberFormat="1" applyFont="1" applyFill="1" applyBorder="1" applyAlignment="1" applyProtection="1">
      <alignment horizontal="center" vertical="center"/>
      <protection hidden="1"/>
    </xf>
    <xf numFmtId="164" fontId="27" fillId="2" borderId="15" xfId="0" applyNumberFormat="1" applyFont="1" applyFill="1" applyBorder="1" applyAlignment="1" applyProtection="1">
      <alignment horizontal="center" vertical="center"/>
      <protection hidden="1"/>
    </xf>
    <xf numFmtId="164" fontId="27" fillId="2" borderId="35" xfId="0" applyNumberFormat="1" applyFont="1" applyFill="1" applyBorder="1" applyAlignment="1" applyProtection="1">
      <alignment horizontal="center" vertical="center"/>
      <protection hidden="1"/>
    </xf>
    <xf numFmtId="165" fontId="27" fillId="4" borderId="82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91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74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90" xfId="0" applyNumberFormat="1" applyFont="1" applyFill="1" applyBorder="1" applyAlignment="1" applyProtection="1">
      <alignment horizontal="center" vertical="center" wrapText="1"/>
      <protection hidden="1"/>
    </xf>
    <xf numFmtId="164" fontId="27" fillId="0" borderId="83" xfId="0" applyNumberFormat="1" applyFont="1" applyBorder="1" applyAlignment="1" applyProtection="1">
      <alignment horizontal="center" vertical="center" wrapText="1"/>
      <protection hidden="1"/>
    </xf>
    <xf numFmtId="164" fontId="27" fillId="0" borderId="91" xfId="0" applyNumberFormat="1" applyFont="1" applyBorder="1" applyAlignment="1" applyProtection="1">
      <alignment horizontal="center" vertical="center" wrapText="1"/>
      <protection hidden="1"/>
    </xf>
    <xf numFmtId="0" fontId="18" fillId="2" borderId="1" xfId="0" applyFont="1" applyFill="1" applyBorder="1" applyAlignment="1" applyProtection="1">
      <alignment horizontal="left" vertical="center" wrapText="1" indent="2"/>
      <protection hidden="1"/>
    </xf>
    <xf numFmtId="0" fontId="18" fillId="2" borderId="3" xfId="0" applyFont="1" applyFill="1" applyBorder="1" applyAlignment="1" applyProtection="1">
      <alignment horizontal="left" vertical="center" wrapText="1" indent="2"/>
      <protection hidden="1"/>
    </xf>
    <xf numFmtId="0" fontId="25" fillId="2" borderId="4" xfId="0" applyFont="1" applyFill="1" applyBorder="1" applyAlignment="1" applyProtection="1">
      <alignment horizontal="center" vertical="center" wrapText="1"/>
      <protection hidden="1"/>
    </xf>
    <xf numFmtId="0" fontId="18" fillId="2" borderId="28" xfId="0" applyFont="1" applyFill="1" applyBorder="1" applyAlignment="1" applyProtection="1">
      <alignment horizontal="center" vertical="center" wrapText="1"/>
      <protection hidden="1"/>
    </xf>
    <xf numFmtId="164" fontId="24" fillId="0" borderId="1" xfId="0" applyNumberFormat="1" applyFont="1" applyBorder="1" applyAlignment="1" applyProtection="1">
      <alignment horizontal="center" vertical="center"/>
      <protection hidden="1"/>
    </xf>
    <xf numFmtId="164" fontId="24" fillId="0" borderId="34" xfId="0" applyNumberFormat="1" applyFont="1" applyBorder="1" applyAlignment="1" applyProtection="1">
      <alignment horizontal="center" vertical="center"/>
      <protection hidden="1"/>
    </xf>
    <xf numFmtId="164" fontId="24" fillId="0" borderId="19" xfId="0" applyNumberFormat="1" applyFont="1" applyBorder="1" applyAlignment="1" applyProtection="1">
      <alignment horizontal="center" vertical="center"/>
      <protection hidden="1"/>
    </xf>
    <xf numFmtId="164" fontId="24" fillId="0" borderId="35" xfId="0" applyNumberFormat="1" applyFont="1" applyBorder="1" applyAlignment="1" applyProtection="1">
      <alignment horizontal="center" vertical="center"/>
      <protection hidden="1"/>
    </xf>
    <xf numFmtId="0" fontId="24" fillId="2" borderId="23" xfId="0" applyFont="1" applyFill="1" applyBorder="1" applyAlignment="1" applyProtection="1">
      <alignment horizontal="center" vertical="center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164" fontId="24" fillId="0" borderId="3" xfId="0" applyNumberFormat="1" applyFont="1" applyBorder="1" applyAlignment="1" applyProtection="1">
      <alignment horizontal="center" vertical="center"/>
      <protection hidden="1"/>
    </xf>
    <xf numFmtId="0" fontId="18" fillId="2" borderId="0" xfId="0" applyFont="1" applyFill="1" applyAlignment="1" applyProtection="1">
      <alignment horizontal="center" vertical="center" wrapText="1"/>
      <protection hidden="1"/>
    </xf>
    <xf numFmtId="0" fontId="24" fillId="2" borderId="46" xfId="0" applyFont="1" applyFill="1" applyBorder="1" applyAlignment="1" applyProtection="1">
      <alignment horizontal="center" vertical="center"/>
      <protection hidden="1"/>
    </xf>
    <xf numFmtId="0" fontId="30" fillId="2" borderId="27" xfId="0" applyFont="1" applyFill="1" applyBorder="1" applyAlignment="1" applyProtection="1">
      <alignment horizontal="left"/>
      <protection hidden="1"/>
    </xf>
    <xf numFmtId="0" fontId="30" fillId="2" borderId="0" xfId="0" applyFont="1" applyFill="1" applyAlignment="1" applyProtection="1">
      <alignment horizontal="left"/>
      <protection hidden="1"/>
    </xf>
    <xf numFmtId="0" fontId="30" fillId="2" borderId="28" xfId="0" applyFont="1" applyFill="1" applyBorder="1" applyAlignment="1" applyProtection="1">
      <alignment horizontal="left"/>
      <protection hidden="1"/>
    </xf>
    <xf numFmtId="0" fontId="18" fillId="2" borderId="4" xfId="0" applyFont="1" applyFill="1" applyBorder="1" applyAlignment="1" applyProtection="1">
      <alignment horizontal="left" vertical="center" wrapText="1" indent="2"/>
      <protection hidden="1"/>
    </xf>
    <xf numFmtId="0" fontId="18" fillId="2" borderId="28" xfId="0" applyFont="1" applyFill="1" applyBorder="1" applyAlignment="1" applyProtection="1">
      <alignment horizontal="center"/>
      <protection hidden="1"/>
    </xf>
    <xf numFmtId="0" fontId="18" fillId="2" borderId="27" xfId="0" applyFont="1" applyFill="1" applyBorder="1" applyAlignment="1" applyProtection="1">
      <alignment horizontal="left" vertical="center" wrapText="1" indent="1"/>
      <protection hidden="1"/>
    </xf>
    <xf numFmtId="0" fontId="18" fillId="2" borderId="0" xfId="0" applyFont="1" applyFill="1" applyAlignment="1" applyProtection="1">
      <alignment horizontal="left" vertical="center" wrapText="1" indent="1"/>
      <protection hidden="1"/>
    </xf>
    <xf numFmtId="0" fontId="18" fillId="2" borderId="28" xfId="0" applyFont="1" applyFill="1" applyBorder="1" applyAlignment="1" applyProtection="1">
      <alignment horizontal="left" vertical="center" wrapText="1" indent="1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25" fillId="2" borderId="28" xfId="0" applyFont="1" applyFill="1" applyBorder="1" applyAlignment="1" applyProtection="1">
      <alignment horizontal="center" vertical="center" wrapText="1"/>
      <protection hidden="1"/>
    </xf>
    <xf numFmtId="0" fontId="35" fillId="0" borderId="1" xfId="0" applyFont="1" applyBorder="1" applyAlignment="1" applyProtection="1">
      <alignment horizontal="left" wrapText="1"/>
      <protection hidden="1"/>
    </xf>
    <xf numFmtId="0" fontId="35" fillId="0" borderId="2" xfId="0" applyFont="1" applyBorder="1" applyAlignment="1" applyProtection="1">
      <alignment horizontal="left"/>
      <protection hidden="1"/>
    </xf>
    <xf numFmtId="0" fontId="35" fillId="0" borderId="3" xfId="0" applyFont="1" applyBorder="1" applyAlignment="1" applyProtection="1">
      <alignment horizontal="left"/>
      <protection hidden="1"/>
    </xf>
    <xf numFmtId="0" fontId="18" fillId="2" borderId="27" xfId="0" applyFont="1" applyFill="1" applyBorder="1" applyAlignment="1" applyProtection="1">
      <alignment horizontal="left" wrapText="1" indent="1"/>
      <protection hidden="1"/>
    </xf>
    <xf numFmtId="0" fontId="18" fillId="2" borderId="0" xfId="0" applyFont="1" applyFill="1" applyAlignment="1" applyProtection="1">
      <alignment horizontal="left" wrapText="1" indent="1"/>
      <protection hidden="1"/>
    </xf>
    <xf numFmtId="0" fontId="18" fillId="2" borderId="28" xfId="0" applyFont="1" applyFill="1" applyBorder="1" applyAlignment="1" applyProtection="1">
      <alignment horizontal="left" wrapText="1" indent="1"/>
      <protection hidden="1"/>
    </xf>
    <xf numFmtId="0" fontId="18" fillId="2" borderId="25" xfId="0" applyFont="1" applyFill="1" applyBorder="1" applyAlignment="1" applyProtection="1">
      <alignment horizontal="left" wrapText="1" indent="1"/>
      <protection hidden="1"/>
    </xf>
    <xf numFmtId="0" fontId="18" fillId="2" borderId="5" xfId="0" applyFont="1" applyFill="1" applyBorder="1" applyAlignment="1" applyProtection="1">
      <alignment horizontal="left" wrapText="1" indent="1"/>
      <protection hidden="1"/>
    </xf>
    <xf numFmtId="0" fontId="18" fillId="2" borderId="26" xfId="0" applyFont="1" applyFill="1" applyBorder="1" applyAlignment="1" applyProtection="1">
      <alignment horizontal="left" wrapText="1" indent="1"/>
      <protection hidden="1"/>
    </xf>
    <xf numFmtId="0" fontId="208" fillId="2" borderId="27" xfId="0" quotePrefix="1" applyFont="1" applyFill="1" applyBorder="1" applyAlignment="1" applyProtection="1">
      <alignment horizontal="left" vertical="center" wrapText="1" indent="1"/>
      <protection hidden="1"/>
    </xf>
    <xf numFmtId="0" fontId="208" fillId="2" borderId="0" xfId="0" applyFont="1" applyFill="1" applyAlignment="1" applyProtection="1">
      <alignment horizontal="left" vertical="center" wrapText="1" indent="1"/>
      <protection hidden="1"/>
    </xf>
    <xf numFmtId="0" fontId="208" fillId="2" borderId="28" xfId="0" applyFont="1" applyFill="1" applyBorder="1" applyAlignment="1" applyProtection="1">
      <alignment horizontal="left" vertical="center" wrapText="1" indent="1"/>
      <protection hidden="1"/>
    </xf>
    <xf numFmtId="0" fontId="25" fillId="7" borderId="1" xfId="0" applyFont="1" applyFill="1" applyBorder="1" applyAlignment="1" applyProtection="1">
      <alignment horizontal="center" vertical="center" wrapText="1"/>
      <protection hidden="1"/>
    </xf>
    <xf numFmtId="0" fontId="25" fillId="7" borderId="3" xfId="0" applyFont="1" applyFill="1" applyBorder="1" applyAlignment="1" applyProtection="1">
      <alignment horizontal="center" vertical="center" wrapText="1"/>
      <protection hidden="1"/>
    </xf>
    <xf numFmtId="0" fontId="55" fillId="3" borderId="10" xfId="0" applyFont="1" applyFill="1" applyBorder="1" applyAlignment="1" applyProtection="1">
      <alignment horizontal="left" vertical="center" wrapText="1"/>
      <protection hidden="1"/>
    </xf>
    <xf numFmtId="0" fontId="55" fillId="3" borderId="7" xfId="0" applyFont="1" applyFill="1" applyBorder="1" applyAlignment="1" applyProtection="1">
      <alignment horizontal="left" vertical="center" wrapText="1"/>
      <protection hidden="1"/>
    </xf>
    <xf numFmtId="0" fontId="55" fillId="3" borderId="8" xfId="0" applyFont="1" applyFill="1" applyBorder="1" applyAlignment="1" applyProtection="1">
      <alignment horizontal="left" vertical="center" wrapText="1"/>
      <protection hidden="1"/>
    </xf>
    <xf numFmtId="0" fontId="55" fillId="3" borderId="27" xfId="0" applyFont="1" applyFill="1" applyBorder="1" applyAlignment="1" applyProtection="1">
      <alignment horizontal="left" vertical="center" wrapText="1"/>
      <protection hidden="1"/>
    </xf>
    <xf numFmtId="0" fontId="55" fillId="3" borderId="0" xfId="0" applyFont="1" applyFill="1" applyAlignment="1" applyProtection="1">
      <alignment horizontal="left" vertical="center" wrapText="1"/>
      <protection hidden="1"/>
    </xf>
    <xf numFmtId="0" fontId="55" fillId="3" borderId="28" xfId="0" applyFont="1" applyFill="1" applyBorder="1" applyAlignment="1" applyProtection="1">
      <alignment horizontal="left" vertical="center" wrapText="1"/>
      <protection hidden="1"/>
    </xf>
    <xf numFmtId="0" fontId="55" fillId="3" borderId="25" xfId="0" applyFont="1" applyFill="1" applyBorder="1" applyAlignment="1" applyProtection="1">
      <alignment horizontal="left" vertical="center" wrapText="1"/>
      <protection hidden="1"/>
    </xf>
    <xf numFmtId="0" fontId="55" fillId="3" borderId="5" xfId="0" applyFont="1" applyFill="1" applyBorder="1" applyAlignment="1" applyProtection="1">
      <alignment horizontal="left" vertical="center" wrapText="1"/>
      <protection hidden="1"/>
    </xf>
    <xf numFmtId="0" fontId="55" fillId="3" borderId="26" xfId="0" applyFont="1" applyFill="1" applyBorder="1" applyAlignment="1" applyProtection="1">
      <alignment horizontal="left" vertical="center" wrapText="1"/>
      <protection hidden="1"/>
    </xf>
    <xf numFmtId="0" fontId="60" fillId="0" borderId="10" xfId="0" applyFont="1" applyBorder="1" applyAlignment="1" applyProtection="1">
      <alignment horizontal="justify" wrapText="1"/>
      <protection hidden="1"/>
    </xf>
    <xf numFmtId="0" fontId="60" fillId="0" borderId="7" xfId="0" applyFont="1" applyBorder="1" applyAlignment="1" applyProtection="1">
      <alignment horizontal="justify" wrapText="1"/>
      <protection hidden="1"/>
    </xf>
    <xf numFmtId="0" fontId="60" fillId="0" borderId="8" xfId="0" applyFont="1" applyBorder="1" applyAlignment="1" applyProtection="1">
      <alignment horizontal="justify" wrapText="1"/>
      <protection hidden="1"/>
    </xf>
    <xf numFmtId="0" fontId="60" fillId="0" borderId="27" xfId="0" applyFont="1" applyBorder="1" applyAlignment="1" applyProtection="1">
      <alignment horizontal="justify" wrapText="1"/>
      <protection hidden="1"/>
    </xf>
    <xf numFmtId="0" fontId="60" fillId="0" borderId="0" xfId="0" applyFont="1" applyAlignment="1" applyProtection="1">
      <alignment horizontal="justify" wrapText="1"/>
      <protection hidden="1"/>
    </xf>
    <xf numFmtId="0" fontId="60" fillId="0" borderId="28" xfId="0" applyFont="1" applyBorder="1" applyAlignment="1" applyProtection="1">
      <alignment horizontal="justify" wrapText="1"/>
      <protection hidden="1"/>
    </xf>
    <xf numFmtId="0" fontId="30" fillId="2" borderId="10" xfId="0" applyFont="1" applyFill="1" applyBorder="1" applyAlignment="1" applyProtection="1">
      <alignment horizontal="left" vertical="center"/>
      <protection hidden="1"/>
    </xf>
    <xf numFmtId="0" fontId="30" fillId="2" borderId="7" xfId="0" applyFont="1" applyFill="1" applyBorder="1" applyAlignment="1" applyProtection="1">
      <alignment horizontal="left" vertical="center"/>
      <protection hidden="1"/>
    </xf>
    <xf numFmtId="0" fontId="30" fillId="2" borderId="8" xfId="0" applyFont="1" applyFill="1" applyBorder="1" applyAlignment="1" applyProtection="1">
      <alignment horizontal="left" vertical="center"/>
      <protection hidden="1"/>
    </xf>
    <xf numFmtId="0" fontId="25" fillId="0" borderId="21" xfId="0" applyFont="1" applyBorder="1" applyAlignment="1" applyProtection="1">
      <alignment horizontal="left"/>
      <protection hidden="1"/>
    </xf>
    <xf numFmtId="0" fontId="25" fillId="0" borderId="22" xfId="0" applyFont="1" applyBorder="1" applyAlignment="1" applyProtection="1">
      <alignment horizontal="left"/>
      <protection hidden="1"/>
    </xf>
    <xf numFmtId="0" fontId="25" fillId="0" borderId="23" xfId="0" applyFont="1" applyBorder="1" applyAlignment="1" applyProtection="1">
      <alignment horizontal="left"/>
      <protection hidden="1"/>
    </xf>
    <xf numFmtId="0" fontId="25" fillId="0" borderId="13" xfId="0" applyFont="1" applyBorder="1" applyAlignment="1" applyProtection="1">
      <alignment horizontal="left"/>
      <protection hidden="1"/>
    </xf>
    <xf numFmtId="0" fontId="81" fillId="0" borderId="19" xfId="0" applyFont="1" applyBorder="1" applyAlignment="1" applyProtection="1">
      <alignment horizontal="left" vertical="top"/>
      <protection hidden="1"/>
    </xf>
    <xf numFmtId="0" fontId="81" fillId="0" borderId="16" xfId="0" applyFont="1" applyBorder="1" applyAlignment="1" applyProtection="1">
      <alignment horizontal="left" vertical="top"/>
      <protection hidden="1"/>
    </xf>
    <xf numFmtId="0" fontId="81" fillId="0" borderId="17" xfId="0" applyFont="1" applyBorder="1" applyAlignment="1" applyProtection="1">
      <alignment horizontal="left" vertical="top"/>
      <protection hidden="1"/>
    </xf>
    <xf numFmtId="0" fontId="81" fillId="0" borderId="35" xfId="0" applyFont="1" applyBorder="1" applyAlignment="1" applyProtection="1">
      <alignment horizontal="left" vertical="top"/>
      <protection hidden="1"/>
    </xf>
    <xf numFmtId="164" fontId="24" fillId="0" borderId="17" xfId="0" applyNumberFormat="1" applyFont="1" applyBorder="1" applyAlignment="1" applyProtection="1">
      <alignment horizontal="center" vertical="center"/>
      <protection hidden="1"/>
    </xf>
    <xf numFmtId="0" fontId="58" fillId="2" borderId="24" xfId="0" applyFont="1" applyFill="1" applyBorder="1" applyAlignment="1" applyProtection="1">
      <alignment horizontal="right" vertical="center"/>
      <protection hidden="1"/>
    </xf>
    <xf numFmtId="0" fontId="58" fillId="2" borderId="18" xfId="0" applyFont="1" applyFill="1" applyBorder="1" applyAlignment="1" applyProtection="1">
      <alignment horizontal="right" vertical="center"/>
      <protection hidden="1"/>
    </xf>
    <xf numFmtId="0" fontId="58" fillId="2" borderId="20" xfId="0" applyFont="1" applyFill="1" applyBorder="1" applyAlignment="1" applyProtection="1">
      <alignment horizontal="right" vertical="center"/>
      <protection hidden="1"/>
    </xf>
    <xf numFmtId="164" fontId="27" fillId="2" borderId="16" xfId="0" applyNumberFormat="1" applyFont="1" applyFill="1" applyBorder="1" applyAlignment="1" applyProtection="1">
      <alignment horizontal="center" vertical="center"/>
      <protection hidden="1"/>
    </xf>
    <xf numFmtId="0" fontId="24" fillId="2" borderId="11" xfId="0" applyFont="1" applyFill="1" applyBorder="1" applyAlignment="1" applyProtection="1">
      <alignment horizontal="right" vertical="center"/>
      <protection hidden="1"/>
    </xf>
    <xf numFmtId="0" fontId="24" fillId="2" borderId="12" xfId="0" applyFont="1" applyFill="1" applyBorder="1" applyAlignment="1" applyProtection="1">
      <alignment horizontal="right" vertical="center"/>
      <protection hidden="1"/>
    </xf>
    <xf numFmtId="0" fontId="29" fillId="0" borderId="6" xfId="0" applyFont="1" applyBorder="1" applyAlignment="1" applyProtection="1">
      <alignment horizontal="left" vertical="center" wrapText="1" indent="1"/>
      <protection hidden="1"/>
    </xf>
    <xf numFmtId="0" fontId="29" fillId="0" borderId="2" xfId="0" applyFont="1" applyBorder="1" applyAlignment="1" applyProtection="1">
      <alignment horizontal="left" vertical="center" wrapText="1" indent="1"/>
      <protection hidden="1"/>
    </xf>
    <xf numFmtId="0" fontId="29" fillId="0" borderId="74" xfId="0" applyFont="1" applyBorder="1" applyAlignment="1" applyProtection="1">
      <alignment horizontal="left" vertical="center" wrapText="1" indent="1"/>
      <protection hidden="1"/>
    </xf>
    <xf numFmtId="0" fontId="29" fillId="0" borderId="75" xfId="0" applyFont="1" applyBorder="1" applyAlignment="1" applyProtection="1">
      <alignment horizontal="left" vertical="center" wrapText="1" indent="1"/>
      <protection hidden="1"/>
    </xf>
    <xf numFmtId="0" fontId="29" fillId="0" borderId="73" xfId="0" applyFont="1" applyBorder="1" applyAlignment="1" applyProtection="1">
      <alignment horizontal="left" vertical="center" wrapText="1" indent="1"/>
      <protection hidden="1"/>
    </xf>
    <xf numFmtId="0" fontId="29" fillId="0" borderId="29" xfId="0" applyFont="1" applyBorder="1" applyAlignment="1" applyProtection="1">
      <alignment horizontal="left" vertical="center" wrapText="1" indent="1"/>
      <protection hidden="1"/>
    </xf>
    <xf numFmtId="0" fontId="29" fillId="0" borderId="25" xfId="0" applyFont="1" applyBorder="1" applyAlignment="1" applyProtection="1">
      <alignment horizontal="left" vertical="center" wrapText="1" indent="1"/>
      <protection hidden="1"/>
    </xf>
    <xf numFmtId="0" fontId="29" fillId="0" borderId="15" xfId="0" applyFont="1" applyBorder="1" applyAlignment="1" applyProtection="1">
      <alignment horizontal="left" vertical="center" wrapText="1" indent="1"/>
      <protection hidden="1"/>
    </xf>
    <xf numFmtId="0" fontId="29" fillId="0" borderId="16" xfId="0" applyFont="1" applyBorder="1" applyAlignment="1" applyProtection="1">
      <alignment horizontal="left" vertical="center" wrapText="1" indent="1"/>
      <protection hidden="1"/>
    </xf>
    <xf numFmtId="0" fontId="159" fillId="0" borderId="73" xfId="0" applyFont="1" applyBorder="1" applyAlignment="1" applyProtection="1">
      <alignment horizontal="right" vertical="center" wrapText="1"/>
      <protection hidden="1"/>
    </xf>
    <xf numFmtId="0" fontId="159" fillId="0" borderId="29" xfId="0" applyFont="1" applyBorder="1" applyAlignment="1" applyProtection="1">
      <alignment horizontal="right" vertical="center" wrapText="1"/>
      <protection hidden="1"/>
    </xf>
    <xf numFmtId="0" fontId="159" fillId="0" borderId="25" xfId="0" applyFont="1" applyBorder="1" applyAlignment="1" applyProtection="1">
      <alignment horizontal="right" vertical="center" wrapText="1"/>
      <protection hidden="1"/>
    </xf>
    <xf numFmtId="0" fontId="159" fillId="0" borderId="70" xfId="0" applyFont="1" applyBorder="1" applyAlignment="1" applyProtection="1">
      <alignment horizontal="right" vertical="center"/>
      <protection hidden="1"/>
    </xf>
    <xf numFmtId="0" fontId="159" fillId="0" borderId="9" xfId="0" applyFont="1" applyBorder="1" applyAlignment="1" applyProtection="1">
      <alignment horizontal="right" vertical="center"/>
      <protection hidden="1"/>
    </xf>
    <xf numFmtId="0" fontId="159" fillId="0" borderId="10" xfId="0" applyFont="1" applyBorder="1" applyAlignment="1" applyProtection="1">
      <alignment horizontal="right" vertical="center"/>
      <protection hidden="1"/>
    </xf>
    <xf numFmtId="0" fontId="158" fillId="0" borderId="21" xfId="0" applyFont="1" applyBorder="1" applyAlignment="1" applyProtection="1">
      <alignment horizontal="right" vertical="center" wrapText="1"/>
      <protection hidden="1"/>
    </xf>
    <xf numFmtId="0" fontId="158" fillId="0" borderId="22" xfId="0" applyFont="1" applyBorder="1" applyAlignment="1" applyProtection="1">
      <alignment horizontal="right" vertical="center" wrapText="1"/>
      <protection hidden="1"/>
    </xf>
    <xf numFmtId="0" fontId="158" fillId="0" borderId="23" xfId="0" applyFont="1" applyBorder="1" applyAlignment="1" applyProtection="1">
      <alignment horizontal="right" vertical="center" wrapText="1"/>
      <protection hidden="1"/>
    </xf>
    <xf numFmtId="0" fontId="158" fillId="0" borderId="24" xfId="0" applyFont="1" applyBorder="1" applyAlignment="1" applyProtection="1">
      <alignment horizontal="right" vertical="center"/>
      <protection hidden="1"/>
    </xf>
    <xf numFmtId="0" fontId="158" fillId="0" borderId="18" xfId="0" applyFont="1" applyBorder="1" applyAlignment="1" applyProtection="1">
      <alignment horizontal="right" vertical="center"/>
      <protection hidden="1"/>
    </xf>
    <xf numFmtId="0" fontId="158" fillId="0" borderId="19" xfId="0" applyFont="1" applyBorder="1" applyAlignment="1" applyProtection="1">
      <alignment horizontal="right" vertical="center"/>
      <protection hidden="1"/>
    </xf>
    <xf numFmtId="164" fontId="158" fillId="0" borderId="11" xfId="0" applyNumberFormat="1" applyFont="1" applyBorder="1" applyAlignment="1" applyProtection="1">
      <alignment horizontal="center" vertical="center"/>
      <protection hidden="1"/>
    </xf>
    <xf numFmtId="164" fontId="158" fillId="0" borderId="12" xfId="0" applyNumberFormat="1" applyFont="1" applyBorder="1" applyAlignment="1" applyProtection="1">
      <alignment horizontal="center" vertical="center"/>
      <protection hidden="1"/>
    </xf>
    <xf numFmtId="164" fontId="158" fillId="0" borderId="46" xfId="0" applyNumberFormat="1" applyFont="1" applyBorder="1" applyAlignment="1" applyProtection="1">
      <alignment horizontal="center" vertical="center"/>
      <protection hidden="1"/>
    </xf>
    <xf numFmtId="164" fontId="158" fillId="0" borderId="43" xfId="0" applyNumberFormat="1" applyFont="1" applyBorder="1" applyAlignment="1" applyProtection="1">
      <alignment horizontal="center" vertical="center"/>
      <protection hidden="1"/>
    </xf>
    <xf numFmtId="164" fontId="158" fillId="0" borderId="44" xfId="0" applyNumberFormat="1" applyFont="1" applyBorder="1" applyAlignment="1" applyProtection="1">
      <alignment horizontal="center" vertical="center"/>
      <protection hidden="1"/>
    </xf>
    <xf numFmtId="164" fontId="158" fillId="0" borderId="56" xfId="0" applyNumberFormat="1" applyFont="1" applyBorder="1" applyAlignment="1" applyProtection="1">
      <alignment horizontal="center" vertical="center"/>
      <protection hidden="1"/>
    </xf>
    <xf numFmtId="165" fontId="27" fillId="4" borderId="11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46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15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35" xfId="0" applyNumberFormat="1" applyFont="1" applyFill="1" applyBorder="1" applyAlignment="1" applyProtection="1">
      <alignment horizontal="center" vertical="center" wrapText="1"/>
      <protection hidden="1"/>
    </xf>
    <xf numFmtId="164" fontId="158" fillId="0" borderId="11" xfId="0" applyNumberFormat="1" applyFont="1" applyBorder="1" applyAlignment="1" applyProtection="1">
      <alignment horizontal="center" vertical="center" wrapText="1"/>
      <protection hidden="1"/>
    </xf>
    <xf numFmtId="164" fontId="158" fillId="0" borderId="15" xfId="0" applyNumberFormat="1" applyFont="1" applyBorder="1" applyAlignment="1" applyProtection="1">
      <alignment horizontal="center" vertical="center"/>
      <protection hidden="1"/>
    </xf>
    <xf numFmtId="164" fontId="158" fillId="0" borderId="35" xfId="0" applyNumberFormat="1" applyFont="1" applyBorder="1" applyAlignment="1" applyProtection="1">
      <alignment horizontal="center" vertical="center"/>
      <protection hidden="1"/>
    </xf>
    <xf numFmtId="164" fontId="68" fillId="0" borderId="75" xfId="0" applyNumberFormat="1" applyFont="1" applyBorder="1" applyAlignment="1" applyProtection="1">
      <alignment horizontal="center" vertical="center" wrapText="1"/>
      <protection hidden="1"/>
    </xf>
    <xf numFmtId="0" fontId="29" fillId="0" borderId="58" xfId="0" applyFont="1" applyBorder="1" applyAlignment="1" applyProtection="1">
      <alignment horizontal="left" vertical="center" wrapText="1" indent="1"/>
      <protection hidden="1"/>
    </xf>
    <xf numFmtId="0" fontId="29" fillId="0" borderId="5" xfId="0" applyFont="1" applyBorder="1" applyAlignment="1" applyProtection="1">
      <alignment horizontal="left" vertical="center" wrapText="1" indent="1"/>
      <protection hidden="1"/>
    </xf>
    <xf numFmtId="0" fontId="109" fillId="0" borderId="58" xfId="0" quotePrefix="1" applyFont="1" applyBorder="1" applyAlignment="1" applyProtection="1">
      <alignment horizontal="left" vertical="center" wrapText="1" indent="3"/>
      <protection hidden="1"/>
    </xf>
    <xf numFmtId="0" fontId="109" fillId="0" borderId="5" xfId="0" applyFont="1" applyBorder="1" applyAlignment="1" applyProtection="1">
      <alignment horizontal="left" vertical="center" wrapText="1" indent="3"/>
      <protection hidden="1"/>
    </xf>
    <xf numFmtId="0" fontId="109" fillId="0" borderId="6" xfId="0" quotePrefix="1" applyFont="1" applyBorder="1" applyAlignment="1" applyProtection="1">
      <alignment horizontal="left" vertical="center" wrapText="1" indent="3"/>
      <protection hidden="1"/>
    </xf>
    <xf numFmtId="0" fontId="109" fillId="0" borderId="2" xfId="0" applyFont="1" applyBorder="1" applyAlignment="1" applyProtection="1">
      <alignment horizontal="left" vertical="center" wrapText="1" indent="3"/>
      <protection hidden="1"/>
    </xf>
    <xf numFmtId="0" fontId="109" fillId="0" borderId="74" xfId="0" quotePrefix="1" applyFont="1" applyBorder="1" applyAlignment="1" applyProtection="1">
      <alignment horizontal="left" vertical="center" wrapText="1" indent="3"/>
      <protection hidden="1"/>
    </xf>
    <xf numFmtId="0" fontId="109" fillId="0" borderId="75" xfId="0" applyFont="1" applyBorder="1" applyAlignment="1" applyProtection="1">
      <alignment horizontal="left" vertical="center" wrapText="1" indent="3"/>
      <protection hidden="1"/>
    </xf>
    <xf numFmtId="0" fontId="29" fillId="0" borderId="58" xfId="0" quotePrefix="1" applyFont="1" applyBorder="1" applyAlignment="1" applyProtection="1">
      <alignment horizontal="left" vertical="center" wrapText="1" indent="1"/>
      <protection hidden="1"/>
    </xf>
    <xf numFmtId="0" fontId="58" fillId="2" borderId="21" xfId="0" applyFont="1" applyFill="1" applyBorder="1" applyAlignment="1" applyProtection="1">
      <alignment horizontal="right" vertical="center"/>
      <protection hidden="1"/>
    </xf>
    <xf numFmtId="0" fontId="58" fillId="2" borderId="22" xfId="0" applyFont="1" applyFill="1" applyBorder="1" applyAlignment="1" applyProtection="1">
      <alignment horizontal="right" vertical="center"/>
      <protection hidden="1"/>
    </xf>
    <xf numFmtId="0" fontId="58" fillId="2" borderId="13" xfId="0" applyFont="1" applyFill="1" applyBorder="1" applyAlignment="1" applyProtection="1">
      <alignment horizontal="right" vertical="center"/>
      <protection hidden="1"/>
    </xf>
    <xf numFmtId="164" fontId="27" fillId="2" borderId="12" xfId="0" applyNumberFormat="1" applyFont="1" applyFill="1" applyBorder="1" applyAlignment="1" applyProtection="1">
      <alignment horizontal="center" vertical="center"/>
      <protection hidden="1"/>
    </xf>
    <xf numFmtId="0" fontId="29" fillId="0" borderId="6" xfId="0" quotePrefix="1" applyFont="1" applyBorder="1" applyAlignment="1" applyProtection="1">
      <alignment horizontal="left" vertical="center" wrapText="1" indent="1"/>
      <protection hidden="1"/>
    </xf>
    <xf numFmtId="0" fontId="29" fillId="0" borderId="74" xfId="0" quotePrefix="1" applyFont="1" applyBorder="1" applyAlignment="1" applyProtection="1">
      <alignment horizontal="left" vertical="center" wrapText="1" indent="1"/>
      <protection hidden="1"/>
    </xf>
    <xf numFmtId="0" fontId="29" fillId="0" borderId="79" xfId="0" quotePrefix="1" applyFont="1" applyBorder="1" applyAlignment="1" applyProtection="1">
      <alignment horizontal="left" vertical="center" wrapText="1" indent="1"/>
      <protection hidden="1"/>
    </xf>
    <xf numFmtId="0" fontId="29" fillId="0" borderId="77" xfId="0" applyFont="1" applyBorder="1" applyAlignment="1" applyProtection="1">
      <alignment horizontal="left" vertical="center" wrapText="1" indent="1"/>
      <protection hidden="1"/>
    </xf>
    <xf numFmtId="0" fontId="29" fillId="0" borderId="80" xfId="0" applyFont="1" applyBorder="1" applyAlignment="1" applyProtection="1">
      <alignment horizontal="left" vertical="center" wrapText="1" indent="1"/>
      <protection hidden="1"/>
    </xf>
    <xf numFmtId="0" fontId="29" fillId="0" borderId="40" xfId="0" applyFont="1" applyBorder="1" applyAlignment="1" applyProtection="1">
      <alignment horizontal="left" vertical="center" wrapText="1" indent="1"/>
      <protection hidden="1"/>
    </xf>
    <xf numFmtId="0" fontId="29" fillId="0" borderId="7" xfId="0" applyFont="1" applyBorder="1" applyAlignment="1" applyProtection="1">
      <alignment horizontal="left" vertical="center" wrapText="1" indent="1"/>
      <protection hidden="1"/>
    </xf>
    <xf numFmtId="0" fontId="29" fillId="0" borderId="88" xfId="0" applyFont="1" applyBorder="1" applyAlignment="1" applyProtection="1">
      <alignment horizontal="left" vertical="center" wrapText="1" indent="1"/>
      <protection hidden="1"/>
    </xf>
    <xf numFmtId="0" fontId="29" fillId="0" borderId="116" xfId="0" applyFont="1" applyBorder="1" applyAlignment="1" applyProtection="1">
      <alignment horizontal="left" vertical="center" wrapText="1" indent="1"/>
      <protection hidden="1"/>
    </xf>
    <xf numFmtId="0" fontId="109" fillId="0" borderId="82" xfId="0" quotePrefix="1" applyFont="1" applyBorder="1" applyAlignment="1" applyProtection="1">
      <alignment horizontal="left" vertical="center" wrapText="1" indent="3"/>
      <protection hidden="1"/>
    </xf>
    <xf numFmtId="0" fontId="109" fillId="0" borderId="83" xfId="0" applyFont="1" applyBorder="1" applyAlignment="1" applyProtection="1">
      <alignment horizontal="left" vertical="center" wrapText="1" indent="3"/>
      <protection hidden="1"/>
    </xf>
    <xf numFmtId="0" fontId="138" fillId="3" borderId="6" xfId="0" applyFont="1" applyFill="1" applyBorder="1" applyAlignment="1" applyProtection="1">
      <alignment horizontal="left" vertical="center" wrapText="1"/>
      <protection hidden="1"/>
    </xf>
    <xf numFmtId="0" fontId="138" fillId="3" borderId="2" xfId="0" applyFont="1" applyFill="1" applyBorder="1" applyAlignment="1" applyProtection="1">
      <alignment horizontal="left" vertical="center" wrapText="1"/>
      <protection hidden="1"/>
    </xf>
    <xf numFmtId="0" fontId="138" fillId="3" borderId="34" xfId="0" applyFont="1" applyFill="1" applyBorder="1" applyAlignment="1" applyProtection="1">
      <alignment horizontal="left" vertical="center" wrapText="1"/>
      <protection hidden="1"/>
    </xf>
    <xf numFmtId="0" fontId="80" fillId="0" borderId="52" xfId="0" applyFont="1" applyBorder="1" applyAlignment="1" applyProtection="1">
      <alignment horizontal="left" vertical="center" indent="1"/>
      <protection hidden="1"/>
    </xf>
    <xf numFmtId="0" fontId="171" fillId="0" borderId="52" xfId="0" applyFont="1" applyBorder="1" applyAlignment="1" applyProtection="1">
      <alignment horizontal="center" vertical="center" wrapText="1"/>
      <protection hidden="1"/>
    </xf>
    <xf numFmtId="0" fontId="171" fillId="0" borderId="52" xfId="0" applyFont="1" applyBorder="1" applyAlignment="1" applyProtection="1">
      <alignment horizontal="center" vertical="center"/>
      <protection hidden="1"/>
    </xf>
    <xf numFmtId="0" fontId="68" fillId="0" borderId="51" xfId="0" applyFont="1" applyBorder="1" applyAlignment="1" applyProtection="1">
      <alignment horizontal="center" vertical="center" wrapText="1"/>
      <protection hidden="1"/>
    </xf>
    <xf numFmtId="0" fontId="68" fillId="0" borderId="53" xfId="0" applyFont="1" applyBorder="1" applyAlignment="1" applyProtection="1">
      <alignment horizontal="center" vertical="center" wrapText="1"/>
      <protection hidden="1"/>
    </xf>
    <xf numFmtId="0" fontId="68" fillId="0" borderId="51" xfId="0" applyFont="1" applyBorder="1" applyAlignment="1" applyProtection="1">
      <alignment horizontal="center" vertical="center"/>
      <protection hidden="1"/>
    </xf>
    <xf numFmtId="0" fontId="68" fillId="0" borderId="53" xfId="0" applyFont="1" applyBorder="1" applyAlignment="1" applyProtection="1">
      <alignment horizontal="center" vertical="center"/>
      <protection hidden="1"/>
    </xf>
    <xf numFmtId="164" fontId="27" fillId="0" borderId="58" xfId="0" applyNumberFormat="1" applyFont="1" applyBorder="1" applyAlignment="1" applyProtection="1">
      <alignment horizontal="center" vertical="center" wrapText="1"/>
      <protection hidden="1"/>
    </xf>
    <xf numFmtId="164" fontId="27" fillId="0" borderId="86" xfId="0" applyNumberFormat="1" applyFont="1" applyBorder="1" applyAlignment="1" applyProtection="1">
      <alignment horizontal="center" vertical="center" wrapText="1"/>
      <protection hidden="1"/>
    </xf>
    <xf numFmtId="164" fontId="27" fillId="0" borderId="74" xfId="0" applyNumberFormat="1" applyFont="1" applyBorder="1" applyAlignment="1" applyProtection="1">
      <alignment horizontal="center" vertical="center" wrapText="1"/>
      <protection hidden="1"/>
    </xf>
    <xf numFmtId="164" fontId="27" fillId="0" borderId="90" xfId="0" applyNumberFormat="1" applyFont="1" applyBorder="1" applyAlignment="1" applyProtection="1">
      <alignment horizontal="center" vertical="center" wrapText="1"/>
      <protection hidden="1"/>
    </xf>
    <xf numFmtId="164" fontId="27" fillId="0" borderId="82" xfId="0" applyNumberFormat="1" applyFont="1" applyBorder="1" applyAlignment="1" applyProtection="1">
      <alignment horizontal="center" vertical="center" wrapText="1"/>
      <protection hidden="1"/>
    </xf>
    <xf numFmtId="0" fontId="83" fillId="6" borderId="51" xfId="0" applyFont="1" applyFill="1" applyBorder="1" applyAlignment="1" applyProtection="1">
      <alignment horizontal="right" vertical="center"/>
      <protection hidden="1"/>
    </xf>
    <xf numFmtId="0" fontId="83" fillId="6" borderId="52" xfId="0" applyFont="1" applyFill="1" applyBorder="1" applyAlignment="1" applyProtection="1">
      <alignment horizontal="right" vertical="center"/>
      <protection hidden="1"/>
    </xf>
    <xf numFmtId="0" fontId="83" fillId="6" borderId="43" xfId="0" applyFont="1" applyFill="1" applyBorder="1" applyAlignment="1" applyProtection="1">
      <alignment horizontal="right" vertical="center"/>
      <protection hidden="1"/>
    </xf>
    <xf numFmtId="0" fontId="83" fillId="6" borderId="44" xfId="0" applyFont="1" applyFill="1" applyBorder="1" applyAlignment="1" applyProtection="1">
      <alignment horizontal="right" vertical="center"/>
      <protection hidden="1"/>
    </xf>
    <xf numFmtId="0" fontId="19" fillId="6" borderId="52" xfId="1" applyFill="1" applyBorder="1" applyAlignment="1" applyProtection="1">
      <alignment horizontal="center" vertical="center"/>
      <protection hidden="1"/>
    </xf>
    <xf numFmtId="0" fontId="19" fillId="6" borderId="44" xfId="1" applyFill="1" applyBorder="1" applyAlignment="1" applyProtection="1">
      <alignment horizontal="center" vertical="center"/>
      <protection hidden="1"/>
    </xf>
    <xf numFmtId="0" fontId="19" fillId="6" borderId="53" xfId="1" applyFill="1" applyBorder="1" applyAlignment="1" applyProtection="1">
      <alignment horizontal="center" vertical="center" wrapText="1"/>
      <protection hidden="1"/>
    </xf>
    <xf numFmtId="0" fontId="19" fillId="6" borderId="56" xfId="1" applyFill="1" applyBorder="1" applyAlignment="1" applyProtection="1">
      <alignment horizontal="center" vertical="center" wrapText="1"/>
      <protection hidden="1"/>
    </xf>
    <xf numFmtId="0" fontId="125" fillId="6" borderId="52" xfId="1" applyFont="1" applyFill="1" applyBorder="1" applyAlignment="1" applyProtection="1">
      <alignment horizontal="left" vertical="center" wrapText="1"/>
      <protection hidden="1"/>
    </xf>
    <xf numFmtId="0" fontId="125" fillId="6" borderId="44" xfId="1" applyFont="1" applyFill="1" applyBorder="1" applyAlignment="1" applyProtection="1">
      <alignment horizontal="left" vertical="center" wrapText="1"/>
      <protection hidden="1"/>
    </xf>
    <xf numFmtId="0" fontId="34" fillId="9" borderId="0" xfId="0" applyFont="1" applyFill="1" applyAlignment="1" applyProtection="1">
      <alignment horizontal="right" vertical="center" indent="1"/>
      <protection hidden="1"/>
    </xf>
    <xf numFmtId="0" fontId="20" fillId="3" borderId="6" xfId="0" applyFont="1" applyFill="1" applyBorder="1" applyAlignment="1" applyProtection="1">
      <alignment horizontal="left" vertical="center"/>
      <protection hidden="1"/>
    </xf>
    <xf numFmtId="0" fontId="20" fillId="3" borderId="2" xfId="0" applyFont="1" applyFill="1" applyBorder="1" applyAlignment="1" applyProtection="1">
      <alignment horizontal="left" vertical="center"/>
      <protection hidden="1"/>
    </xf>
    <xf numFmtId="0" fontId="20" fillId="3" borderId="34" xfId="0" applyFont="1" applyFill="1" applyBorder="1" applyAlignment="1" applyProtection="1">
      <alignment horizontal="left" vertical="center"/>
      <protection hidden="1"/>
    </xf>
    <xf numFmtId="0" fontId="203" fillId="0" borderId="88" xfId="0" quotePrefix="1" applyFont="1" applyBorder="1" applyAlignment="1" applyProtection="1">
      <alignment horizontal="left" vertical="center" wrapText="1" indent="3"/>
      <protection hidden="1"/>
    </xf>
    <xf numFmtId="0" fontId="203" fillId="0" borderId="116" xfId="0" applyFont="1" applyBorder="1" applyAlignment="1" applyProtection="1">
      <alignment horizontal="left" vertical="center" wrapText="1" indent="3"/>
      <protection hidden="1"/>
    </xf>
    <xf numFmtId="0" fontId="60" fillId="0" borderId="27" xfId="0" quotePrefix="1" applyFont="1" applyBorder="1" applyAlignment="1" applyProtection="1">
      <alignment horizontal="left" wrapText="1"/>
      <protection hidden="1"/>
    </xf>
    <xf numFmtId="0" fontId="208" fillId="2" borderId="27" xfId="0" quotePrefix="1" applyFont="1" applyFill="1" applyBorder="1" applyAlignment="1" applyProtection="1">
      <alignment horizontal="left" vertical="top" wrapText="1" indent="1"/>
      <protection hidden="1"/>
    </xf>
    <xf numFmtId="0" fontId="208" fillId="2" borderId="0" xfId="0" applyFont="1" applyFill="1" applyAlignment="1" applyProtection="1">
      <alignment horizontal="left" vertical="top" wrapText="1" indent="1"/>
      <protection hidden="1"/>
    </xf>
    <xf numFmtId="0" fontId="208" fillId="2" borderId="28" xfId="0" applyFont="1" applyFill="1" applyBorder="1" applyAlignment="1" applyProtection="1">
      <alignment horizontal="left" vertical="top" wrapText="1" indent="1"/>
      <protection hidden="1"/>
    </xf>
    <xf numFmtId="0" fontId="19" fillId="6" borderId="44" xfId="1" applyFill="1" applyBorder="1" applyAlignment="1" applyProtection="1">
      <alignment horizontal="left" vertical="center" wrapText="1"/>
      <protection hidden="1"/>
    </xf>
    <xf numFmtId="0" fontId="58" fillId="0" borderId="0" xfId="0" applyFont="1" applyAlignment="1" applyProtection="1">
      <alignment horizontal="center"/>
      <protection hidden="1"/>
    </xf>
    <xf numFmtId="0" fontId="69" fillId="0" borderId="0" xfId="0" applyFont="1" applyAlignment="1">
      <alignment horizontal="right" vertical="center" wrapText="1" indent="1"/>
    </xf>
    <xf numFmtId="0" fontId="69" fillId="0" borderId="0" xfId="0" applyFont="1" applyAlignment="1" applyProtection="1">
      <alignment horizontal="right" vertical="center" indent="1"/>
      <protection hidden="1"/>
    </xf>
    <xf numFmtId="0" fontId="24" fillId="0" borderId="1" xfId="0" applyFont="1" applyBorder="1" applyAlignment="1" applyProtection="1">
      <alignment horizontal="left" vertical="center"/>
      <protection locked="0"/>
    </xf>
    <xf numFmtId="0" fontId="24" fillId="0" borderId="2" xfId="0" applyFont="1" applyBorder="1" applyAlignment="1" applyProtection="1">
      <alignment horizontal="left" vertical="center"/>
      <protection locked="0"/>
    </xf>
    <xf numFmtId="0" fontId="24" fillId="0" borderId="3" xfId="0" applyFont="1" applyBorder="1" applyAlignment="1" applyProtection="1">
      <alignment horizontal="left" vertical="center"/>
      <protection locked="0"/>
    </xf>
    <xf numFmtId="49" fontId="138" fillId="0" borderId="1" xfId="0" applyNumberFormat="1" applyFont="1" applyBorder="1" applyAlignment="1" applyProtection="1">
      <alignment horizontal="right" vertical="center" wrapText="1"/>
      <protection locked="0"/>
    </xf>
    <xf numFmtId="49" fontId="138" fillId="0" borderId="2" xfId="0" applyNumberFormat="1" applyFont="1" applyBorder="1" applyAlignment="1" applyProtection="1">
      <alignment horizontal="right" vertical="center" wrapText="1"/>
      <protection locked="0"/>
    </xf>
    <xf numFmtId="0" fontId="19" fillId="6" borderId="52" xfId="1" applyFill="1" applyBorder="1" applyAlignment="1" applyProtection="1">
      <alignment horizontal="left" vertical="center"/>
      <protection hidden="1"/>
    </xf>
    <xf numFmtId="0" fontId="79" fillId="26" borderId="50" xfId="0" applyFont="1" applyFill="1" applyBorder="1" applyAlignment="1" applyProtection="1">
      <alignment horizontal="center" vertical="center"/>
      <protection locked="0"/>
    </xf>
    <xf numFmtId="0" fontId="79" fillId="26" borderId="69" xfId="0" applyFont="1" applyFill="1" applyBorder="1" applyAlignment="1" applyProtection="1">
      <alignment horizontal="center" vertical="center"/>
      <protection locked="0"/>
    </xf>
    <xf numFmtId="0" fontId="79" fillId="26" borderId="51" xfId="0" applyFont="1" applyFill="1" applyBorder="1" applyAlignment="1" applyProtection="1">
      <alignment horizontal="center" vertical="center"/>
      <protection locked="0"/>
    </xf>
    <xf numFmtId="0" fontId="79" fillId="26" borderId="53" xfId="0" applyFont="1" applyFill="1" applyBorder="1" applyAlignment="1" applyProtection="1">
      <alignment horizontal="center" vertical="center"/>
      <protection locked="0"/>
    </xf>
    <xf numFmtId="0" fontId="79" fillId="26" borderId="49" xfId="0" applyFont="1" applyFill="1" applyBorder="1" applyAlignment="1" applyProtection="1">
      <alignment horizontal="center" vertical="center"/>
      <protection locked="0"/>
    </xf>
    <xf numFmtId="0" fontId="91" fillId="12" borderId="51" xfId="0" applyFont="1" applyFill="1" applyBorder="1" applyAlignment="1" applyProtection="1">
      <alignment horizontal="center" vertical="center"/>
      <protection hidden="1"/>
    </xf>
    <xf numFmtId="0" fontId="91" fillId="12" borderId="52" xfId="0" applyFont="1" applyFill="1" applyBorder="1" applyAlignment="1" applyProtection="1">
      <alignment horizontal="center" vertical="center"/>
      <protection hidden="1"/>
    </xf>
    <xf numFmtId="0" fontId="91" fillId="12" borderId="53" xfId="0" applyFont="1" applyFill="1" applyBorder="1" applyAlignment="1" applyProtection="1">
      <alignment horizontal="center" vertical="center"/>
      <protection hidden="1"/>
    </xf>
    <xf numFmtId="0" fontId="91" fillId="12" borderId="50" xfId="0" applyFont="1" applyFill="1" applyBorder="1" applyAlignment="1" applyProtection="1">
      <alignment horizontal="center" vertical="center"/>
      <protection hidden="1"/>
    </xf>
    <xf numFmtId="0" fontId="91" fillId="12" borderId="49" xfId="0" applyFont="1" applyFill="1" applyBorder="1" applyAlignment="1" applyProtection="1">
      <alignment horizontal="center" vertical="center"/>
      <protection hidden="1"/>
    </xf>
    <xf numFmtId="0" fontId="91" fillId="12" borderId="69" xfId="0" applyFont="1" applyFill="1" applyBorder="1" applyAlignment="1" applyProtection="1">
      <alignment horizontal="center" vertical="center"/>
      <protection hidden="1"/>
    </xf>
    <xf numFmtId="0" fontId="59" fillId="3" borderId="22" xfId="0" applyFont="1" applyFill="1" applyBorder="1" applyAlignment="1">
      <alignment horizontal="center" vertical="center" wrapText="1"/>
    </xf>
    <xf numFmtId="0" fontId="59" fillId="3" borderId="18" xfId="0" applyFont="1" applyFill="1" applyBorder="1" applyAlignment="1">
      <alignment horizontal="center" vertical="center" wrapText="1"/>
    </xf>
    <xf numFmtId="0" fontId="79" fillId="0" borderId="19" xfId="0" applyFont="1" applyBorder="1" applyAlignment="1" applyProtection="1">
      <alignment horizontal="left" shrinkToFit="1"/>
      <protection hidden="1"/>
    </xf>
    <xf numFmtId="0" fontId="79" fillId="0" borderId="16" xfId="0" applyFont="1" applyBorder="1" applyAlignment="1" applyProtection="1">
      <alignment horizontal="left" shrinkToFit="1"/>
      <protection hidden="1"/>
    </xf>
    <xf numFmtId="0" fontId="79" fillId="0" borderId="17" xfId="0" applyFont="1" applyBorder="1" applyAlignment="1" applyProtection="1">
      <alignment horizontal="left" shrinkToFit="1"/>
      <protection hidden="1"/>
    </xf>
    <xf numFmtId="0" fontId="113" fillId="12" borderId="50" xfId="0" applyFont="1" applyFill="1" applyBorder="1" applyAlignment="1" applyProtection="1">
      <alignment horizontal="center" vertical="center"/>
      <protection hidden="1"/>
    </xf>
    <xf numFmtId="0" fontId="113" fillId="12" borderId="69" xfId="0" applyFont="1" applyFill="1" applyBorder="1" applyAlignment="1" applyProtection="1">
      <alignment horizontal="center" vertical="center"/>
      <protection hidden="1"/>
    </xf>
    <xf numFmtId="0" fontId="115" fillId="10" borderId="51" xfId="1" applyFont="1" applyFill="1" applyBorder="1" applyAlignment="1">
      <alignment horizontal="center" vertical="center" wrapText="1"/>
    </xf>
    <xf numFmtId="0" fontId="115" fillId="10" borderId="44" xfId="1" applyFont="1" applyFill="1" applyBorder="1" applyAlignment="1">
      <alignment horizontal="center" vertical="center" wrapText="1"/>
    </xf>
    <xf numFmtId="0" fontId="59" fillId="3" borderId="21" xfId="0" applyFont="1" applyFill="1" applyBorder="1" applyAlignment="1">
      <alignment horizontal="center" vertical="center" wrapText="1"/>
    </xf>
    <xf numFmtId="0" fontId="59" fillId="3" borderId="24" xfId="0" applyFont="1" applyFill="1" applyBorder="1" applyAlignment="1">
      <alignment horizontal="center" vertical="center" wrapText="1"/>
    </xf>
    <xf numFmtId="0" fontId="41" fillId="0" borderId="9" xfId="0" applyFont="1" applyBorder="1" applyAlignment="1" applyProtection="1">
      <alignment horizontal="left" wrapText="1"/>
      <protection hidden="1"/>
    </xf>
    <xf numFmtId="0" fontId="59" fillId="3" borderId="13" xfId="0" applyFont="1" applyFill="1" applyBorder="1" applyAlignment="1">
      <alignment horizontal="center" vertical="center" wrapText="1"/>
    </xf>
    <xf numFmtId="0" fontId="59" fillId="3" borderId="20" xfId="0" applyFont="1" applyFill="1" applyBorder="1" applyAlignment="1">
      <alignment horizontal="center" vertical="center" wrapText="1"/>
    </xf>
    <xf numFmtId="0" fontId="59" fillId="3" borderId="30" xfId="0" applyFont="1" applyFill="1" applyBorder="1" applyAlignment="1">
      <alignment horizontal="center" vertical="center" wrapText="1"/>
    </xf>
    <xf numFmtId="0" fontId="115" fillId="3" borderId="30" xfId="1" applyFont="1" applyFill="1" applyBorder="1" applyAlignment="1">
      <alignment horizontal="center" vertical="center" wrapText="1"/>
    </xf>
    <xf numFmtId="0" fontId="115" fillId="3" borderId="23" xfId="1" applyFont="1" applyFill="1" applyBorder="1" applyAlignment="1">
      <alignment horizontal="center" vertical="center" wrapText="1"/>
    </xf>
    <xf numFmtId="0" fontId="59" fillId="3" borderId="23" xfId="0" applyFont="1" applyFill="1" applyBorder="1" applyAlignment="1">
      <alignment horizontal="center" vertical="center" wrapText="1"/>
    </xf>
    <xf numFmtId="0" fontId="59" fillId="3" borderId="19" xfId="0" applyFont="1" applyFill="1" applyBorder="1" applyAlignment="1">
      <alignment horizontal="center" vertical="center" wrapText="1"/>
    </xf>
    <xf numFmtId="0" fontId="41" fillId="0" borderId="10" xfId="0" applyFont="1" applyBorder="1" applyAlignment="1" applyProtection="1">
      <alignment horizontal="left" wrapText="1"/>
      <protection hidden="1"/>
    </xf>
    <xf numFmtId="0" fontId="41" fillId="0" borderId="7" xfId="0" applyFont="1" applyBorder="1" applyAlignment="1" applyProtection="1">
      <alignment horizontal="left" wrapText="1"/>
      <protection hidden="1"/>
    </xf>
    <xf numFmtId="0" fontId="41" fillId="0" borderId="8" xfId="0" applyFont="1" applyBorder="1" applyAlignment="1" applyProtection="1">
      <alignment horizontal="left" wrapText="1"/>
      <protection hidden="1"/>
    </xf>
    <xf numFmtId="0" fontId="42" fillId="0" borderId="63" xfId="0" applyFont="1" applyBorder="1" applyAlignment="1" applyProtection="1">
      <alignment horizontal="left" vertical="top" wrapText="1" indent="1"/>
      <protection hidden="1"/>
    </xf>
    <xf numFmtId="0" fontId="42" fillId="0" borderId="44" xfId="0" applyFont="1" applyBorder="1" applyAlignment="1" applyProtection="1">
      <alignment horizontal="left" vertical="top" wrapText="1" indent="1"/>
      <protection hidden="1"/>
    </xf>
    <xf numFmtId="0" fontId="42" fillId="0" borderId="45" xfId="0" applyFont="1" applyBorder="1" applyAlignment="1" applyProtection="1">
      <alignment horizontal="left" vertical="top" wrapText="1" indent="1"/>
      <protection hidden="1"/>
    </xf>
    <xf numFmtId="0" fontId="113" fillId="12" borderId="49" xfId="0" applyFont="1" applyFill="1" applyBorder="1" applyAlignment="1" applyProtection="1">
      <alignment horizontal="center" vertical="center"/>
      <protection hidden="1"/>
    </xf>
    <xf numFmtId="0" fontId="92" fillId="12" borderId="51" xfId="0" applyFont="1" applyFill="1" applyBorder="1" applyAlignment="1" applyProtection="1">
      <alignment horizontal="center" vertical="center"/>
      <protection hidden="1"/>
    </xf>
    <xf numFmtId="0" fontId="92" fillId="12" borderId="52" xfId="0" applyFont="1" applyFill="1" applyBorder="1" applyAlignment="1" applyProtection="1">
      <alignment horizontal="center" vertical="center"/>
      <protection hidden="1"/>
    </xf>
    <xf numFmtId="0" fontId="92" fillId="12" borderId="53" xfId="0" applyFont="1" applyFill="1" applyBorder="1" applyAlignment="1" applyProtection="1">
      <alignment horizontal="center" vertical="center"/>
      <protection hidden="1"/>
    </xf>
    <xf numFmtId="0" fontId="117" fillId="3" borderId="11" xfId="0" applyFont="1" applyFill="1" applyBorder="1" applyAlignment="1">
      <alignment horizontal="center" vertical="center" wrapText="1"/>
    </xf>
    <xf numFmtId="0" fontId="117" fillId="3" borderId="12" xfId="0" applyFont="1" applyFill="1" applyBorder="1" applyAlignment="1">
      <alignment horizontal="center" vertical="center" wrapText="1"/>
    </xf>
    <xf numFmtId="0" fontId="117" fillId="3" borderId="46" xfId="0" applyFont="1" applyFill="1" applyBorder="1" applyAlignment="1">
      <alignment horizontal="center" vertical="center" wrapText="1"/>
    </xf>
    <xf numFmtId="0" fontId="117" fillId="3" borderId="22" xfId="0" applyFont="1" applyFill="1" applyBorder="1" applyAlignment="1">
      <alignment horizontal="center" vertical="center" wrapText="1"/>
    </xf>
    <xf numFmtId="0" fontId="117" fillId="3" borderId="18" xfId="0" applyFont="1" applyFill="1" applyBorder="1" applyAlignment="1">
      <alignment horizontal="center" vertical="center" wrapText="1"/>
    </xf>
    <xf numFmtId="0" fontId="117" fillId="3" borderId="13" xfId="0" applyFont="1" applyFill="1" applyBorder="1" applyAlignment="1">
      <alignment horizontal="center" vertical="center" wrapText="1"/>
    </xf>
    <xf numFmtId="0" fontId="117" fillId="3" borderId="20" xfId="0" applyFont="1" applyFill="1" applyBorder="1" applyAlignment="1">
      <alignment horizontal="center" vertical="center" wrapText="1"/>
    </xf>
    <xf numFmtId="0" fontId="92" fillId="12" borderId="49" xfId="0" applyFont="1" applyFill="1" applyBorder="1" applyAlignment="1" applyProtection="1">
      <alignment horizontal="center" vertical="center"/>
      <protection hidden="1"/>
    </xf>
    <xf numFmtId="0" fontId="92" fillId="12" borderId="69" xfId="0" applyFont="1" applyFill="1" applyBorder="1" applyAlignment="1" applyProtection="1">
      <alignment horizontal="center" vertical="center"/>
      <protection hidden="1"/>
    </xf>
    <xf numFmtId="0" fontId="87" fillId="12" borderId="50" xfId="0" applyFont="1" applyFill="1" applyBorder="1" applyAlignment="1" applyProtection="1">
      <alignment horizontal="center" vertical="center"/>
      <protection hidden="1"/>
    </xf>
    <xf numFmtId="0" fontId="87" fillId="12" borderId="49" xfId="0" applyFont="1" applyFill="1" applyBorder="1" applyAlignment="1" applyProtection="1">
      <alignment horizontal="center" vertical="center"/>
      <protection hidden="1"/>
    </xf>
    <xf numFmtId="0" fontId="87" fillId="12" borderId="69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left"/>
      <protection hidden="1"/>
    </xf>
    <xf numFmtId="0" fontId="48" fillId="0" borderId="0" xfId="0" applyFont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78" fillId="5" borderId="54" xfId="0" applyFont="1" applyFill="1" applyBorder="1" applyAlignment="1" applyProtection="1">
      <alignment horizontal="left" vertical="center" wrapText="1" indent="1"/>
      <protection hidden="1"/>
    </xf>
    <xf numFmtId="0" fontId="78" fillId="5" borderId="0" xfId="0" applyFont="1" applyFill="1" applyAlignment="1" applyProtection="1">
      <alignment horizontal="left" vertical="center" wrapText="1" indent="1"/>
      <protection hidden="1"/>
    </xf>
    <xf numFmtId="0" fontId="78" fillId="5" borderId="55" xfId="0" applyFont="1" applyFill="1" applyBorder="1" applyAlignment="1" applyProtection="1">
      <alignment horizontal="left" vertical="center" wrapText="1" indent="1"/>
      <protection hidden="1"/>
    </xf>
    <xf numFmtId="0" fontId="62" fillId="5" borderId="54" xfId="0" applyFont="1" applyFill="1" applyBorder="1" applyAlignment="1" applyProtection="1">
      <alignment horizontal="left" vertical="center" wrapText="1" indent="1"/>
      <protection hidden="1"/>
    </xf>
    <xf numFmtId="0" fontId="62" fillId="5" borderId="0" xfId="0" applyFont="1" applyFill="1" applyAlignment="1" applyProtection="1">
      <alignment horizontal="left" vertical="center" wrapText="1" indent="1"/>
      <protection hidden="1"/>
    </xf>
    <xf numFmtId="0" fontId="62" fillId="5" borderId="55" xfId="0" applyFont="1" applyFill="1" applyBorder="1" applyAlignment="1" applyProtection="1">
      <alignment horizontal="left" vertical="center" wrapText="1" indent="1"/>
      <protection hidden="1"/>
    </xf>
    <xf numFmtId="0" fontId="108" fillId="5" borderId="54" xfId="0" applyFont="1" applyFill="1" applyBorder="1" applyAlignment="1" applyProtection="1">
      <alignment horizontal="left" vertical="center" wrapText="1" indent="1"/>
      <protection hidden="1"/>
    </xf>
    <xf numFmtId="0" fontId="108" fillId="5" borderId="0" xfId="0" applyFont="1" applyFill="1" applyAlignment="1" applyProtection="1">
      <alignment horizontal="left" vertical="center" wrapText="1" indent="1"/>
      <protection hidden="1"/>
    </xf>
    <xf numFmtId="0" fontId="108" fillId="5" borderId="55" xfId="0" applyFont="1" applyFill="1" applyBorder="1" applyAlignment="1" applyProtection="1">
      <alignment horizontal="left" vertical="center" wrapText="1" indent="1"/>
      <protection hidden="1"/>
    </xf>
    <xf numFmtId="0" fontId="123" fillId="5" borderId="51" xfId="0" applyFont="1" applyFill="1" applyBorder="1" applyAlignment="1" applyProtection="1">
      <alignment horizontal="left" vertical="center" indent="3"/>
      <protection hidden="1"/>
    </xf>
    <xf numFmtId="0" fontId="123" fillId="5" borderId="52" xfId="0" applyFont="1" applyFill="1" applyBorder="1" applyAlignment="1" applyProtection="1">
      <alignment horizontal="left" vertical="center" indent="3"/>
      <protection hidden="1"/>
    </xf>
    <xf numFmtId="0" fontId="123" fillId="5" borderId="53" xfId="0" applyFont="1" applyFill="1" applyBorder="1" applyAlignment="1" applyProtection="1">
      <alignment horizontal="left" vertical="center" indent="3"/>
      <protection hidden="1"/>
    </xf>
    <xf numFmtId="0" fontId="125" fillId="6" borderId="49" xfId="1" applyFont="1" applyFill="1" applyBorder="1" applyAlignment="1" applyProtection="1">
      <alignment horizontal="center" vertical="center" wrapText="1"/>
      <protection hidden="1"/>
    </xf>
    <xf numFmtId="0" fontId="146" fillId="6" borderId="49" xfId="1" applyFont="1" applyFill="1" applyBorder="1" applyAlignment="1" applyProtection="1">
      <alignment horizontal="center" vertical="center" wrapText="1"/>
      <protection hidden="1"/>
    </xf>
    <xf numFmtId="0" fontId="145" fillId="6" borderId="49" xfId="0" applyFont="1" applyFill="1" applyBorder="1" applyAlignment="1" applyProtection="1">
      <alignment horizontal="center" vertical="center" wrapText="1"/>
      <protection hidden="1"/>
    </xf>
    <xf numFmtId="0" fontId="62" fillId="5" borderId="43" xfId="0" quotePrefix="1" applyFont="1" applyFill="1" applyBorder="1" applyAlignment="1" applyProtection="1">
      <alignment horizontal="left" vertical="top" wrapText="1"/>
      <protection hidden="1"/>
    </xf>
    <xf numFmtId="0" fontId="62" fillId="5" borderId="44" xfId="0" quotePrefix="1" applyFont="1" applyFill="1" applyBorder="1" applyAlignment="1" applyProtection="1">
      <alignment horizontal="left" vertical="top" wrapText="1"/>
      <protection hidden="1"/>
    </xf>
    <xf numFmtId="0" fontId="62" fillId="5" borderId="56" xfId="0" quotePrefix="1" applyFont="1" applyFill="1" applyBorder="1" applyAlignment="1" applyProtection="1">
      <alignment horizontal="left" vertical="top" wrapText="1"/>
      <protection hidden="1"/>
    </xf>
    <xf numFmtId="0" fontId="78" fillId="0" borderId="31" xfId="0" applyFont="1" applyBorder="1" applyAlignment="1" applyProtection="1">
      <alignment horizontal="left" vertical="top" wrapText="1" indent="3"/>
      <protection hidden="1"/>
    </xf>
    <xf numFmtId="0" fontId="62" fillId="0" borderId="31" xfId="0" applyFont="1" applyBorder="1" applyAlignment="1" applyProtection="1">
      <alignment horizontal="left" vertical="top" wrapText="1" indent="3"/>
      <protection hidden="1"/>
    </xf>
    <xf numFmtId="0" fontId="117" fillId="3" borderId="30" xfId="0" applyFont="1" applyFill="1" applyBorder="1" applyAlignment="1">
      <alignment horizontal="center" vertical="center" wrapText="1"/>
    </xf>
    <xf numFmtId="0" fontId="117" fillId="3" borderId="8" xfId="0" applyFont="1" applyFill="1" applyBorder="1" applyAlignment="1">
      <alignment horizontal="center" vertical="center" wrapText="1"/>
    </xf>
    <xf numFmtId="0" fontId="120" fillId="3" borderId="23" xfId="0" applyFont="1" applyFill="1" applyBorder="1" applyAlignment="1">
      <alignment horizontal="center" vertical="center" wrapText="1"/>
    </xf>
    <xf numFmtId="0" fontId="120" fillId="3" borderId="10" xfId="0" applyFont="1" applyFill="1" applyBorder="1" applyAlignment="1">
      <alignment horizontal="center" vertical="center" wrapText="1"/>
    </xf>
    <xf numFmtId="0" fontId="117" fillId="3" borderId="21" xfId="0" applyFont="1" applyFill="1" applyBorder="1" applyAlignment="1">
      <alignment horizontal="center" vertical="center" wrapText="1"/>
    </xf>
    <xf numFmtId="0" fontId="117" fillId="3" borderId="23" xfId="0" applyFont="1" applyFill="1" applyBorder="1" applyAlignment="1">
      <alignment horizontal="center" vertical="center" wrapText="1"/>
    </xf>
    <xf numFmtId="0" fontId="117" fillId="3" borderId="19" xfId="0" applyFont="1" applyFill="1" applyBorder="1" applyAlignment="1">
      <alignment horizontal="center" vertical="center" wrapText="1"/>
    </xf>
    <xf numFmtId="0" fontId="117" fillId="3" borderId="24" xfId="0" applyFont="1" applyFill="1" applyBorder="1" applyAlignment="1">
      <alignment horizontal="center" vertical="center" wrapText="1"/>
    </xf>
    <xf numFmtId="0" fontId="117" fillId="3" borderId="16" xfId="0" applyFont="1" applyFill="1" applyBorder="1" applyAlignment="1">
      <alignment horizontal="center" vertical="center" wrapText="1"/>
    </xf>
    <xf numFmtId="0" fontId="59" fillId="3" borderId="21" xfId="0" applyFont="1" applyFill="1" applyBorder="1" applyAlignment="1">
      <alignment horizontal="center" vertical="center"/>
    </xf>
    <xf numFmtId="0" fontId="59" fillId="3" borderId="22" xfId="0" applyFont="1" applyFill="1" applyBorder="1" applyAlignment="1">
      <alignment horizontal="center" vertical="center"/>
    </xf>
    <xf numFmtId="0" fontId="59" fillId="3" borderId="13" xfId="0" applyFont="1" applyFill="1" applyBorder="1" applyAlignment="1">
      <alignment horizontal="center" vertical="center"/>
    </xf>
    <xf numFmtId="0" fontId="78" fillId="0" borderId="27" xfId="0" applyFont="1" applyBorder="1" applyAlignment="1" applyProtection="1">
      <alignment horizontal="left" vertical="top" wrapText="1" indent="3"/>
      <protection hidden="1"/>
    </xf>
    <xf numFmtId="0" fontId="41" fillId="0" borderId="0" xfId="0" applyFont="1" applyAlignment="1" applyProtection="1">
      <alignment horizontal="left" vertical="top" wrapText="1" indent="3"/>
      <protection hidden="1"/>
    </xf>
    <xf numFmtId="0" fontId="41" fillId="0" borderId="28" xfId="0" applyFont="1" applyBorder="1" applyAlignment="1" applyProtection="1">
      <alignment horizontal="left" vertical="top" wrapText="1" indent="3"/>
      <protection hidden="1"/>
    </xf>
    <xf numFmtId="0" fontId="115" fillId="3" borderId="115" xfId="1" applyFont="1" applyFill="1" applyBorder="1" applyAlignment="1">
      <alignment horizontal="center" vertical="center" wrapText="1"/>
    </xf>
    <xf numFmtId="0" fontId="115" fillId="3" borderId="32" xfId="1" applyFont="1" applyFill="1" applyBorder="1" applyAlignment="1">
      <alignment horizontal="center" vertical="center" wrapText="1"/>
    </xf>
    <xf numFmtId="0" fontId="59" fillId="10" borderId="53" xfId="0" applyFont="1" applyFill="1" applyBorder="1" applyAlignment="1">
      <alignment horizontal="center" vertical="center" wrapText="1"/>
    </xf>
    <xf numFmtId="0" fontId="59" fillId="10" borderId="56" xfId="0" applyFont="1" applyFill="1" applyBorder="1" applyAlignment="1">
      <alignment horizontal="center" vertical="center" wrapText="1"/>
    </xf>
    <xf numFmtId="0" fontId="115" fillId="10" borderId="21" xfId="1" applyFont="1" applyFill="1" applyBorder="1" applyAlignment="1">
      <alignment horizontal="center" vertical="center" wrapText="1"/>
    </xf>
    <xf numFmtId="0" fontId="115" fillId="10" borderId="24" xfId="1" applyFont="1" applyFill="1" applyBorder="1" applyAlignment="1">
      <alignment horizontal="center" vertical="center" wrapText="1"/>
    </xf>
    <xf numFmtId="0" fontId="115" fillId="3" borderId="19" xfId="1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46" xfId="0" applyFont="1" applyFill="1" applyBorder="1" applyAlignment="1">
      <alignment horizontal="center" vertical="center" wrapText="1"/>
    </xf>
    <xf numFmtId="0" fontId="59" fillId="10" borderId="21" xfId="0" applyFont="1" applyFill="1" applyBorder="1" applyAlignment="1">
      <alignment horizontal="center" vertical="center" wrapText="1"/>
    </xf>
    <xf numFmtId="0" fontId="59" fillId="10" borderId="24" xfId="0" applyFont="1" applyFill="1" applyBorder="1" applyAlignment="1">
      <alignment horizontal="center" vertical="center" wrapText="1"/>
    </xf>
    <xf numFmtId="0" fontId="59" fillId="10" borderId="22" xfId="0" applyFont="1" applyFill="1" applyBorder="1" applyAlignment="1">
      <alignment horizontal="center" vertical="center" wrapText="1"/>
    </xf>
    <xf numFmtId="0" fontId="59" fillId="10" borderId="18" xfId="0" applyFont="1" applyFill="1" applyBorder="1" applyAlignment="1">
      <alignment horizontal="center" vertical="center" wrapText="1"/>
    </xf>
    <xf numFmtId="0" fontId="59" fillId="3" borderId="18" xfId="0" applyFont="1" applyFill="1" applyBorder="1" applyAlignment="1">
      <alignment horizontal="center" vertical="center"/>
    </xf>
    <xf numFmtId="0" fontId="59" fillId="3" borderId="23" xfId="0" applyFont="1" applyFill="1" applyBorder="1" applyAlignment="1">
      <alignment horizontal="center" vertical="center"/>
    </xf>
    <xf numFmtId="0" fontId="59" fillId="3" borderId="19" xfId="0" applyFont="1" applyFill="1" applyBorder="1" applyAlignment="1">
      <alignment horizontal="center" vertical="center"/>
    </xf>
    <xf numFmtId="0" fontId="59" fillId="10" borderId="13" xfId="0" applyFont="1" applyFill="1" applyBorder="1" applyAlignment="1">
      <alignment horizontal="center" vertical="center" wrapText="1"/>
    </xf>
    <xf numFmtId="0" fontId="59" fillId="10" borderId="20" xfId="0" applyFont="1" applyFill="1" applyBorder="1" applyAlignment="1">
      <alignment horizontal="center" vertical="center" wrapText="1"/>
    </xf>
    <xf numFmtId="0" fontId="42" fillId="0" borderId="27" xfId="0" applyFont="1" applyBorder="1" applyAlignment="1" applyProtection="1">
      <alignment horizontal="left" vertical="top" wrapText="1" indent="2"/>
      <protection hidden="1"/>
    </xf>
    <xf numFmtId="0" fontId="41" fillId="0" borderId="0" xfId="0" applyFont="1" applyAlignment="1" applyProtection="1">
      <alignment horizontal="left" vertical="top" wrapText="1" indent="2"/>
      <protection hidden="1"/>
    </xf>
    <xf numFmtId="0" fontId="41" fillId="0" borderId="28" xfId="0" applyFont="1" applyBorder="1" applyAlignment="1" applyProtection="1">
      <alignment horizontal="left" vertical="top" wrapText="1" indent="2"/>
      <protection hidden="1"/>
    </xf>
    <xf numFmtId="0" fontId="59" fillId="3" borderId="17" xfId="0" applyFont="1" applyFill="1" applyBorder="1" applyAlignment="1">
      <alignment horizontal="center" vertical="center" wrapText="1"/>
    </xf>
    <xf numFmtId="0" fontId="70" fillId="0" borderId="63" xfId="0" applyFont="1" applyBorder="1" applyAlignment="1" applyProtection="1">
      <alignment horizontal="left" vertical="top" wrapText="1" indent="3"/>
      <protection hidden="1"/>
    </xf>
    <xf numFmtId="0" fontId="70" fillId="0" borderId="44" xfId="0" applyFont="1" applyBorder="1" applyAlignment="1" applyProtection="1">
      <alignment horizontal="left" vertical="top" wrapText="1" indent="3"/>
      <protection hidden="1"/>
    </xf>
    <xf numFmtId="0" fontId="70" fillId="0" borderId="45" xfId="0" applyFont="1" applyBorder="1" applyAlignment="1" applyProtection="1">
      <alignment horizontal="left" vertical="top" wrapText="1" indent="3"/>
      <protection hidden="1"/>
    </xf>
    <xf numFmtId="0" fontId="46" fillId="10" borderId="61" xfId="1" quotePrefix="1" applyFont="1" applyFill="1" applyBorder="1" applyAlignment="1">
      <alignment horizontal="center" vertical="center" wrapText="1"/>
    </xf>
    <xf numFmtId="0" fontId="46" fillId="10" borderId="45" xfId="1" applyFont="1" applyFill="1" applyBorder="1" applyAlignment="1">
      <alignment horizontal="center" vertical="center" wrapText="1"/>
    </xf>
    <xf numFmtId="0" fontId="62" fillId="0" borderId="27" xfId="0" applyFont="1" applyBorder="1" applyAlignment="1" applyProtection="1">
      <alignment horizontal="left" vertical="top" wrapText="1" indent="3"/>
      <protection hidden="1"/>
    </xf>
    <xf numFmtId="0" fontId="62" fillId="0" borderId="0" xfId="0" applyFont="1" applyAlignment="1" applyProtection="1">
      <alignment horizontal="left" vertical="top" wrapText="1" indent="3"/>
      <protection hidden="1"/>
    </xf>
    <xf numFmtId="0" fontId="62" fillId="0" borderId="28" xfId="0" applyFont="1" applyBorder="1" applyAlignment="1" applyProtection="1">
      <alignment horizontal="left" vertical="top" wrapText="1" indent="3"/>
      <protection hidden="1"/>
    </xf>
    <xf numFmtId="0" fontId="59" fillId="3" borderId="11" xfId="0" applyFont="1" applyFill="1" applyBorder="1" applyAlignment="1">
      <alignment horizontal="center" vertical="center" wrapText="1"/>
    </xf>
    <xf numFmtId="0" fontId="59" fillId="3" borderId="15" xfId="0" applyFont="1" applyFill="1" applyBorder="1" applyAlignment="1">
      <alignment horizontal="center" vertical="center" wrapText="1"/>
    </xf>
    <xf numFmtId="0" fontId="92" fillId="12" borderId="50" xfId="0" applyFont="1" applyFill="1" applyBorder="1" applyAlignment="1" applyProtection="1">
      <alignment horizontal="center" vertical="center"/>
      <protection hidden="1"/>
    </xf>
    <xf numFmtId="0" fontId="59" fillId="3" borderId="22" xfId="0" quotePrefix="1" applyFont="1" applyFill="1" applyBorder="1" applyAlignment="1">
      <alignment horizontal="center" vertical="center" wrapText="1"/>
    </xf>
    <xf numFmtId="0" fontId="59" fillId="10" borderId="30" xfId="2" applyFont="1" applyBorder="1">
      <alignment horizontal="center" vertical="center" wrapText="1"/>
    </xf>
    <xf numFmtId="0" fontId="59" fillId="10" borderId="22" xfId="2" applyFont="1" applyBorder="1">
      <alignment horizontal="center" vertical="center" wrapText="1"/>
    </xf>
    <xf numFmtId="0" fontId="59" fillId="10" borderId="13" xfId="2" applyFont="1" applyBorder="1">
      <alignment horizontal="center" vertical="center" wrapText="1"/>
    </xf>
    <xf numFmtId="0" fontId="46" fillId="10" borderId="28" xfId="1" applyFont="1" applyFill="1" applyBorder="1" applyAlignment="1">
      <alignment horizontal="center" vertical="center" wrapText="1"/>
    </xf>
    <xf numFmtId="0" fontId="46" fillId="3" borderId="60" xfId="1" applyFont="1" applyFill="1" applyBorder="1" applyAlignment="1">
      <alignment horizontal="center" vertical="center" wrapText="1"/>
    </xf>
    <xf numFmtId="0" fontId="46" fillId="3" borderId="27" xfId="1" applyFont="1" applyFill="1" applyBorder="1" applyAlignment="1">
      <alignment horizontal="center" vertical="center" wrapText="1"/>
    </xf>
    <xf numFmtId="0" fontId="59" fillId="3" borderId="21" xfId="0" quotePrefix="1" applyFont="1" applyFill="1" applyBorder="1" applyAlignment="1">
      <alignment horizontal="center" vertical="center" wrapText="1"/>
    </xf>
    <xf numFmtId="0" fontId="118" fillId="3" borderId="24" xfId="0" applyFont="1" applyFill="1" applyBorder="1" applyAlignment="1">
      <alignment horizontal="center" vertical="center" wrapText="1"/>
    </xf>
    <xf numFmtId="0" fontId="59" fillId="10" borderId="23" xfId="0" applyFont="1" applyFill="1" applyBorder="1" applyAlignment="1">
      <alignment horizontal="center" vertical="center" wrapText="1"/>
    </xf>
    <xf numFmtId="0" fontId="59" fillId="10" borderId="57" xfId="0" applyFont="1" applyFill="1" applyBorder="1" applyAlignment="1">
      <alignment horizontal="center" vertical="center" wrapText="1"/>
    </xf>
    <xf numFmtId="0" fontId="59" fillId="10" borderId="38" xfId="0" applyFont="1" applyFill="1" applyBorder="1" applyAlignment="1">
      <alignment horizontal="center" vertical="center" wrapText="1"/>
    </xf>
    <xf numFmtId="0" fontId="42" fillId="0" borderId="27" xfId="0" applyFont="1" applyBorder="1" applyAlignment="1" applyProtection="1">
      <alignment horizontal="left" vertical="top" wrapText="1" indent="1"/>
      <protection hidden="1"/>
    </xf>
    <xf numFmtId="0" fontId="41" fillId="0" borderId="0" xfId="0" applyFont="1" applyAlignment="1" applyProtection="1">
      <alignment horizontal="left" vertical="top" wrapText="1" indent="1"/>
      <protection hidden="1"/>
    </xf>
    <xf numFmtId="0" fontId="41" fillId="0" borderId="28" xfId="0" applyFont="1" applyBorder="1" applyAlignment="1" applyProtection="1">
      <alignment horizontal="left" vertical="top" wrapText="1" indent="1"/>
      <protection hidden="1"/>
    </xf>
    <xf numFmtId="0" fontId="59" fillId="10" borderId="22" xfId="0" quotePrefix="1" applyFont="1" applyFill="1" applyBorder="1" applyAlignment="1">
      <alignment horizontal="center" vertical="center" wrapText="1"/>
    </xf>
    <xf numFmtId="0" fontId="115" fillId="10" borderId="22" xfId="1" applyFont="1" applyFill="1" applyBorder="1" applyAlignment="1">
      <alignment horizontal="center" vertical="center" wrapText="1"/>
    </xf>
    <xf numFmtId="0" fontId="115" fillId="10" borderId="18" xfId="1" applyFont="1" applyFill="1" applyBorder="1" applyAlignment="1">
      <alignment horizontal="center" vertical="center" wrapText="1"/>
    </xf>
    <xf numFmtId="0" fontId="115" fillId="10" borderId="23" xfId="1" applyFont="1" applyFill="1" applyBorder="1" applyAlignment="1">
      <alignment horizontal="center" vertical="center"/>
    </xf>
    <xf numFmtId="0" fontId="115" fillId="10" borderId="19" xfId="1" applyFont="1" applyFill="1" applyBorder="1" applyAlignment="1">
      <alignment horizontal="center" vertical="center"/>
    </xf>
    <xf numFmtId="0" fontId="115" fillId="3" borderId="13" xfId="1" applyFont="1" applyFill="1" applyBorder="1" applyAlignment="1">
      <alignment horizontal="center" vertical="center" wrapText="1"/>
    </xf>
    <xf numFmtId="0" fontId="114" fillId="3" borderId="60" xfId="1" applyFont="1" applyFill="1" applyBorder="1" applyAlignment="1">
      <alignment horizontal="center" vertical="center" wrapText="1"/>
    </xf>
    <xf numFmtId="0" fontId="114" fillId="3" borderId="63" xfId="1" applyFont="1" applyFill="1" applyBorder="1" applyAlignment="1">
      <alignment horizontal="center" vertical="center" wrapText="1"/>
    </xf>
    <xf numFmtId="0" fontId="41" fillId="0" borderId="19" xfId="0" applyFont="1" applyBorder="1" applyAlignment="1" applyProtection="1">
      <alignment horizontal="left"/>
      <protection hidden="1"/>
    </xf>
    <xf numFmtId="0" fontId="41" fillId="0" borderId="16" xfId="0" applyFont="1" applyBorder="1" applyAlignment="1" applyProtection="1">
      <alignment horizontal="left"/>
      <protection hidden="1"/>
    </xf>
    <xf numFmtId="0" fontId="41" fillId="0" borderId="17" xfId="0" applyFont="1" applyBorder="1" applyAlignment="1" applyProtection="1">
      <alignment horizontal="left"/>
      <protection hidden="1"/>
    </xf>
    <xf numFmtId="0" fontId="42" fillId="5" borderId="54" xfId="0" applyFont="1" applyFill="1" applyBorder="1" applyAlignment="1" applyProtection="1">
      <alignment horizontal="left" vertical="center" wrapText="1" indent="1"/>
      <protection hidden="1"/>
    </xf>
    <xf numFmtId="0" fontId="42" fillId="5" borderId="0" xfId="0" applyFont="1" applyFill="1" applyAlignment="1" applyProtection="1">
      <alignment horizontal="left" vertical="center" wrapText="1" indent="1"/>
      <protection hidden="1"/>
    </xf>
    <xf numFmtId="0" fontId="42" fillId="5" borderId="55" xfId="0" applyFont="1" applyFill="1" applyBorder="1" applyAlignment="1" applyProtection="1">
      <alignment horizontal="left" vertical="center" wrapText="1" indent="1"/>
      <protection hidden="1"/>
    </xf>
    <xf numFmtId="0" fontId="125" fillId="6" borderId="2" xfId="1" applyFont="1" applyFill="1" applyBorder="1" applyAlignment="1" applyProtection="1">
      <alignment horizontal="center" vertical="center" wrapText="1"/>
      <protection hidden="1"/>
    </xf>
    <xf numFmtId="0" fontId="62" fillId="5" borderId="44" xfId="0" applyFont="1" applyFill="1" applyBorder="1" applyAlignment="1" applyProtection="1">
      <alignment horizontal="left" vertical="top" wrapText="1"/>
      <protection hidden="1"/>
    </xf>
    <xf numFmtId="0" fontId="62" fillId="5" borderId="56" xfId="0" applyFont="1" applyFill="1" applyBorder="1" applyAlignment="1" applyProtection="1">
      <alignment horizontal="left" vertical="top" wrapText="1"/>
      <protection hidden="1"/>
    </xf>
    <xf numFmtId="0" fontId="42" fillId="5" borderId="54" xfId="0" applyFont="1" applyFill="1" applyBorder="1" applyAlignment="1" applyProtection="1">
      <alignment horizontal="left" vertical="top" wrapText="1" indent="1"/>
      <protection hidden="1"/>
    </xf>
    <xf numFmtId="0" fontId="42" fillId="5" borderId="0" xfId="0" applyFont="1" applyFill="1" applyAlignment="1" applyProtection="1">
      <alignment horizontal="left" vertical="top" wrapText="1" indent="1"/>
      <protection hidden="1"/>
    </xf>
    <xf numFmtId="0" fontId="42" fillId="5" borderId="55" xfId="0" applyFont="1" applyFill="1" applyBorder="1" applyAlignment="1" applyProtection="1">
      <alignment horizontal="left" vertical="top" wrapText="1" indent="1"/>
      <protection hidden="1"/>
    </xf>
    <xf numFmtId="0" fontId="61" fillId="5" borderId="54" xfId="0" applyFont="1" applyFill="1" applyBorder="1" applyAlignment="1" applyProtection="1">
      <alignment horizontal="left" vertical="center" wrapText="1" indent="1"/>
      <protection hidden="1"/>
    </xf>
    <xf numFmtId="0" fontId="61" fillId="5" borderId="0" xfId="0" applyFont="1" applyFill="1" applyAlignment="1" applyProtection="1">
      <alignment horizontal="left" vertical="center" wrapText="1" indent="1"/>
      <protection hidden="1"/>
    </xf>
    <xf numFmtId="0" fontId="61" fillId="5" borderId="55" xfId="0" applyFont="1" applyFill="1" applyBorder="1" applyAlignment="1" applyProtection="1">
      <alignment horizontal="left" vertical="center" wrapText="1" indent="1"/>
      <protection hidden="1"/>
    </xf>
    <xf numFmtId="0" fontId="43" fillId="5" borderId="54" xfId="0" applyFont="1" applyFill="1" applyBorder="1" applyAlignment="1" applyProtection="1">
      <alignment horizontal="left" vertical="center" wrapText="1" indent="1"/>
      <protection hidden="1"/>
    </xf>
    <xf numFmtId="0" fontId="43" fillId="5" borderId="0" xfId="0" applyFont="1" applyFill="1" applyAlignment="1" applyProtection="1">
      <alignment horizontal="left" vertical="center" wrapText="1" indent="1"/>
      <protection hidden="1"/>
    </xf>
    <xf numFmtId="0" fontId="43" fillId="5" borderId="55" xfId="0" applyFont="1" applyFill="1" applyBorder="1" applyAlignment="1" applyProtection="1">
      <alignment horizontal="left" vertical="center" wrapText="1" indent="1"/>
      <protection hidden="1"/>
    </xf>
    <xf numFmtId="0" fontId="124" fillId="5" borderId="51" xfId="0" applyFont="1" applyFill="1" applyBorder="1" applyAlignment="1" applyProtection="1">
      <alignment horizontal="left" vertical="center" indent="3"/>
      <protection hidden="1"/>
    </xf>
    <xf numFmtId="0" fontId="124" fillId="5" borderId="52" xfId="0" applyFont="1" applyFill="1" applyBorder="1" applyAlignment="1" applyProtection="1">
      <alignment horizontal="left" vertical="center" indent="3"/>
      <protection hidden="1"/>
    </xf>
    <xf numFmtId="0" fontId="124" fillId="5" borderId="53" xfId="0" applyFont="1" applyFill="1" applyBorder="1" applyAlignment="1" applyProtection="1">
      <alignment horizontal="left" vertical="center" indent="3"/>
      <protection hidden="1"/>
    </xf>
    <xf numFmtId="0" fontId="59" fillId="10" borderId="18" xfId="2" applyFont="1" applyBorder="1">
      <alignment horizontal="center" vertical="center" wrapText="1"/>
    </xf>
    <xf numFmtId="0" fontId="62" fillId="0" borderId="63" xfId="0" applyFont="1" applyBorder="1" applyAlignment="1" applyProtection="1">
      <alignment horizontal="left" vertical="top" wrapText="1" indent="1"/>
      <protection hidden="1"/>
    </xf>
    <xf numFmtId="0" fontId="62" fillId="0" borderId="44" xfId="0" applyFont="1" applyBorder="1" applyAlignment="1" applyProtection="1">
      <alignment horizontal="left" vertical="top" wrapText="1" indent="1"/>
      <protection hidden="1"/>
    </xf>
    <xf numFmtId="0" fontId="62" fillId="0" borderId="45" xfId="0" applyFont="1" applyBorder="1" applyAlignment="1" applyProtection="1">
      <alignment horizontal="left" vertical="top" wrapText="1" indent="1"/>
      <protection hidden="1"/>
    </xf>
    <xf numFmtId="0" fontId="87" fillId="12" borderId="51" xfId="0" applyFont="1" applyFill="1" applyBorder="1" applyAlignment="1" applyProtection="1">
      <alignment horizontal="center" vertical="center"/>
      <protection hidden="1"/>
    </xf>
    <xf numFmtId="0" fontId="87" fillId="12" borderId="52" xfId="0" applyFont="1" applyFill="1" applyBorder="1" applyAlignment="1" applyProtection="1">
      <alignment horizontal="center" vertical="center"/>
      <protection hidden="1"/>
    </xf>
    <xf numFmtId="0" fontId="87" fillId="12" borderId="53" xfId="0" applyFont="1" applyFill="1" applyBorder="1" applyAlignment="1" applyProtection="1">
      <alignment horizontal="center" vertical="center"/>
      <protection hidden="1"/>
    </xf>
    <xf numFmtId="0" fontId="59" fillId="10" borderId="23" xfId="2" applyFont="1" applyBorder="1">
      <alignment horizontal="center" vertical="center" wrapText="1"/>
    </xf>
    <xf numFmtId="0" fontId="59" fillId="10" borderId="19" xfId="2" applyFont="1" applyBorder="1">
      <alignment horizontal="center" vertical="center" wrapText="1"/>
    </xf>
    <xf numFmtId="0" fontId="59" fillId="10" borderId="20" xfId="2" applyFont="1" applyBorder="1">
      <alignment horizontal="center" vertical="center" wrapText="1"/>
    </xf>
    <xf numFmtId="0" fontId="59" fillId="10" borderId="21" xfId="2" applyFont="1" applyBorder="1">
      <alignment horizontal="center" vertical="center" wrapText="1"/>
    </xf>
    <xf numFmtId="0" fontId="59" fillId="10" borderId="24" xfId="2" applyFont="1" applyBorder="1">
      <alignment horizontal="center" vertical="center" wrapText="1"/>
    </xf>
    <xf numFmtId="0" fontId="59" fillId="10" borderId="22" xfId="2" quotePrefix="1" applyFont="1" applyBorder="1">
      <alignment horizontal="center" vertical="center" wrapText="1"/>
    </xf>
    <xf numFmtId="0" fontId="47" fillId="0" borderId="19" xfId="0" applyFont="1" applyBorder="1" applyAlignment="1" applyProtection="1">
      <alignment horizontal="left"/>
      <protection hidden="1"/>
    </xf>
    <xf numFmtId="0" fontId="47" fillId="0" borderId="16" xfId="0" applyFont="1" applyBorder="1" applyAlignment="1" applyProtection="1">
      <alignment horizontal="left"/>
      <protection hidden="1"/>
    </xf>
    <xf numFmtId="0" fontId="47" fillId="0" borderId="17" xfId="0" applyFont="1" applyBorder="1" applyAlignment="1" applyProtection="1">
      <alignment horizontal="left"/>
      <protection hidden="1"/>
    </xf>
    <xf numFmtId="0" fontId="229" fillId="26" borderId="50" xfId="0" applyFont="1" applyFill="1" applyBorder="1" applyAlignment="1" applyProtection="1">
      <alignment horizontal="center" vertical="center"/>
      <protection hidden="1"/>
    </xf>
    <xf numFmtId="0" fontId="229" fillId="26" borderId="49" xfId="0" applyFont="1" applyFill="1" applyBorder="1" applyAlignment="1" applyProtection="1">
      <alignment horizontal="center" vertical="center"/>
      <protection hidden="1"/>
    </xf>
    <xf numFmtId="0" fontId="229" fillId="26" borderId="69" xfId="0" applyFont="1" applyFill="1" applyBorder="1" applyAlignment="1" applyProtection="1">
      <alignment horizontal="center" vertical="center"/>
      <protection hidden="1"/>
    </xf>
    <xf numFmtId="0" fontId="229" fillId="26" borderId="51" xfId="0" applyFont="1" applyFill="1" applyBorder="1" applyAlignment="1" applyProtection="1">
      <alignment horizontal="center" vertical="center"/>
      <protection hidden="1"/>
    </xf>
    <xf numFmtId="0" fontId="229" fillId="26" borderId="52" xfId="0" applyFont="1" applyFill="1" applyBorder="1" applyAlignment="1" applyProtection="1">
      <alignment horizontal="center" vertical="center"/>
      <protection hidden="1"/>
    </xf>
    <xf numFmtId="0" fontId="229" fillId="26" borderId="53" xfId="0" applyFont="1" applyFill="1" applyBorder="1" applyAlignment="1" applyProtection="1">
      <alignment horizontal="center" vertical="center"/>
      <protection hidden="1"/>
    </xf>
    <xf numFmtId="0" fontId="71" fillId="0" borderId="4" xfId="0" applyFont="1" applyBorder="1" applyAlignment="1" applyProtection="1">
      <alignment horizontal="center" vertical="center" wrapText="1"/>
      <protection hidden="1"/>
    </xf>
    <xf numFmtId="0" fontId="88" fillId="12" borderId="51" xfId="0" applyFont="1" applyFill="1" applyBorder="1" applyAlignment="1" applyProtection="1">
      <alignment horizontal="center" vertical="center" wrapText="1"/>
      <protection hidden="1"/>
    </xf>
    <xf numFmtId="0" fontId="88" fillId="12" borderId="53" xfId="0" applyFont="1" applyFill="1" applyBorder="1" applyAlignment="1" applyProtection="1">
      <alignment horizontal="center" vertical="center" wrapText="1"/>
      <protection hidden="1"/>
    </xf>
    <xf numFmtId="0" fontId="76" fillId="3" borderId="46" xfId="1" applyFont="1" applyFill="1" applyBorder="1" applyAlignment="1">
      <alignment horizontal="center" vertical="center" wrapText="1"/>
    </xf>
    <xf numFmtId="0" fontId="76" fillId="3" borderId="35" xfId="1" applyFont="1" applyFill="1" applyBorder="1" applyAlignment="1">
      <alignment horizontal="center" vertical="center" wrapText="1"/>
    </xf>
    <xf numFmtId="0" fontId="88" fillId="12" borderId="52" xfId="0" applyFont="1" applyFill="1" applyBorder="1" applyAlignment="1" applyProtection="1">
      <alignment horizontal="center" vertical="center" wrapText="1"/>
      <protection hidden="1"/>
    </xf>
    <xf numFmtId="0" fontId="69" fillId="3" borderId="22" xfId="0" applyFont="1" applyFill="1" applyBorder="1" applyAlignment="1">
      <alignment horizontal="center" vertical="center"/>
    </xf>
    <xf numFmtId="0" fontId="69" fillId="3" borderId="18" xfId="0" applyFont="1" applyFill="1" applyBorder="1" applyAlignment="1">
      <alignment horizontal="center" vertical="center"/>
    </xf>
    <xf numFmtId="0" fontId="69" fillId="3" borderId="21" xfId="0" applyFont="1" applyFill="1" applyBorder="1" applyAlignment="1">
      <alignment horizontal="center" vertical="center"/>
    </xf>
    <xf numFmtId="0" fontId="69" fillId="3" borderId="24" xfId="0" applyFont="1" applyFill="1" applyBorder="1" applyAlignment="1">
      <alignment horizontal="center" vertical="center"/>
    </xf>
    <xf numFmtId="0" fontId="69" fillId="3" borderId="115" xfId="0" applyFont="1" applyFill="1" applyBorder="1" applyAlignment="1">
      <alignment horizontal="center" vertical="center"/>
    </xf>
    <xf numFmtId="0" fontId="69" fillId="3" borderId="32" xfId="0" applyFont="1" applyFill="1" applyBorder="1" applyAlignment="1">
      <alignment horizontal="center" vertical="center"/>
    </xf>
    <xf numFmtId="0" fontId="69" fillId="3" borderId="13" xfId="0" applyFont="1" applyFill="1" applyBorder="1" applyAlignment="1">
      <alignment horizontal="center" vertical="center"/>
    </xf>
    <xf numFmtId="0" fontId="69" fillId="3" borderId="57" xfId="0" applyFont="1" applyFill="1" applyBorder="1" applyAlignment="1">
      <alignment horizontal="center" vertical="center"/>
    </xf>
    <xf numFmtId="0" fontId="69" fillId="3" borderId="38" xfId="0" applyFont="1" applyFill="1" applyBorder="1" applyAlignment="1">
      <alignment horizontal="center" vertical="center"/>
    </xf>
    <xf numFmtId="0" fontId="69" fillId="3" borderId="23" xfId="0" applyFont="1" applyFill="1" applyBorder="1" applyAlignment="1">
      <alignment horizontal="center" vertical="center" wrapText="1"/>
    </xf>
    <xf numFmtId="0" fontId="69" fillId="3" borderId="19" xfId="0" applyFont="1" applyFill="1" applyBorder="1" applyAlignment="1">
      <alignment horizontal="center" vertical="center" wrapText="1"/>
    </xf>
    <xf numFmtId="0" fontId="79" fillId="5" borderId="54" xfId="0" applyFont="1" applyFill="1" applyBorder="1" applyAlignment="1" applyProtection="1">
      <alignment horizontal="left" vertical="center" indent="1"/>
      <protection hidden="1"/>
    </xf>
    <xf numFmtId="0" fontId="79" fillId="5" borderId="0" xfId="0" applyFont="1" applyFill="1" applyAlignment="1" applyProtection="1">
      <alignment horizontal="left" vertical="center" indent="1"/>
      <protection hidden="1"/>
    </xf>
    <xf numFmtId="0" fontId="79" fillId="5" borderId="55" xfId="0" applyFont="1" applyFill="1" applyBorder="1" applyAlignment="1" applyProtection="1">
      <alignment horizontal="left" vertical="center" indent="1"/>
      <protection hidden="1"/>
    </xf>
    <xf numFmtId="0" fontId="62" fillId="5" borderId="54" xfId="0" applyFont="1" applyFill="1" applyBorder="1" applyAlignment="1" applyProtection="1">
      <alignment horizontal="left" vertical="center" indent="3"/>
      <protection hidden="1"/>
    </xf>
    <xf numFmtId="0" fontId="62" fillId="5" borderId="0" xfId="0" applyFont="1" applyFill="1" applyAlignment="1" applyProtection="1">
      <alignment horizontal="left" vertical="center" indent="3"/>
      <protection hidden="1"/>
    </xf>
    <xf numFmtId="0" fontId="62" fillId="5" borderId="55" xfId="0" applyFont="1" applyFill="1" applyBorder="1" applyAlignment="1" applyProtection="1">
      <alignment horizontal="left" vertical="center" indent="3"/>
      <protection hidden="1"/>
    </xf>
    <xf numFmtId="0" fontId="62" fillId="5" borderId="43" xfId="0" applyFont="1" applyFill="1" applyBorder="1" applyAlignment="1" applyProtection="1">
      <alignment horizontal="left" vertical="center" indent="3"/>
      <protection hidden="1"/>
    </xf>
    <xf numFmtId="0" fontId="62" fillId="5" borderId="44" xfId="0" applyFont="1" applyFill="1" applyBorder="1" applyAlignment="1" applyProtection="1">
      <alignment horizontal="left" vertical="center" indent="3"/>
      <protection hidden="1"/>
    </xf>
    <xf numFmtId="0" fontId="62" fillId="5" borderId="56" xfId="0" applyFont="1" applyFill="1" applyBorder="1" applyAlignment="1" applyProtection="1">
      <alignment horizontal="left" vertical="center" indent="3"/>
      <protection hidden="1"/>
    </xf>
    <xf numFmtId="0" fontId="47" fillId="0" borderId="10" xfId="0" applyFont="1" applyBorder="1" applyAlignment="1" applyProtection="1">
      <alignment horizontal="left" wrapText="1"/>
      <protection hidden="1"/>
    </xf>
    <xf numFmtId="0" fontId="47" fillId="0" borderId="7" xfId="0" applyFont="1" applyBorder="1" applyAlignment="1" applyProtection="1">
      <alignment horizontal="left" wrapText="1"/>
      <protection hidden="1"/>
    </xf>
    <xf numFmtId="0" fontId="47" fillId="0" borderId="8" xfId="0" applyFont="1" applyBorder="1" applyAlignment="1" applyProtection="1">
      <alignment horizontal="left" wrapText="1"/>
      <protection hidden="1"/>
    </xf>
    <xf numFmtId="0" fontId="122" fillId="0" borderId="63" xfId="0" applyFont="1" applyBorder="1" applyAlignment="1" applyProtection="1">
      <alignment horizontal="left" wrapText="1" indent="1"/>
      <protection hidden="1"/>
    </xf>
    <xf numFmtId="0" fontId="122" fillId="0" borderId="44" xfId="0" applyFont="1" applyBorder="1" applyAlignment="1" applyProtection="1">
      <alignment horizontal="left" wrapText="1" indent="1"/>
      <protection hidden="1"/>
    </xf>
    <xf numFmtId="0" fontId="122" fillId="0" borderId="45" xfId="0" applyFont="1" applyBorder="1" applyAlignment="1" applyProtection="1">
      <alignment horizontal="left" wrapText="1" indent="1"/>
      <protection hidden="1"/>
    </xf>
    <xf numFmtId="0" fontId="50" fillId="0" borderId="0" xfId="0" applyFont="1" applyAlignment="1" applyProtection="1">
      <alignment horizontal="center"/>
      <protection hidden="1"/>
    </xf>
    <xf numFmtId="0" fontId="150" fillId="6" borderId="2" xfId="1" applyFont="1" applyFill="1" applyBorder="1" applyAlignment="1" applyProtection="1">
      <alignment horizontal="center" vertical="center" wrapText="1"/>
      <protection hidden="1"/>
    </xf>
    <xf numFmtId="0" fontId="125" fillId="6" borderId="2" xfId="1" applyFont="1" applyFill="1" applyBorder="1" applyAlignment="1" applyProtection="1">
      <alignment horizontal="center" vertical="center"/>
      <protection hidden="1"/>
    </xf>
    <xf numFmtId="0" fontId="150" fillId="6" borderId="3" xfId="1" applyFont="1" applyFill="1" applyBorder="1" applyAlignment="1" applyProtection="1">
      <alignment horizontal="center" vertical="center" wrapText="1"/>
      <protection hidden="1"/>
    </xf>
    <xf numFmtId="0" fontId="62" fillId="5" borderId="54" xfId="0" applyFont="1" applyFill="1" applyBorder="1" applyAlignment="1" applyProtection="1">
      <alignment horizontal="left" vertical="center" wrapText="1" indent="3"/>
      <protection hidden="1"/>
    </xf>
    <xf numFmtId="0" fontId="62" fillId="5" borderId="0" xfId="0" applyFont="1" applyFill="1" applyAlignment="1" applyProtection="1">
      <alignment horizontal="left" vertical="center" wrapText="1" indent="3"/>
      <protection hidden="1"/>
    </xf>
    <xf numFmtId="0" fontId="62" fillId="5" borderId="55" xfId="0" applyFont="1" applyFill="1" applyBorder="1" applyAlignment="1" applyProtection="1">
      <alignment horizontal="left" vertical="center" wrapText="1" indent="3"/>
      <protection hidden="1"/>
    </xf>
    <xf numFmtId="0" fontId="229" fillId="26" borderId="51" xfId="0" applyFont="1" applyFill="1" applyBorder="1" applyAlignment="1" applyProtection="1">
      <alignment horizontal="center" vertical="center"/>
      <protection locked="0"/>
    </xf>
    <xf numFmtId="0" fontId="229" fillId="26" borderId="53" xfId="0" applyFont="1" applyFill="1" applyBorder="1" applyAlignment="1" applyProtection="1">
      <alignment horizontal="center" vertical="center"/>
      <protection locked="0"/>
    </xf>
    <xf numFmtId="0" fontId="229" fillId="26" borderId="43" xfId="0" applyFont="1" applyFill="1" applyBorder="1" applyAlignment="1" applyProtection="1">
      <alignment horizontal="center" vertical="center"/>
      <protection locked="0"/>
    </xf>
    <xf numFmtId="0" fontId="229" fillId="26" borderId="56" xfId="0" applyFont="1" applyFill="1" applyBorder="1" applyAlignment="1" applyProtection="1">
      <alignment horizontal="center" vertical="center"/>
      <protection locked="0"/>
    </xf>
    <xf numFmtId="0" fontId="229" fillId="26" borderId="43" xfId="0" applyFont="1" applyFill="1" applyBorder="1" applyAlignment="1" applyProtection="1">
      <alignment horizontal="center" vertical="center"/>
      <protection hidden="1"/>
    </xf>
    <xf numFmtId="0" fontId="229" fillId="26" borderId="44" xfId="0" applyFont="1" applyFill="1" applyBorder="1" applyAlignment="1" applyProtection="1">
      <alignment horizontal="center" vertical="center"/>
      <protection hidden="1"/>
    </xf>
    <xf numFmtId="0" fontId="229" fillId="26" borderId="56" xfId="0" applyFont="1" applyFill="1" applyBorder="1" applyAlignment="1" applyProtection="1">
      <alignment horizontal="center" vertical="center"/>
      <protection hidden="1"/>
    </xf>
    <xf numFmtId="0" fontId="127" fillId="5" borderId="51" xfId="0" applyFont="1" applyFill="1" applyBorder="1" applyAlignment="1" applyProtection="1">
      <alignment horizontal="left" vertical="center" indent="3"/>
      <protection hidden="1"/>
    </xf>
    <xf numFmtId="0" fontId="127" fillId="5" borderId="52" xfId="0" applyFont="1" applyFill="1" applyBorder="1" applyAlignment="1" applyProtection="1">
      <alignment horizontal="left" vertical="center" indent="3"/>
      <protection hidden="1"/>
    </xf>
    <xf numFmtId="0" fontId="127" fillId="5" borderId="53" xfId="0" applyFont="1" applyFill="1" applyBorder="1" applyAlignment="1" applyProtection="1">
      <alignment horizontal="left" vertical="center" indent="3"/>
      <protection hidden="1"/>
    </xf>
    <xf numFmtId="0" fontId="113" fillId="12" borderId="51" xfId="0" applyFont="1" applyFill="1" applyBorder="1" applyAlignment="1">
      <alignment horizontal="center" vertical="center" wrapText="1"/>
    </xf>
    <xf numFmtId="0" fontId="113" fillId="12" borderId="53" xfId="0" applyFont="1" applyFill="1" applyBorder="1" applyAlignment="1">
      <alignment horizontal="center" vertical="center" wrapText="1"/>
    </xf>
    <xf numFmtId="0" fontId="113" fillId="12" borderId="43" xfId="0" applyFont="1" applyFill="1" applyBorder="1" applyAlignment="1">
      <alignment horizontal="center" vertical="center" wrapText="1"/>
    </xf>
    <xf numFmtId="0" fontId="113" fillId="12" borderId="56" xfId="0" applyFont="1" applyFill="1" applyBorder="1" applyAlignment="1">
      <alignment horizontal="center" vertical="center" wrapText="1"/>
    </xf>
    <xf numFmtId="0" fontId="113" fillId="12" borderId="52" xfId="0" applyFont="1" applyFill="1" applyBorder="1" applyAlignment="1">
      <alignment horizontal="center" vertical="center" wrapText="1"/>
    </xf>
    <xf numFmtId="0" fontId="113" fillId="12" borderId="54" xfId="0" applyFont="1" applyFill="1" applyBorder="1" applyAlignment="1">
      <alignment horizontal="center" vertical="center" wrapText="1"/>
    </xf>
    <xf numFmtId="0" fontId="113" fillId="12" borderId="0" xfId="0" applyFont="1" applyFill="1" applyAlignment="1">
      <alignment horizontal="center" vertical="center" wrapText="1"/>
    </xf>
    <xf numFmtId="0" fontId="113" fillId="12" borderId="44" xfId="0" applyFont="1" applyFill="1" applyBorder="1" applyAlignment="1">
      <alignment horizontal="center" vertical="center" wrapText="1"/>
    </xf>
    <xf numFmtId="0" fontId="70" fillId="5" borderId="43" xfId="0" applyFont="1" applyFill="1" applyBorder="1" applyAlignment="1">
      <alignment horizontal="left" vertical="center" indent="1"/>
    </xf>
    <xf numFmtId="0" fontId="70" fillId="5" borderId="44" xfId="0" applyFont="1" applyFill="1" applyBorder="1" applyAlignment="1">
      <alignment horizontal="left" vertical="center" indent="1"/>
    </xf>
    <xf numFmtId="0" fontId="70" fillId="5" borderId="56" xfId="0" applyFont="1" applyFill="1" applyBorder="1" applyAlignment="1">
      <alignment horizontal="left" vertical="center" indent="1"/>
    </xf>
    <xf numFmtId="0" fontId="70" fillId="5" borderId="54" xfId="0" applyFont="1" applyFill="1" applyBorder="1" applyAlignment="1">
      <alignment horizontal="left" vertical="center" indent="1"/>
    </xf>
    <xf numFmtId="0" fontId="70" fillId="5" borderId="0" xfId="0" applyFont="1" applyFill="1" applyAlignment="1">
      <alignment horizontal="left" vertical="center" indent="1"/>
    </xf>
    <xf numFmtId="0" fontId="70" fillId="5" borderId="55" xfId="0" applyFont="1" applyFill="1" applyBorder="1" applyAlignment="1">
      <alignment horizontal="left" vertical="center" indent="1"/>
    </xf>
    <xf numFmtId="0" fontId="69" fillId="5" borderId="54" xfId="0" applyFont="1" applyFill="1" applyBorder="1" applyAlignment="1">
      <alignment horizontal="left" vertical="center" indent="1"/>
    </xf>
    <xf numFmtId="0" fontId="70" fillId="5" borderId="54" xfId="0" applyFont="1" applyFill="1" applyBorder="1" applyAlignment="1">
      <alignment horizontal="left" vertical="center" wrapText="1" indent="1"/>
    </xf>
    <xf numFmtId="0" fontId="70" fillId="5" borderId="0" xfId="0" applyFont="1" applyFill="1" applyAlignment="1">
      <alignment horizontal="left" vertical="center" wrapText="1" indent="1"/>
    </xf>
    <xf numFmtId="0" fontId="70" fillId="5" borderId="55" xfId="0" applyFont="1" applyFill="1" applyBorder="1" applyAlignment="1">
      <alignment horizontal="left" vertical="center" wrapText="1" indent="1"/>
    </xf>
    <xf numFmtId="0" fontId="76" fillId="5" borderId="54" xfId="0" applyFont="1" applyFill="1" applyBorder="1" applyAlignment="1">
      <alignment horizontal="left" vertical="center" wrapText="1" indent="1"/>
    </xf>
    <xf numFmtId="0" fontId="76" fillId="5" borderId="0" xfId="0" applyFont="1" applyFill="1" applyAlignment="1">
      <alignment horizontal="left" vertical="center" wrapText="1" indent="1"/>
    </xf>
    <xf numFmtId="0" fontId="76" fillId="5" borderId="55" xfId="0" applyFont="1" applyFill="1" applyBorder="1" applyAlignment="1">
      <alignment horizontal="left" vertical="center" wrapText="1" indent="1"/>
    </xf>
    <xf numFmtId="0" fontId="58" fillId="0" borderId="0" xfId="0" applyFont="1" applyAlignment="1">
      <alignment horizontal="center" vertical="center"/>
    </xf>
    <xf numFmtId="0" fontId="57" fillId="0" borderId="0" xfId="0" applyFont="1" applyAlignment="1">
      <alignment horizontal="center"/>
    </xf>
    <xf numFmtId="0" fontId="52" fillId="0" borderId="0" xfId="1" applyFont="1" applyFill="1" applyBorder="1" applyAlignment="1" applyProtection="1">
      <alignment horizontal="center" vertical="center" wrapText="1"/>
      <protection hidden="1"/>
    </xf>
    <xf numFmtId="0" fontId="115" fillId="6" borderId="1" xfId="0" applyFont="1" applyFill="1" applyBorder="1" applyAlignment="1" applyProtection="1">
      <alignment horizontal="right" vertical="center" wrapText="1"/>
      <protection hidden="1"/>
    </xf>
    <xf numFmtId="0" fontId="115" fillId="6" borderId="2" xfId="0" applyFont="1" applyFill="1" applyBorder="1" applyAlignment="1" applyProtection="1">
      <alignment horizontal="right" vertical="center" wrapText="1"/>
      <protection hidden="1"/>
    </xf>
    <xf numFmtId="0" fontId="149" fillId="6" borderId="2" xfId="1" applyFont="1" applyFill="1" applyBorder="1" applyAlignment="1" applyProtection="1">
      <alignment horizontal="center" vertical="center" wrapText="1"/>
      <protection hidden="1"/>
    </xf>
    <xf numFmtId="0" fontId="73" fillId="0" borderId="9" xfId="0" applyFont="1" applyBorder="1" applyAlignment="1">
      <alignment horizontal="left"/>
    </xf>
    <xf numFmtId="0" fontId="74" fillId="0" borderId="9" xfId="0" applyFont="1" applyBorder="1" applyAlignment="1">
      <alignment horizontal="left"/>
    </xf>
    <xf numFmtId="0" fontId="69" fillId="3" borderId="57" xfId="0" applyFont="1" applyFill="1" applyBorder="1" applyAlignment="1">
      <alignment horizontal="center" vertical="center" wrapText="1"/>
    </xf>
    <xf numFmtId="0" fontId="69" fillId="3" borderId="38" xfId="0" applyFont="1" applyFill="1" applyBorder="1" applyAlignment="1">
      <alignment horizontal="center" vertical="center" wrapText="1"/>
    </xf>
    <xf numFmtId="0" fontId="69" fillId="3" borderId="53" xfId="0" applyFont="1" applyFill="1" applyBorder="1" applyAlignment="1">
      <alignment horizontal="center" vertical="center" wrapText="1"/>
    </xf>
    <xf numFmtId="0" fontId="69" fillId="3" borderId="55" xfId="0" applyFont="1" applyFill="1" applyBorder="1" applyAlignment="1">
      <alignment horizontal="center" vertical="center" wrapText="1"/>
    </xf>
    <xf numFmtId="0" fontId="69" fillId="3" borderId="13" xfId="0" applyFont="1" applyFill="1" applyBorder="1" applyAlignment="1">
      <alignment horizontal="center" vertical="center" wrapText="1"/>
    </xf>
    <xf numFmtId="0" fontId="69" fillId="3" borderId="20" xfId="0" applyFont="1" applyFill="1" applyBorder="1" applyAlignment="1">
      <alignment horizontal="center" vertical="center" wrapText="1"/>
    </xf>
    <xf numFmtId="0" fontId="69" fillId="3" borderId="22" xfId="0" applyFont="1" applyFill="1" applyBorder="1" applyAlignment="1">
      <alignment horizontal="center" vertical="center" wrapText="1"/>
    </xf>
    <xf numFmtId="0" fontId="69" fillId="3" borderId="18" xfId="0" applyFont="1" applyFill="1" applyBorder="1" applyAlignment="1">
      <alignment horizontal="center" vertical="center" wrapText="1"/>
    </xf>
    <xf numFmtId="0" fontId="69" fillId="3" borderId="21" xfId="0" applyFont="1" applyFill="1" applyBorder="1" applyAlignment="1">
      <alignment horizontal="center" vertical="center" wrapText="1"/>
    </xf>
    <xf numFmtId="0" fontId="69" fillId="3" borderId="24" xfId="0" applyFont="1" applyFill="1" applyBorder="1" applyAlignment="1">
      <alignment horizontal="center" vertical="center" wrapText="1"/>
    </xf>
    <xf numFmtId="0" fontId="69" fillId="3" borderId="12" xfId="0" applyFont="1" applyFill="1" applyBorder="1" applyAlignment="1">
      <alignment horizontal="center" vertical="center" wrapText="1"/>
    </xf>
    <xf numFmtId="0" fontId="69" fillId="3" borderId="16" xfId="0" applyFont="1" applyFill="1" applyBorder="1" applyAlignment="1">
      <alignment horizontal="center" vertical="center" wrapText="1"/>
    </xf>
    <xf numFmtId="0" fontId="69" fillId="3" borderId="11" xfId="0" applyFont="1" applyFill="1" applyBorder="1" applyAlignment="1">
      <alignment horizontal="center" vertical="center" wrapText="1"/>
    </xf>
    <xf numFmtId="0" fontId="69" fillId="3" borderId="15" xfId="0" applyFont="1" applyFill="1" applyBorder="1" applyAlignment="1">
      <alignment horizontal="center" vertical="center" wrapText="1"/>
    </xf>
    <xf numFmtId="0" fontId="162" fillId="0" borderId="0" xfId="0" applyFont="1" applyAlignment="1">
      <alignment horizontal="center" vertical="center" wrapText="1"/>
    </xf>
    <xf numFmtId="0" fontId="215" fillId="0" borderId="0" xfId="0" applyFont="1" applyAlignment="1">
      <alignment horizontal="center" vertical="center" wrapText="1"/>
    </xf>
    <xf numFmtId="0" fontId="215" fillId="0" borderId="0" xfId="0" applyFont="1" applyAlignment="1" applyProtection="1">
      <alignment horizontal="center" vertical="center" wrapText="1"/>
      <protection hidden="1"/>
    </xf>
    <xf numFmtId="0" fontId="101" fillId="17" borderId="66" xfId="0" applyFont="1" applyFill="1" applyBorder="1" applyAlignment="1">
      <alignment horizontal="center" vertical="center"/>
    </xf>
    <xf numFmtId="0" fontId="101" fillId="17" borderId="67" xfId="0" applyFont="1" applyFill="1" applyBorder="1" applyAlignment="1">
      <alignment horizontal="center" vertical="center"/>
    </xf>
    <xf numFmtId="0" fontId="59" fillId="0" borderId="58" xfId="5" applyFont="1" applyBorder="1" applyAlignment="1" applyProtection="1">
      <alignment horizontal="left"/>
      <protection locked="0"/>
    </xf>
    <xf numFmtId="0" fontId="59" fillId="0" borderId="5" xfId="5" applyFont="1" applyBorder="1" applyAlignment="1" applyProtection="1">
      <alignment horizontal="left"/>
      <protection locked="0"/>
    </xf>
    <xf numFmtId="0" fontId="59" fillId="0" borderId="86" xfId="5" applyFont="1" applyBorder="1" applyAlignment="1" applyProtection="1">
      <alignment horizontal="left"/>
      <protection locked="0"/>
    </xf>
    <xf numFmtId="0" fontId="59" fillId="0" borderId="15" xfId="5" applyFont="1" applyBorder="1" applyAlignment="1" applyProtection="1">
      <alignment horizontal="left"/>
      <protection locked="0"/>
    </xf>
    <xf numFmtId="0" fontId="59" fillId="0" borderId="16" xfId="5" applyFont="1" applyBorder="1" applyAlignment="1" applyProtection="1">
      <alignment horizontal="left"/>
      <protection locked="0"/>
    </xf>
    <xf numFmtId="0" fontId="59" fillId="0" borderId="35" xfId="5" applyFont="1" applyBorder="1" applyAlignment="1" applyProtection="1">
      <alignment horizontal="left"/>
      <protection locked="0"/>
    </xf>
    <xf numFmtId="0" fontId="59" fillId="17" borderId="4" xfId="5" applyFont="1" applyFill="1" applyBorder="1" applyProtection="1">
      <protection locked="0"/>
    </xf>
    <xf numFmtId="0" fontId="59" fillId="0" borderId="11" xfId="5" applyFont="1" applyBorder="1" applyAlignment="1" applyProtection="1">
      <alignment horizontal="left"/>
      <protection locked="0"/>
    </xf>
    <xf numFmtId="0" fontId="59" fillId="0" borderId="12" xfId="5" applyFont="1" applyBorder="1" applyAlignment="1" applyProtection="1">
      <alignment horizontal="left"/>
      <protection locked="0"/>
    </xf>
    <xf numFmtId="0" fontId="59" fillId="0" borderId="46" xfId="5" applyFont="1" applyBorder="1" applyAlignment="1" applyProtection="1">
      <alignment horizontal="left"/>
      <protection locked="0"/>
    </xf>
    <xf numFmtId="0" fontId="59" fillId="17" borderId="1" xfId="5" applyFont="1" applyFill="1" applyBorder="1" applyProtection="1">
      <protection locked="0"/>
    </xf>
    <xf numFmtId="0" fontId="59" fillId="17" borderId="2" xfId="5" applyFont="1" applyFill="1" applyBorder="1" applyProtection="1">
      <protection locked="0"/>
    </xf>
    <xf numFmtId="0" fontId="59" fillId="17" borderId="3" xfId="5" applyFont="1" applyFill="1" applyBorder="1" applyProtection="1">
      <protection locked="0"/>
    </xf>
    <xf numFmtId="0" fontId="212" fillId="28" borderId="1" xfId="0" applyFont="1" applyFill="1" applyBorder="1"/>
    <xf numFmtId="0" fontId="212" fillId="28" borderId="2" xfId="0" applyFont="1" applyFill="1" applyBorder="1"/>
    <xf numFmtId="0" fontId="212" fillId="28" borderId="3" xfId="0" applyFont="1" applyFill="1" applyBorder="1"/>
    <xf numFmtId="0" fontId="212" fillId="17" borderId="50" xfId="0" applyFont="1" applyFill="1" applyBorder="1" applyAlignment="1">
      <alignment horizontal="center"/>
    </xf>
    <xf numFmtId="0" fontId="212" fillId="17" borderId="49" xfId="0" applyFont="1" applyFill="1" applyBorder="1" applyAlignment="1">
      <alignment horizontal="center"/>
    </xf>
    <xf numFmtId="0" fontId="212" fillId="17" borderId="69" xfId="0" applyFont="1" applyFill="1" applyBorder="1" applyAlignment="1">
      <alignment horizontal="center"/>
    </xf>
    <xf numFmtId="0" fontId="104" fillId="12" borderId="51" xfId="0" applyFont="1" applyFill="1" applyBorder="1" applyAlignment="1">
      <alignment horizontal="center" vertical="center"/>
    </xf>
    <xf numFmtId="0" fontId="104" fillId="12" borderId="52" xfId="0" applyFont="1" applyFill="1" applyBorder="1" applyAlignment="1">
      <alignment horizontal="center" vertical="center"/>
    </xf>
    <xf numFmtId="0" fontId="104" fillId="12" borderId="53" xfId="0" applyFont="1" applyFill="1" applyBorder="1" applyAlignment="1">
      <alignment horizontal="center" vertical="center"/>
    </xf>
    <xf numFmtId="0" fontId="104" fillId="12" borderId="43" xfId="0" applyFont="1" applyFill="1" applyBorder="1" applyAlignment="1">
      <alignment horizontal="center" vertical="center"/>
    </xf>
    <xf numFmtId="0" fontId="104" fillId="12" borderId="44" xfId="0" applyFont="1" applyFill="1" applyBorder="1" applyAlignment="1">
      <alignment horizontal="center" vertical="center"/>
    </xf>
    <xf numFmtId="0" fontId="104" fillId="12" borderId="56" xfId="0" applyFont="1" applyFill="1" applyBorder="1" applyAlignment="1">
      <alignment horizontal="center" vertical="center"/>
    </xf>
    <xf numFmtId="0" fontId="115" fillId="10" borderId="61" xfId="1" applyFont="1" applyFill="1" applyBorder="1" applyAlignment="1">
      <alignment horizontal="center" vertical="center" wrapText="1"/>
    </xf>
    <xf numFmtId="0" fontId="115" fillId="10" borderId="62" xfId="1" applyFont="1" applyFill="1" applyBorder="1" applyAlignment="1">
      <alignment horizontal="center" vertical="center" wrapText="1"/>
    </xf>
    <xf numFmtId="0" fontId="115" fillId="3" borderId="60" xfId="1" applyFont="1" applyFill="1" applyBorder="1" applyAlignment="1">
      <alignment horizontal="center" vertical="center" wrapText="1"/>
    </xf>
    <xf numFmtId="0" fontId="115" fillId="3" borderId="63" xfId="1" applyFont="1" applyFill="1" applyBorder="1" applyAlignment="1">
      <alignment horizontal="center" vertical="center" wrapText="1"/>
    </xf>
    <xf numFmtId="0" fontId="173" fillId="12" borderId="51" xfId="0" applyFont="1" applyFill="1" applyBorder="1" applyAlignment="1" applyProtection="1">
      <alignment horizontal="center" vertical="center"/>
      <protection hidden="1"/>
    </xf>
    <xf numFmtId="0" fontId="173" fillId="12" borderId="52" xfId="0" applyFont="1" applyFill="1" applyBorder="1" applyAlignment="1" applyProtection="1">
      <alignment horizontal="center" vertical="center"/>
      <protection hidden="1"/>
    </xf>
    <xf numFmtId="0" fontId="173" fillId="12" borderId="53" xfId="0" applyFont="1" applyFill="1" applyBorder="1" applyAlignment="1" applyProtection="1">
      <alignment horizontal="center" vertical="center"/>
      <protection hidden="1"/>
    </xf>
    <xf numFmtId="0" fontId="173" fillId="12" borderId="43" xfId="0" applyFont="1" applyFill="1" applyBorder="1" applyAlignment="1" applyProtection="1">
      <alignment horizontal="center" vertical="center"/>
      <protection hidden="1"/>
    </xf>
    <xf numFmtId="0" fontId="173" fillId="12" borderId="44" xfId="0" applyFont="1" applyFill="1" applyBorder="1" applyAlignment="1" applyProtection="1">
      <alignment horizontal="center" vertical="center"/>
      <protection hidden="1"/>
    </xf>
    <xf numFmtId="0" fontId="173" fillId="12" borderId="56" xfId="0" applyFont="1" applyFill="1" applyBorder="1" applyAlignment="1" applyProtection="1">
      <alignment horizontal="center" vertical="center"/>
      <protection hidden="1"/>
    </xf>
    <xf numFmtId="0" fontId="92" fillId="12" borderId="43" xfId="0" applyFont="1" applyFill="1" applyBorder="1" applyAlignment="1" applyProtection="1">
      <alignment horizontal="center" vertical="center"/>
      <protection hidden="1"/>
    </xf>
    <xf numFmtId="0" fontId="92" fillId="12" borderId="44" xfId="0" applyFont="1" applyFill="1" applyBorder="1" applyAlignment="1" applyProtection="1">
      <alignment horizontal="center" vertical="center"/>
      <protection hidden="1"/>
    </xf>
    <xf numFmtId="0" fontId="92" fillId="12" borderId="56" xfId="0" applyFont="1" applyFill="1" applyBorder="1" applyAlignment="1" applyProtection="1">
      <alignment horizontal="center" vertical="center"/>
      <protection hidden="1"/>
    </xf>
    <xf numFmtId="0" fontId="113" fillId="12" borderId="51" xfId="0" applyFont="1" applyFill="1" applyBorder="1" applyAlignment="1" applyProtection="1">
      <alignment horizontal="center" vertical="center"/>
      <protection hidden="1"/>
    </xf>
    <xf numFmtId="0" fontId="113" fillId="12" borderId="52" xfId="0" applyFont="1" applyFill="1" applyBorder="1" applyAlignment="1" applyProtection="1">
      <alignment horizontal="center" vertical="center"/>
      <protection hidden="1"/>
    </xf>
    <xf numFmtId="0" fontId="113" fillId="12" borderId="53" xfId="0" applyFont="1" applyFill="1" applyBorder="1" applyAlignment="1" applyProtection="1">
      <alignment horizontal="center" vertical="center"/>
      <protection hidden="1"/>
    </xf>
    <xf numFmtId="0" fontId="113" fillId="12" borderId="43" xfId="0" applyFont="1" applyFill="1" applyBorder="1" applyAlignment="1" applyProtection="1">
      <alignment horizontal="center" vertical="center"/>
      <protection hidden="1"/>
    </xf>
    <xf numFmtId="0" fontId="113" fillId="12" borderId="44" xfId="0" applyFont="1" applyFill="1" applyBorder="1" applyAlignment="1" applyProtection="1">
      <alignment horizontal="center" vertical="center"/>
      <protection hidden="1"/>
    </xf>
    <xf numFmtId="0" fontId="113" fillId="12" borderId="56" xfId="0" applyFont="1" applyFill="1" applyBorder="1" applyAlignment="1" applyProtection="1">
      <alignment horizontal="center" vertical="center"/>
      <protection hidden="1"/>
    </xf>
    <xf numFmtId="0" fontId="173" fillId="12" borderId="54" xfId="0" applyFont="1" applyFill="1" applyBorder="1" applyAlignment="1" applyProtection="1">
      <alignment horizontal="center" vertical="center"/>
      <protection hidden="1"/>
    </xf>
    <xf numFmtId="0" fontId="173" fillId="12" borderId="0" xfId="0" applyFont="1" applyFill="1" applyAlignment="1" applyProtection="1">
      <alignment horizontal="center" vertical="center"/>
      <protection hidden="1"/>
    </xf>
    <xf numFmtId="0" fontId="173" fillId="12" borderId="55" xfId="0" applyFont="1" applyFill="1" applyBorder="1" applyAlignment="1" applyProtection="1">
      <alignment horizontal="center" vertical="center"/>
      <protection hidden="1"/>
    </xf>
    <xf numFmtId="0" fontId="117" fillId="3" borderId="22" xfId="0" quotePrefix="1" applyFont="1" applyFill="1" applyBorder="1" applyAlignment="1">
      <alignment horizontal="center" vertical="center" wrapText="1"/>
    </xf>
    <xf numFmtId="0" fontId="69" fillId="3" borderId="66" xfId="0" applyFont="1" applyFill="1" applyBorder="1" applyAlignment="1" applyProtection="1">
      <alignment horizontal="center" vertical="center"/>
      <protection hidden="1"/>
    </xf>
    <xf numFmtId="0" fontId="69" fillId="3" borderId="67" xfId="0" applyFont="1" applyFill="1" applyBorder="1" applyAlignment="1" applyProtection="1">
      <alignment horizontal="center" vertical="center"/>
      <protection hidden="1"/>
    </xf>
    <xf numFmtId="0" fontId="153" fillId="12" borderId="66" xfId="0" applyFont="1" applyFill="1" applyBorder="1" applyAlignment="1" applyProtection="1">
      <alignment horizontal="center" vertical="center"/>
      <protection hidden="1"/>
    </xf>
    <xf numFmtId="0" fontId="153" fillId="12" borderId="67" xfId="0" applyFont="1" applyFill="1" applyBorder="1" applyAlignment="1" applyProtection="1">
      <alignment horizontal="center" vertical="center"/>
      <protection hidden="1"/>
    </xf>
    <xf numFmtId="0" fontId="59" fillId="3" borderId="23" xfId="0" quotePrefix="1" applyFont="1" applyFill="1" applyBorder="1" applyAlignment="1">
      <alignment horizontal="center" vertical="center" wrapText="1"/>
    </xf>
    <xf numFmtId="0" fontId="59" fillId="3" borderId="57" xfId="0" applyFont="1" applyFill="1" applyBorder="1" applyAlignment="1">
      <alignment horizontal="center" vertical="center" wrapText="1"/>
    </xf>
    <xf numFmtId="0" fontId="59" fillId="3" borderId="38" xfId="0" applyFont="1" applyFill="1" applyBorder="1" applyAlignment="1">
      <alignment horizontal="center" vertical="center" wrapText="1"/>
    </xf>
    <xf numFmtId="0" fontId="88" fillId="12" borderId="51" xfId="0" applyFont="1" applyFill="1" applyBorder="1" applyAlignment="1" applyProtection="1">
      <alignment horizontal="center" wrapText="1"/>
      <protection hidden="1"/>
    </xf>
    <xf numFmtId="0" fontId="88" fillId="12" borderId="52" xfId="0" applyFont="1" applyFill="1" applyBorder="1" applyAlignment="1" applyProtection="1">
      <alignment horizontal="center" wrapText="1"/>
      <protection hidden="1"/>
    </xf>
    <xf numFmtId="0" fontId="88" fillId="12" borderId="53" xfId="0" applyFont="1" applyFill="1" applyBorder="1" applyAlignment="1" applyProtection="1">
      <alignment horizontal="center" wrapText="1"/>
      <protection hidden="1"/>
    </xf>
    <xf numFmtId="0" fontId="69" fillId="3" borderId="61" xfId="0" applyFont="1" applyFill="1" applyBorder="1" applyAlignment="1">
      <alignment horizontal="center" vertical="center"/>
    </xf>
    <xf numFmtId="0" fontId="69" fillId="3" borderId="62" xfId="0" applyFont="1" applyFill="1" applyBorder="1" applyAlignment="1">
      <alignment horizontal="center" vertical="center"/>
    </xf>
    <xf numFmtId="0" fontId="69" fillId="3" borderId="12" xfId="0" quotePrefix="1" applyFont="1" applyFill="1" applyBorder="1" applyAlignment="1">
      <alignment horizontal="center" vertical="center" wrapText="1"/>
    </xf>
    <xf numFmtId="0" fontId="59" fillId="17" borderId="1" xfId="4" applyFont="1" applyFill="1" applyBorder="1"/>
    <xf numFmtId="0" fontId="59" fillId="17" borderId="2" xfId="4" applyFont="1" applyFill="1" applyBorder="1"/>
    <xf numFmtId="0" fontId="59" fillId="17" borderId="3" xfId="4" applyFont="1" applyFill="1" applyBorder="1"/>
    <xf numFmtId="0" fontId="18" fillId="2" borderId="4" xfId="0" applyFont="1" applyFill="1" applyBorder="1" applyAlignment="1" applyProtection="1">
      <alignment horizontal="center" vertical="center" wrapText="1"/>
      <protection hidden="1"/>
    </xf>
    <xf numFmtId="0" fontId="68" fillId="0" borderId="50" xfId="0" applyFont="1" applyBorder="1" applyAlignment="1" applyProtection="1">
      <alignment horizontal="center" vertical="center"/>
      <protection hidden="1"/>
    </xf>
    <xf numFmtId="0" fontId="68" fillId="0" borderId="49" xfId="0" applyFont="1" applyBorder="1" applyAlignment="1" applyProtection="1">
      <alignment horizontal="center" vertical="center"/>
      <protection hidden="1"/>
    </xf>
    <xf numFmtId="0" fontId="68" fillId="0" borderId="69" xfId="0" applyFont="1" applyBorder="1" applyAlignment="1" applyProtection="1">
      <alignment horizontal="center" vertical="center"/>
      <protection hidden="1"/>
    </xf>
    <xf numFmtId="164" fontId="27" fillId="0" borderId="11" xfId="0" applyNumberFormat="1" applyFont="1" applyBorder="1" applyAlignment="1" applyProtection="1">
      <alignment horizontal="center" vertical="center" wrapText="1"/>
      <protection hidden="1"/>
    </xf>
    <xf numFmtId="164" fontId="27" fillId="0" borderId="12" xfId="0" applyNumberFormat="1" applyFont="1" applyBorder="1" applyAlignment="1" applyProtection="1">
      <alignment horizontal="center" vertical="center" wrapText="1"/>
      <protection hidden="1"/>
    </xf>
    <xf numFmtId="164" fontId="27" fillId="0" borderId="46" xfId="0" applyNumberFormat="1" applyFont="1" applyBorder="1" applyAlignment="1" applyProtection="1">
      <alignment horizontal="center" vertical="center" wrapText="1"/>
      <protection hidden="1"/>
    </xf>
    <xf numFmtId="164" fontId="27" fillId="0" borderId="75" xfId="0" applyNumberFormat="1" applyFont="1" applyBorder="1" applyAlignment="1" applyProtection="1">
      <alignment horizontal="center" vertical="center" wrapText="1"/>
      <protection hidden="1"/>
    </xf>
    <xf numFmtId="164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177" fillId="0" borderId="15" xfId="0" quotePrefix="1" applyFont="1" applyBorder="1" applyAlignment="1" applyProtection="1">
      <alignment horizontal="left" vertical="center" wrapText="1" indent="1"/>
      <protection hidden="1"/>
    </xf>
    <xf numFmtId="0" fontId="177" fillId="0" borderId="16" xfId="0" applyFont="1" applyBorder="1" applyAlignment="1" applyProtection="1">
      <alignment horizontal="left" vertical="center" wrapText="1" indent="1"/>
      <protection hidden="1"/>
    </xf>
    <xf numFmtId="0" fontId="177" fillId="0" borderId="6" xfId="0" quotePrefix="1" applyFont="1" applyBorder="1" applyAlignment="1" applyProtection="1">
      <alignment horizontal="left" vertical="center" wrapText="1" indent="1"/>
      <protection hidden="1"/>
    </xf>
    <xf numFmtId="0" fontId="177" fillId="0" borderId="2" xfId="0" applyFont="1" applyBorder="1" applyAlignment="1" applyProtection="1">
      <alignment horizontal="left" vertical="center" wrapText="1" indent="1"/>
      <protection hidden="1"/>
    </xf>
    <xf numFmtId="164" fontId="27" fillId="0" borderId="6" xfId="0" applyNumberFormat="1" applyFont="1" applyBorder="1" applyAlignment="1" applyProtection="1">
      <alignment horizontal="center" vertical="center" wrapText="1"/>
      <protection hidden="1"/>
    </xf>
    <xf numFmtId="164" fontId="27" fillId="0" borderId="2" xfId="0" applyNumberFormat="1" applyFont="1" applyBorder="1" applyAlignment="1" applyProtection="1">
      <alignment horizontal="center" vertical="center" wrapText="1"/>
      <protection hidden="1"/>
    </xf>
    <xf numFmtId="0" fontId="177" fillId="0" borderId="6" xfId="0" applyFont="1" applyBorder="1" applyAlignment="1" applyProtection="1">
      <alignment horizontal="left" vertical="center" wrapText="1" indent="1"/>
      <protection hidden="1"/>
    </xf>
    <xf numFmtId="0" fontId="177" fillId="0" borderId="79" xfId="0" quotePrefix="1" applyFont="1" applyBorder="1" applyAlignment="1" applyProtection="1">
      <alignment horizontal="left" vertical="center" wrapText="1" indent="1"/>
      <protection hidden="1"/>
    </xf>
    <xf numFmtId="0" fontId="177" fillId="0" borderId="77" xfId="0" applyFont="1" applyBorder="1" applyAlignment="1" applyProtection="1">
      <alignment horizontal="left" vertical="center" wrapText="1" indent="1"/>
      <protection hidden="1"/>
    </xf>
    <xf numFmtId="0" fontId="177" fillId="0" borderId="80" xfId="0" applyFont="1" applyBorder="1" applyAlignment="1" applyProtection="1">
      <alignment horizontal="left" vertical="center" wrapText="1" indent="1"/>
      <protection hidden="1"/>
    </xf>
    <xf numFmtId="0" fontId="177" fillId="0" borderId="74" xfId="0" quotePrefix="1" applyFont="1" applyBorder="1" applyAlignment="1" applyProtection="1">
      <alignment horizontal="left" vertical="center" wrapText="1" indent="1"/>
      <protection hidden="1"/>
    </xf>
    <xf numFmtId="0" fontId="177" fillId="0" borderId="75" xfId="0" applyFont="1" applyBorder="1" applyAlignment="1" applyProtection="1">
      <alignment horizontal="left" vertical="center" wrapText="1" indent="1"/>
      <protection hidden="1"/>
    </xf>
    <xf numFmtId="0" fontId="177" fillId="0" borderId="58" xfId="0" quotePrefix="1" applyFont="1" applyBorder="1" applyAlignment="1" applyProtection="1">
      <alignment horizontal="left" vertical="center" wrapText="1" indent="1"/>
      <protection hidden="1"/>
    </xf>
    <xf numFmtId="0" fontId="177" fillId="0" borderId="5" xfId="0" applyFont="1" applyBorder="1" applyAlignment="1" applyProtection="1">
      <alignment horizontal="left" vertical="center" wrapText="1" indent="1"/>
      <protection hidden="1"/>
    </xf>
    <xf numFmtId="0" fontId="29" fillId="0" borderId="6" xfId="0" applyFont="1" applyBorder="1" applyAlignment="1" applyProtection="1">
      <alignment horizontal="left" vertical="center" wrapText="1" indent="3"/>
      <protection hidden="1"/>
    </xf>
    <xf numFmtId="0" fontId="29" fillId="0" borderId="2" xfId="0" applyFont="1" applyBorder="1" applyAlignment="1" applyProtection="1">
      <alignment horizontal="left" vertical="center" wrapText="1" indent="3"/>
      <protection hidden="1"/>
    </xf>
    <xf numFmtId="164" fontId="161" fillId="0" borderId="6" xfId="0" applyNumberFormat="1" applyFont="1" applyBorder="1" applyAlignment="1" applyProtection="1">
      <alignment horizontal="center" vertical="center" wrapText="1"/>
      <protection hidden="1"/>
    </xf>
    <xf numFmtId="164" fontId="161" fillId="0" borderId="2" xfId="0" applyNumberFormat="1" applyFont="1" applyBorder="1" applyAlignment="1" applyProtection="1">
      <alignment horizontal="center" vertical="center" wrapText="1"/>
      <protection hidden="1"/>
    </xf>
    <xf numFmtId="0" fontId="29" fillId="0" borderId="74" xfId="0" applyFont="1" applyBorder="1" applyAlignment="1" applyProtection="1">
      <alignment horizontal="left" vertical="center" wrapText="1" indent="3"/>
      <protection hidden="1"/>
    </xf>
    <xf numFmtId="0" fontId="29" fillId="0" borderId="75" xfId="0" applyFont="1" applyBorder="1" applyAlignment="1" applyProtection="1">
      <alignment horizontal="left" vertical="center" wrapText="1" indent="3"/>
      <protection hidden="1"/>
    </xf>
    <xf numFmtId="164" fontId="161" fillId="0" borderId="74" xfId="0" applyNumberFormat="1" applyFont="1" applyBorder="1" applyAlignment="1" applyProtection="1">
      <alignment horizontal="center" vertical="center" wrapText="1"/>
      <protection hidden="1"/>
    </xf>
    <xf numFmtId="164" fontId="161" fillId="0" borderId="75" xfId="0" applyNumberFormat="1" applyFont="1" applyBorder="1" applyAlignment="1" applyProtection="1">
      <alignment horizontal="center" vertical="center" wrapText="1"/>
      <protection hidden="1"/>
    </xf>
    <xf numFmtId="0" fontId="168" fillId="17" borderId="74" xfId="0" applyFont="1" applyFill="1" applyBorder="1" applyAlignment="1" applyProtection="1">
      <alignment horizontal="left" vertical="center" wrapText="1" indent="3"/>
      <protection hidden="1"/>
    </xf>
    <xf numFmtId="0" fontId="168" fillId="17" borderId="75" xfId="0" applyFont="1" applyFill="1" applyBorder="1" applyAlignment="1" applyProtection="1">
      <alignment horizontal="left" vertical="center" wrapText="1" indent="3"/>
      <protection hidden="1"/>
    </xf>
    <xf numFmtId="164" fontId="161" fillId="0" borderId="90" xfId="0" applyNumberFormat="1" applyFont="1" applyBorder="1" applyAlignment="1" applyProtection="1">
      <alignment horizontal="center" vertical="center" wrapText="1"/>
      <protection hidden="1"/>
    </xf>
    <xf numFmtId="0" fontId="29" fillId="0" borderId="58" xfId="0" applyFont="1" applyBorder="1" applyAlignment="1" applyProtection="1">
      <alignment horizontal="left" vertical="center" wrapText="1" indent="3"/>
      <protection hidden="1"/>
    </xf>
    <xf numFmtId="0" fontId="29" fillId="0" borderId="5" xfId="0" applyFont="1" applyBorder="1" applyAlignment="1" applyProtection="1">
      <alignment horizontal="left" vertical="center" wrapText="1" indent="3"/>
      <protection hidden="1"/>
    </xf>
    <xf numFmtId="164" fontId="161" fillId="0" borderId="58" xfId="0" applyNumberFormat="1" applyFont="1" applyBorder="1" applyAlignment="1" applyProtection="1">
      <alignment horizontal="center" vertical="center" wrapText="1"/>
      <protection hidden="1"/>
    </xf>
    <xf numFmtId="164" fontId="161" fillId="0" borderId="5" xfId="0" applyNumberFormat="1" applyFont="1" applyBorder="1" applyAlignment="1" applyProtection="1">
      <alignment horizontal="center" vertical="center" wrapText="1"/>
      <protection hidden="1"/>
    </xf>
    <xf numFmtId="0" fontId="168" fillId="17" borderId="6" xfId="0" applyFont="1" applyFill="1" applyBorder="1" applyAlignment="1" applyProtection="1">
      <alignment horizontal="left" vertical="center" wrapText="1" indent="3"/>
      <protection hidden="1"/>
    </xf>
    <xf numFmtId="0" fontId="168" fillId="17" borderId="2" xfId="0" applyFont="1" applyFill="1" applyBorder="1" applyAlignment="1" applyProtection="1">
      <alignment horizontal="left" vertical="center" wrapText="1" indent="3"/>
      <protection hidden="1"/>
    </xf>
    <xf numFmtId="0" fontId="168" fillId="17" borderId="58" xfId="0" quotePrefix="1" applyFont="1" applyFill="1" applyBorder="1" applyAlignment="1" applyProtection="1">
      <alignment horizontal="left" vertical="center" wrapText="1" indent="3"/>
      <protection hidden="1"/>
    </xf>
    <xf numFmtId="0" fontId="168" fillId="17" borderId="5" xfId="0" applyFont="1" applyFill="1" applyBorder="1" applyAlignment="1" applyProtection="1">
      <alignment horizontal="left" vertical="center" wrapText="1" indent="3"/>
      <protection hidden="1"/>
    </xf>
    <xf numFmtId="0" fontId="138" fillId="3" borderId="50" xfId="0" applyFont="1" applyFill="1" applyBorder="1" applyAlignment="1" applyProtection="1">
      <alignment horizontal="left" vertical="center" wrapText="1"/>
      <protection hidden="1"/>
    </xf>
    <xf numFmtId="0" fontId="138" fillId="3" borderId="49" xfId="0" applyFont="1" applyFill="1" applyBorder="1" applyAlignment="1" applyProtection="1">
      <alignment horizontal="left" vertical="center" wrapText="1"/>
      <protection hidden="1"/>
    </xf>
    <xf numFmtId="0" fontId="138" fillId="3" borderId="69" xfId="0" applyFont="1" applyFill="1" applyBorder="1" applyAlignment="1" applyProtection="1">
      <alignment horizontal="left" vertical="center" wrapText="1"/>
      <protection hidden="1"/>
    </xf>
    <xf numFmtId="0" fontId="29" fillId="0" borderId="99" xfId="0" applyFont="1" applyBorder="1" applyAlignment="1" applyProtection="1">
      <alignment horizontal="left" vertical="center" wrapText="1" indent="1"/>
      <protection hidden="1"/>
    </xf>
    <xf numFmtId="0" fontId="29" fillId="0" borderId="95" xfId="0" applyFont="1" applyBorder="1" applyAlignment="1" applyProtection="1">
      <alignment horizontal="left" vertical="center" wrapText="1" indent="1"/>
      <protection hidden="1"/>
    </xf>
    <xf numFmtId="164" fontId="27" fillId="0" borderId="99" xfId="0" applyNumberFormat="1" applyFont="1" applyBorder="1" applyAlignment="1" applyProtection="1">
      <alignment horizontal="center" vertical="center" wrapText="1"/>
      <protection hidden="1"/>
    </xf>
    <xf numFmtId="164" fontId="27" fillId="0" borderId="95" xfId="0" applyNumberFormat="1" applyFont="1" applyBorder="1" applyAlignment="1" applyProtection="1">
      <alignment horizontal="center" vertical="center" wrapText="1"/>
      <protection hidden="1"/>
    </xf>
    <xf numFmtId="165" fontId="27" fillId="4" borderId="99" xfId="0" applyNumberFormat="1" applyFont="1" applyFill="1" applyBorder="1" applyAlignment="1" applyProtection="1">
      <alignment horizontal="center" vertical="center" wrapText="1"/>
      <protection hidden="1"/>
    </xf>
    <xf numFmtId="165" fontId="27" fillId="4" borderId="102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82" xfId="0" applyFont="1" applyBorder="1" applyAlignment="1" applyProtection="1">
      <alignment horizontal="left" vertical="center" wrapText="1" indent="3"/>
      <protection hidden="1"/>
    </xf>
    <xf numFmtId="0" fontId="29" fillId="0" borderId="83" xfId="0" applyFont="1" applyBorder="1" applyAlignment="1" applyProtection="1">
      <alignment horizontal="left" vertical="center" wrapText="1" indent="3"/>
      <protection hidden="1"/>
    </xf>
    <xf numFmtId="164" fontId="161" fillId="0" borderId="82" xfId="0" applyNumberFormat="1" applyFont="1" applyBorder="1" applyAlignment="1" applyProtection="1">
      <alignment horizontal="center" vertical="center" wrapText="1"/>
      <protection hidden="1"/>
    </xf>
    <xf numFmtId="164" fontId="161" fillId="0" borderId="83" xfId="0" applyNumberFormat="1" applyFont="1" applyBorder="1" applyAlignment="1" applyProtection="1">
      <alignment horizontal="center" vertical="center" wrapText="1"/>
      <protection hidden="1"/>
    </xf>
    <xf numFmtId="0" fontId="20" fillId="3" borderId="50" xfId="0" applyFont="1" applyFill="1" applyBorder="1" applyAlignment="1" applyProtection="1">
      <alignment horizontal="left" vertical="center"/>
      <protection hidden="1"/>
    </xf>
    <xf numFmtId="0" fontId="20" fillId="3" borderId="49" xfId="0" applyFont="1" applyFill="1" applyBorder="1" applyAlignment="1" applyProtection="1">
      <alignment horizontal="left" vertical="center"/>
      <protection hidden="1"/>
    </xf>
    <xf numFmtId="0" fontId="20" fillId="3" borderId="69" xfId="0" applyFont="1" applyFill="1" applyBorder="1" applyAlignment="1" applyProtection="1">
      <alignment horizontal="left" vertical="center"/>
      <protection hidden="1"/>
    </xf>
    <xf numFmtId="0" fontId="27" fillId="0" borderId="50" xfId="0" applyFont="1" applyBorder="1" applyAlignment="1" applyProtection="1">
      <alignment horizontal="right" vertical="center"/>
      <protection hidden="1"/>
    </xf>
    <xf numFmtId="0" fontId="27" fillId="0" borderId="49" xfId="0" applyFont="1" applyBorder="1" applyAlignment="1" applyProtection="1">
      <alignment horizontal="right" vertical="center"/>
      <protection hidden="1"/>
    </xf>
    <xf numFmtId="0" fontId="80" fillId="0" borderId="49" xfId="0" applyFont="1" applyBorder="1" applyAlignment="1" applyProtection="1">
      <alignment horizontal="left" vertical="center" indent="1"/>
      <protection hidden="1"/>
    </xf>
    <xf numFmtId="0" fontId="171" fillId="0" borderId="49" xfId="0" applyFont="1" applyBorder="1" applyAlignment="1" applyProtection="1">
      <alignment horizontal="center" vertical="center" wrapText="1"/>
      <protection hidden="1"/>
    </xf>
    <xf numFmtId="0" fontId="171" fillId="0" borderId="49" xfId="0" applyFont="1" applyBorder="1" applyAlignment="1" applyProtection="1">
      <alignment horizontal="center" vertical="center"/>
      <protection hidden="1"/>
    </xf>
    <xf numFmtId="0" fontId="184" fillId="0" borderId="0" xfId="0" quotePrefix="1" applyFont="1" applyAlignment="1" applyProtection="1">
      <alignment horizontal="center"/>
      <protection hidden="1"/>
    </xf>
    <xf numFmtId="0" fontId="184" fillId="0" borderId="0" xfId="0" applyFont="1" applyAlignment="1" applyProtection="1">
      <alignment horizontal="center"/>
      <protection hidden="1"/>
    </xf>
    <xf numFmtId="0" fontId="183" fillId="0" borderId="4" xfId="0" applyFont="1" applyBorder="1" applyAlignment="1" applyProtection="1">
      <alignment horizontal="center" vertical="center"/>
      <protection locked="0"/>
    </xf>
  </cellXfs>
  <cellStyles count="7">
    <cellStyle name="Hyperlink" xfId="1" builtinId="8"/>
    <cellStyle name="Normal" xfId="0" builtinId="0"/>
    <cellStyle name="Normal 2" xfId="4" xr:uid="{D7B99AD3-642B-4D1F-905D-D26AAE96D89A}"/>
    <cellStyle name="Normal 2 2" xfId="5" xr:uid="{120C4638-EB27-4EAD-96E9-46EAB3E73586}"/>
    <cellStyle name="Normal 3" xfId="6" xr:uid="{1DDE784F-3AD0-4423-83EC-F85B3478C2BB}"/>
    <cellStyle name="Percent" xfId="3" builtinId="5"/>
    <cellStyle name="R_Table_Header" xfId="2" xr:uid="{00000000-0005-0000-0000-000003000000}"/>
  </cellStyles>
  <dxfs count="1730"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border>
        <top style="thin">
          <color theme="7" tint="-0.24994659260841701"/>
        </top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5050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39994506668294322"/>
        </patternFill>
      </fill>
    </dxf>
    <dxf>
      <fill>
        <patternFill>
          <bgColor rgb="FFFF5050"/>
        </patternFill>
      </fill>
    </dxf>
    <dxf>
      <numFmt numFmtId="0" formatCode="General"/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theme="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ont>
        <b/>
        <i val="0"/>
        <color auto="1"/>
      </font>
    </dxf>
    <dxf>
      <font>
        <b/>
        <i val="0"/>
        <color auto="1"/>
      </font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numFmt numFmtId="164" formatCode="General;General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theme="5"/>
        </left>
        <right style="thin">
          <color theme="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medium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outline="0">
        <left style="medium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outline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outline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outline="0">
        <right style="medium">
          <color indexed="64"/>
        </right>
      </border>
      <protection locked="0" hidden="0"/>
    </dxf>
    <dxf>
      <border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top" textRotation="0" wrapText="1" indent="0" justifyLastLine="0" shrinkToFit="0" readingOrder="0"/>
      <protection locked="0" hidden="0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auto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alignment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</border>
      <protection locked="0" hidden="0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4" formatCode="General;General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4" formatCode="General;General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 patternType="solid">
          <fgColor theme="0" tint="-0.14999847407452621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theme="0" tint="-0.14999847407452621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theme="0" tint="-0.14999847407452621"/>
          <bgColor theme="0"/>
        </patternFill>
      </fill>
      <alignment horizontal="left" vertical="center" textRotation="0" wrapText="1" indent="0" justifyLastLine="0" shrinkToFit="0" readingOrder="0"/>
      <border>
        <left style="medium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alignment vertical="center" textRotation="0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164" formatCode="General;General;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>
        <right style="thin">
          <color indexed="64"/>
        </right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164" formatCode="General;General;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164" formatCode="General;General;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164" formatCode="General;General;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vertic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164" formatCode="General;General;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border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border>
        <left style="medium">
          <color indexed="64"/>
        </left>
        <right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left" vertical="center" textRotation="0" wrapText="1" indent="0" justifyLastLine="0" shrinkToFit="0" readingOrder="0"/>
      <border diagonalUp="0" diagonalDown="0">
        <left/>
        <right style="medium">
          <color indexed="64"/>
        </right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 tint="-0.14999847407452621"/>
        </patternFill>
      </fill>
      <alignment horizontal="center" vertical="bottom" textRotation="0" wrapText="1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alignment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alignment horizontal="center" vertical="center" textRotation="0" wrapText="1" indent="0" justifyLastLine="0" shrinkToFit="0" readingOrder="0"/>
      <protection locked="0" hidden="1"/>
    </dxf>
    <dxf>
      <font>
        <b/>
        <charset val="204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family val="2"/>
        <charset val="204"/>
      </font>
      <numFmt numFmtId="0" formatCode="General"/>
      <alignment horizontal="center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font>
        <b/>
        <family val="2"/>
        <charset val="204"/>
      </font>
      <alignment vertical="center" textRotation="0" wrapText="1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04"/>
        <scheme val="minor"/>
      </font>
      <fill>
        <patternFill patternType="solid">
          <fgColor theme="4"/>
          <bgColor theme="4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numFmt numFmtId="0" formatCode="General"/>
      <alignment horizontal="center" vertical="bottom" textRotation="0" wrapText="0" indent="0" justifyLastLine="0" shrinkToFit="0" readingOrder="0"/>
    </dxf>
    <dxf>
      <border outline="0">
        <right style="thin">
          <color theme="4"/>
        </right>
        <top style="thin">
          <color theme="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charset val="204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right" vertical="center" textRotation="0" wrapText="0" indent="0" justifyLastLine="0" shrinkToFit="0" readingOrder="0"/>
    </dxf>
    <dxf>
      <numFmt numFmtId="0" formatCode="General"/>
      <alignment horizontal="right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alignment horizontal="right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</dxf>
    <dxf>
      <numFmt numFmtId="0" formatCode="General"/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alignment horizontal="general" vertical="top" textRotation="0" wrapText="0" indent="0" justifyLastLine="0" shrinkToFit="0" readingOrder="0"/>
      <protection locked="0" hidden="0"/>
    </dxf>
    <dxf>
      <alignment horizontal="general" vertical="top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alignment horizontal="center" vertical="top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family val="2"/>
        <charset val="204"/>
        <scheme val="minor"/>
      </font>
      <numFmt numFmtId="172" formatCode="0.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family val="2"/>
        <charset val="204"/>
        <scheme val="minor"/>
      </font>
      <numFmt numFmtId="172" formatCode="0.0"/>
      <fill>
        <patternFill patternType="solid">
          <fgColor indexed="64"/>
          <bgColor theme="7" tint="0.79998168889431442"/>
        </patternFill>
      </fill>
      <alignment horizontal="right" vertical="top" textRotation="0" wrapText="0" indent="1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family val="2"/>
        <charset val="204"/>
        <scheme val="minor"/>
      </font>
      <numFmt numFmtId="172" formatCode="0.0"/>
      <fill>
        <patternFill patternType="solid">
          <fgColor indexed="64"/>
          <bgColor theme="7" tint="0.79998168889431442"/>
        </patternFill>
      </fill>
      <alignment horizontal="right" vertical="top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center" vertical="top" textRotation="0" wrapText="0" indent="0" justifyLastLine="0" shrinkToFit="0" readingOrder="0"/>
      <protection locked="0" hidden="0"/>
    </dxf>
    <dxf>
      <protection locked="0" hidden="0"/>
    </dxf>
    <dxf>
      <alignment vertical="top" textRotation="0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family val="2"/>
        <charset val="204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family val="2"/>
        <charset val="204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numFmt numFmtId="172" formatCode="0.0"/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 Narrow"/>
        <family val="2"/>
        <charset val="204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 Narrow"/>
        <family val="2"/>
        <charset val="204"/>
        <scheme val="none"/>
      </font>
      <alignment vertical="center" textRotation="0" wrapText="0" indent="0" justifyLastLine="0" shrinkToFit="0" readingOrder="0"/>
    </dxf>
    <dxf>
      <numFmt numFmtId="177" formatCode="hh:mm:ss;@"/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charset val="204"/>
      </font>
      <numFmt numFmtId="0" formatCode="General"/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9" formatCode="m/d/yyyy"/>
      <protection locked="0" hidden="0"/>
    </dxf>
    <dxf>
      <numFmt numFmtId="19" formatCode="m/d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border>
        <left style="medium">
          <color indexed="64"/>
        </left>
        <right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>
        <left style="medium">
          <color indexed="64"/>
        </left>
        <right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>
        <right style="medium">
          <color indexed="64"/>
        </right>
      </border>
      <protection locked="0" hidden="0"/>
    </dxf>
    <dxf>
      <border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left style="medium">
          <color indexed="64"/>
        </left>
        <top style="medium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family val="2"/>
        <charset val="204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C00000"/>
        <name val="Arial Narrow"/>
        <family val="2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C00000"/>
        <name val="Arial Narrow"/>
        <family val="2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Arial Narrow"/>
        <family val="2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1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9" tint="0.79998168889431442"/>
        </patternFill>
      </fill>
    </dxf>
    <dxf>
      <border outline="0">
        <bottom style="medium">
          <color indexed="64"/>
        </bottom>
      </border>
    </dxf>
    <dxf>
      <alignment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family val="2"/>
        <charset val="204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border diagonalUp="0" diagonalDown="0" outline="0"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alignment horizontal="left" vertical="center" textRotation="0" wrapText="0" indent="1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charset val="204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1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vertical="center" textRotation="0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  <name val="Arial Narrow"/>
        <family val="2"/>
        <charset val="204"/>
        <scheme val="none"/>
      </font>
      <fill>
        <patternFill patternType="solid">
          <fgColor indexed="64"/>
          <bgColor theme="0" tint="-0.249977111117893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 style="medium">
          <color indexed="64"/>
        </left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theme="6" tint="0.79998168889431442"/>
        </patternFill>
      </fill>
      <protection locked="0" hidden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protection locked="0" hidden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4659260841701"/>
        <name val="Arial Narrow"/>
        <family val="2"/>
        <charset val="204"/>
        <scheme val="none"/>
      </font>
      <fill>
        <patternFill patternType="solid">
          <fgColor indexed="64"/>
          <bgColor theme="2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 style="medium">
          <color indexed="64"/>
        </left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protection locked="0" hidden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4659260841701"/>
        <name val="Arial Narrow"/>
        <family val="2"/>
        <charset val="204"/>
        <scheme val="none"/>
      </font>
      <fill>
        <patternFill patternType="solid">
          <fgColor indexed="64"/>
          <bgColor theme="2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outline="0"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64" formatCode="General;General;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64" formatCode="General;General;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64" formatCode="General;General;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>
        <left style="medium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</border>
      <protection locked="0" hidden="0"/>
    </dxf>
    <dxf>
      <border outline="0">
        <top style="thin">
          <color auto="1"/>
        </top>
      </border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04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border>
        <top style="thin">
          <color indexed="64"/>
        </top>
      </border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alignment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outline="0">
        <right style="thin">
          <color auto="1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</border>
      <protection locked="0" hidden="0"/>
    </dxf>
    <dxf>
      <border outline="0">
        <top style="thin">
          <color auto="1"/>
        </top>
      </border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none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border>
        <top style="thin">
          <color indexed="64"/>
        </top>
      </border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horizontal/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center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left" vertical="center" textRotation="0" wrapText="1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alignment vertical="center" textRotation="0" wrapText="1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none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theme="4" tint="0.79998168889431442"/>
        </patternFill>
      </fill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medium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 style="medium">
          <color indexed="64"/>
        </left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protection locked="0" hidden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4659260841701"/>
        <name val="Arial Narrow"/>
        <family val="2"/>
        <charset val="204"/>
        <scheme val="none"/>
      </font>
      <fill>
        <patternFill patternType="solid">
          <fgColor indexed="64"/>
          <bgColor theme="2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numFmt numFmtId="0" formatCode="General"/>
      <fill>
        <patternFill patternType="solid">
          <fgColor indexed="64"/>
          <bgColor theme="6" tint="0.79998168889431442"/>
        </patternFill>
      </fill>
      <protection locked="0" hidden="0"/>
    </dxf>
    <dxf>
      <border outline="0">
        <top style="medium">
          <color indexed="64"/>
        </top>
      </border>
    </dxf>
    <dxf>
      <protection locked="0" hidden="0"/>
    </dxf>
    <dxf>
      <border outline="0">
        <bottom style="medium">
          <color indexed="64"/>
        </bottom>
      </border>
    </dxf>
    <dxf>
      <fill>
        <patternFill patternType="solid">
          <fgColor indexed="64"/>
          <bgColor theme="2" tint="-0.249977111117893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 outline="0">
        <left/>
        <right style="medium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164" formatCode="General;General;"/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top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top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top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top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top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04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1"/>
        <charset val="204"/>
      </font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</font>
      <numFmt numFmtId="30" formatCode="@"/>
      <fill>
        <patternFill patternType="none"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protection locked="0" hidden="1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>
        <left style="medium">
          <color indexed="64"/>
        </left>
        <right/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04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 patternType="solid">
          <fgColor theme="0" tint="-0.14999847407452621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theme="0" tint="-0.14999847407452621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theme="0" tint="-0.14999847407452621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vertic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0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vertic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9" tint="-0.499984740745262"/>
        <name val="Arial Narrow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alignment horizontal="center" vertic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alignment vertical="center" textRotation="0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 tint="-0.14999847407452621"/>
        </patternFill>
      </fill>
      <alignment horizontal="center" vertical="bottom" textRotation="0" wrapText="1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5" tint="-0.249977111117893"/>
        <name val="Arial Narrow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5" formatCode="General;General;\–"/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top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>
        <right style="medium">
          <color indexed="64"/>
        </right>
      </border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>
        <left style="medium">
          <color indexed="64"/>
        </left>
        <right/>
        <vertic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0" hidden="1"/>
    </dxf>
    <dxf>
      <font>
        <b val="0"/>
        <strike val="0"/>
        <outline val="0"/>
        <shadow val="0"/>
        <u val="none"/>
        <vertAlign val="baseline"/>
        <sz val="11"/>
        <name val="Arial Narrow"/>
        <scheme val="none"/>
      </font>
      <numFmt numFmtId="30" formatCode="@"/>
      <fill>
        <patternFill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 Narrow"/>
        <family val="2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Arial Narrow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name val="Arial Narrow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theme="0" tint="-0.14999847407452621"/>
        </patternFill>
      </fill>
      <alignment horizontal="center" vertical="bottom" textRotation="0" wrapText="1" indent="0" justifyLastLine="0" shrinkToFit="0" readingOrder="0"/>
      <protection locked="1" hidden="1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theme="5" tint="-0.249977111117893"/>
        <name val="Calibri"/>
        <family val="2"/>
        <charset val="204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5" tint="-0.249977111117893"/>
        <name val="Calibri"/>
        <family val="2"/>
        <charset val="204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5" tint="-0.249977111117893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5" tint="-0.249977111117893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indent="0" justifyLastLine="0" shrinkToFit="0" readingOrder="0"/>
      <protection locked="1" hidden="1"/>
    </dxf>
    <dxf>
      <alignment horizontal="left" vertical="center" textRotation="0" wrapText="0" indent="0" justifyLastLine="0" shrinkToFit="0" readingOrder="0"/>
      <protection locked="1" hidden="1"/>
    </dxf>
    <dxf>
      <alignment horizontal="general" vertical="top" textRotation="0" wrapText="0" indent="0" justifyLastLine="0" shrinkToFit="0" readingOrder="0"/>
    </dxf>
    <dxf>
      <numFmt numFmtId="178" formatCode="m/d/yyyy"/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charset val="204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b/>
        <charset val="204"/>
      </font>
      <alignment horizontal="left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numFmt numFmtId="0" formatCode="General"/>
      <alignment horizontal="center" vertical="center" textRotation="0" wrapText="1" indent="0" justifyLastLine="0" shrinkToFit="0" readingOrder="0"/>
      <protection locked="0" hidden="1"/>
    </dxf>
    <dxf>
      <font>
        <b/>
        <charset val="204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charset val="20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/>
        <family val="2"/>
        <charset val="204"/>
      </font>
      <numFmt numFmtId="0" formatCode="General"/>
      <alignment horizontal="center" vertical="center" textRotation="0" wrapText="0" indent="0" justifyLastLine="0" shrinkToFit="0" readingOrder="0"/>
    </dxf>
    <dxf>
      <border outline="0">
        <top style="thin">
          <color theme="4" tint="0.39997558519241921"/>
        </top>
      </border>
    </dxf>
    <dxf>
      <font>
        <b/>
        <family val="2"/>
        <charset val="204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04"/>
        <scheme val="minor"/>
      </font>
      <fill>
        <patternFill patternType="solid">
          <fgColor theme="4"/>
          <bgColor theme="4"/>
        </patternFill>
      </fill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border outline="0">
        <left style="thin">
          <color auto="1"/>
        </left>
      </border>
    </dxf>
    <dxf>
      <alignment horizontal="general" vertical="center" textRotation="0" wrapText="0" indent="0" justifyLastLine="0" shrinkToFit="0" readingOrder="0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diagonalUp="0" diagonalDown="0" outline="0">
        <left/>
        <right style="medium">
          <color indexed="64"/>
        </right>
        <top/>
        <bottom/>
      </border>
    </dxf>
    <dxf>
      <font>
        <b/>
        <charset val="204"/>
      </font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/>
        <charset val="204"/>
      </font>
      <numFmt numFmtId="0" formatCode="General"/>
      <alignment horizontal="center" vertical="center" textRotation="0" wrapText="0" indent="0" justifyLastLine="0" shrinkToFit="0" readingOrder="0"/>
    </dxf>
    <dxf>
      <font>
        <b/>
        <charset val="204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5" tint="0.59999389629810485"/>
        </patternFill>
      </fill>
      <border outline="0">
        <left style="medium">
          <color indexed="64"/>
        </left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</border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charset val="204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6" tint="-0.499984740745262"/>
      </font>
      <fill>
        <patternFill>
          <bgColor theme="6" tint="0.79998168889431442"/>
        </patternFill>
      </fill>
      <border>
        <top style="double">
          <color auto="1"/>
        </top>
        <horizontal style="double">
          <color auto="1"/>
        </horizontal>
      </border>
    </dxf>
    <dxf>
      <font>
        <b/>
        <i val="0"/>
        <strike val="0"/>
        <u val="none"/>
        <color theme="5" tint="-0.24994659260841701"/>
      </font>
      <fill>
        <patternFill>
          <bgColor theme="5" tint="0.79998168889431442"/>
        </patternFill>
      </fill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4" tint="0.79998168889431442"/>
        </patternFill>
      </fill>
    </dxf>
    <dxf>
      <font>
        <b/>
        <color theme="1"/>
      </font>
      <border>
        <top style="double">
          <color theme="7"/>
        </top>
      </border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  <vertical style="thin">
          <color theme="7"/>
        </vertical>
        <horizontal style="hair">
          <color theme="7"/>
        </horizontal>
      </border>
    </dxf>
    <dxf>
      <border>
        <left style="thin">
          <color theme="4"/>
        </left>
      </border>
    </dxf>
    <dxf>
      <border>
        <left style="thin">
          <color theme="4"/>
        </left>
      </border>
    </dxf>
    <dxf>
      <border>
        <top style="thin">
          <color theme="4"/>
        </top>
      </border>
    </dxf>
    <dxf>
      <border>
        <top style="thin">
          <color theme="4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</dxfs>
  <tableStyles count="4" defaultTableStyle="TableStyleMedium2" defaultPivotStyle="PivotStyleLight16">
    <tableStyle name="BlueBlank" pivot="0" count="9" xr9:uid="{755841D9-A0CA-4EB3-9A38-76404F8BC6AE}">
      <tableStyleElement type="wholeTable" dxfId="1729"/>
      <tableStyleElement type="headerRow" dxfId="1728"/>
      <tableStyleElement type="totalRow" dxfId="1727"/>
      <tableStyleElement type="firstColumn" dxfId="1726"/>
      <tableStyleElement type="lastColumn" dxfId="1725"/>
      <tableStyleElement type="firstRowStripe" dxfId="1724"/>
      <tableStyleElement type="secondRowStripe" dxfId="1723"/>
      <tableStyleElement type="firstColumnStripe" dxfId="1722"/>
      <tableStyleElement type="secondColumnStripe" dxfId="1721"/>
    </tableStyle>
    <tableStyle name="TableStyleLight12 2" pivot="0" count="3" xr9:uid="{B8485DCB-93E1-4D24-BCA4-F9E3E82A8D8A}">
      <tableStyleElement type="wholeTable" dxfId="1720"/>
      <tableStyleElement type="headerRow" dxfId="1719"/>
      <tableStyleElement type="totalRow" dxfId="1718"/>
    </tableStyle>
    <tableStyle name="TS_Total_Row" pivot="0" count="1" xr9:uid="{00000000-0011-0000-FFFF-FFFF00000000}">
      <tableStyleElement type="totalRow" dxfId="1717"/>
    </tableStyle>
    <tableStyle name="TS_Total_Row 2" pivot="0" count="3" xr9:uid="{00000000-0011-0000-FFFF-FFFF01000000}">
      <tableStyleElement type="wholeTable" dxfId="1716"/>
      <tableStyleElement type="headerRow" dxfId="1715"/>
      <tableStyleElement type="totalRow" dxfId="1714"/>
    </tableStyle>
  </tableStyles>
  <colors>
    <mruColors>
      <color rgb="FFFFFFCC"/>
      <color rgb="FF0000CC"/>
      <color rgb="FFFF5050"/>
      <color rgb="FFFF7C80"/>
      <color rgb="FFFFFFFF"/>
      <color rgb="FF0000FF"/>
      <color rgb="FFF84642"/>
      <color rgb="FFE60000"/>
      <color rgb="FFFF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Лекторат" lockText="1" noThreeD="1"/>
</file>

<file path=xl/ctrlProps/ctrlProp2.xml><?xml version="1.0" encoding="utf-8"?>
<formControlPr xmlns="http://schemas.microsoft.com/office/spreadsheetml/2009/9/main" objectType="CheckBox" fmlaLink="Лекторат" lockText="1" noThreeD="1"/>
</file>

<file path=xl/ctrlProps/ctrlProp3.xml><?xml version="1.0" encoding="utf-8"?>
<formControlPr xmlns="http://schemas.microsoft.com/office/spreadsheetml/2009/9/main" objectType="CheckBox" fmlaLink="Лекторат" lockText="1" noThreeD="1"/>
</file>

<file path=xl/ctrlProps/ctrlProp4.xml><?xml version="1.0" encoding="utf-8"?>
<formControlPr xmlns="http://schemas.microsoft.com/office/spreadsheetml/2009/9/main" objectType="CheckBox" fmlaLink="Лекторат" lockText="1" noThreeD="1"/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'2. &#1054;&#1050;&#1057; &quot;&#1073;&#1072;&#1082;&#1072;&#1083;&#1072;&#1074;&#1098;&#1088;&quot;'!N7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'3. &#1054;&#1050;&#1057; &quot;&#1084;&#1072;&#1075;&#1080;&#1089;&#1090;&#1098;&#1088;&quot;'!N7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'4. &#1054;&#1053;&#1057; &quot;&#1076;&#1086;&#1082;&#1090;&#1086;&#1088;&quot;'!B7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'5. &#1055;&#1086;&#1076;&#1075;&#1086;&#1090;&#1086;&#1074;&#1082;&#1072; &#1085;&#1072; &#1082;&#1091;&#1088;&#1089;'!B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22</xdr:row>
      <xdr:rowOff>19049</xdr:rowOff>
    </xdr:from>
    <xdr:to>
      <xdr:col>3</xdr:col>
      <xdr:colOff>952500</xdr:colOff>
      <xdr:row>23</xdr:row>
      <xdr:rowOff>180974</xdr:rowOff>
    </xdr:to>
    <xdr:sp macro="[0]!Stat_Индивидуален_План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514600" y="4419599"/>
          <a:ext cx="914400" cy="352425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bg-BG" sz="1100" b="1"/>
            <a:t>Подготви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20</xdr:row>
          <xdr:rowOff>38100</xdr:rowOff>
        </xdr:from>
        <xdr:to>
          <xdr:col>1</xdr:col>
          <xdr:colOff>161925</xdr:colOff>
          <xdr:row>21</xdr:row>
          <xdr:rowOff>9525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4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21</xdr:row>
          <xdr:rowOff>9525</xdr:rowOff>
        </xdr:from>
        <xdr:to>
          <xdr:col>1</xdr:col>
          <xdr:colOff>161925</xdr:colOff>
          <xdr:row>21</xdr:row>
          <xdr:rowOff>228600</xdr:rowOff>
        </xdr:to>
        <xdr:sp macro="" textlink="">
          <xdr:nvSpPr>
            <xdr:cNvPr id="46081" name="Check Box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5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21</xdr:row>
          <xdr:rowOff>9525</xdr:rowOff>
        </xdr:from>
        <xdr:to>
          <xdr:col>1</xdr:col>
          <xdr:colOff>200025</xdr:colOff>
          <xdr:row>21</xdr:row>
          <xdr:rowOff>228600</xdr:rowOff>
        </xdr:to>
        <xdr:sp macro="" textlink="">
          <xdr:nvSpPr>
            <xdr:cNvPr id="26657" name="Check Box 33" hidden="1">
              <a:extLst>
                <a:ext uri="{63B3BB69-23CF-44E3-9099-C40C66FF867C}">
                  <a14:compatExt spid="_x0000_s26657"/>
                </a:ext>
                <a:ext uri="{FF2B5EF4-FFF2-40B4-BE49-F238E27FC236}">
                  <a16:creationId xmlns:a16="http://schemas.microsoft.com/office/drawing/2014/main" id="{00000000-0008-0000-0800-00002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23</xdr:col>
      <xdr:colOff>252000</xdr:colOff>
      <xdr:row>151</xdr:row>
      <xdr:rowOff>252000</xdr:rowOff>
    </xdr:to>
    <xdr:pic>
      <xdr:nvPicPr>
        <xdr:cNvPr id="24" name="G7" descr="kljklsdjklfjldsfdsf" hidden="1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18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34667" y="16234833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19</xdr:col>
      <xdr:colOff>23813</xdr:colOff>
      <xdr:row>120</xdr:row>
      <xdr:rowOff>0</xdr:rowOff>
    </xdr:from>
    <xdr:to>
      <xdr:col>19</xdr:col>
      <xdr:colOff>275813</xdr:colOff>
      <xdr:row>120</xdr:row>
      <xdr:rowOff>252000</xdr:rowOff>
    </xdr:to>
    <xdr:pic>
      <xdr:nvPicPr>
        <xdr:cNvPr id="23" name="G6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17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56782" y="30563344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104</xdr:row>
      <xdr:rowOff>0</xdr:rowOff>
    </xdr:from>
    <xdr:to>
      <xdr:col>46</xdr:col>
      <xdr:colOff>252000</xdr:colOff>
      <xdr:row>104</xdr:row>
      <xdr:rowOff>252000</xdr:rowOff>
    </xdr:to>
    <xdr:pic>
      <xdr:nvPicPr>
        <xdr:cNvPr id="11" name="G5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0B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872882" y="13469471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79</xdr:row>
      <xdr:rowOff>0</xdr:rowOff>
    </xdr:from>
    <xdr:to>
      <xdr:col>46</xdr:col>
      <xdr:colOff>252000</xdr:colOff>
      <xdr:row>79</xdr:row>
      <xdr:rowOff>252000</xdr:rowOff>
    </xdr:to>
    <xdr:pic>
      <xdr:nvPicPr>
        <xdr:cNvPr id="16" name="G4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10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34667" y="16234833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19</xdr:col>
      <xdr:colOff>0</xdr:colOff>
      <xdr:row>66</xdr:row>
      <xdr:rowOff>0</xdr:rowOff>
    </xdr:from>
    <xdr:to>
      <xdr:col>19</xdr:col>
      <xdr:colOff>252000</xdr:colOff>
      <xdr:row>66</xdr:row>
      <xdr:rowOff>252000</xdr:rowOff>
    </xdr:to>
    <xdr:pic>
      <xdr:nvPicPr>
        <xdr:cNvPr id="14" name="G3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0E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32969" y="18049875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50</xdr:row>
      <xdr:rowOff>0</xdr:rowOff>
    </xdr:from>
    <xdr:to>
      <xdr:col>46</xdr:col>
      <xdr:colOff>252000</xdr:colOff>
      <xdr:row>50</xdr:row>
      <xdr:rowOff>252000</xdr:rowOff>
    </xdr:to>
    <xdr:pic>
      <xdr:nvPicPr>
        <xdr:cNvPr id="10" name="G2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0A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564725" y="12211050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25</xdr:row>
      <xdr:rowOff>0</xdr:rowOff>
    </xdr:from>
    <xdr:to>
      <xdr:col>46</xdr:col>
      <xdr:colOff>252000</xdr:colOff>
      <xdr:row>25</xdr:row>
      <xdr:rowOff>252000</xdr:rowOff>
    </xdr:to>
    <xdr:pic>
      <xdr:nvPicPr>
        <xdr:cNvPr id="13" name="G1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900-00000D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703118" y="6970059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13</xdr:col>
      <xdr:colOff>11906</xdr:colOff>
      <xdr:row>6</xdr:row>
      <xdr:rowOff>59532</xdr:rowOff>
    </xdr:from>
    <xdr:to>
      <xdr:col>13</xdr:col>
      <xdr:colOff>263906</xdr:colOff>
      <xdr:row>6</xdr:row>
      <xdr:rowOff>311532</xdr:rowOff>
    </xdr:to>
    <xdr:pic>
      <xdr:nvPicPr>
        <xdr:cNvPr id="12" name="G0" descr="kljklsdjklfjldsfdsf">
          <a:extLst>
            <a:ext uri="{FF2B5EF4-FFF2-40B4-BE49-F238E27FC236}">
              <a16:creationId xmlns:a16="http://schemas.microsoft.com/office/drawing/2014/main" id="{00000000-0008-0000-0900-00000C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274844" y="1393032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23</xdr:col>
      <xdr:colOff>252000</xdr:colOff>
      <xdr:row>151</xdr:row>
      <xdr:rowOff>252000</xdr:rowOff>
    </xdr:to>
    <xdr:pic>
      <xdr:nvPicPr>
        <xdr:cNvPr id="21" name="G7" descr="kljklsdjklfjldsfdsf" hidden="1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15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178393" y="28153179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19</xdr:col>
      <xdr:colOff>12057</xdr:colOff>
      <xdr:row>120</xdr:row>
      <xdr:rowOff>12057</xdr:rowOff>
    </xdr:from>
    <xdr:to>
      <xdr:col>19</xdr:col>
      <xdr:colOff>264057</xdr:colOff>
      <xdr:row>120</xdr:row>
      <xdr:rowOff>264057</xdr:rowOff>
    </xdr:to>
    <xdr:pic>
      <xdr:nvPicPr>
        <xdr:cNvPr id="15" name="G6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0F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301741" y="29720411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104</xdr:row>
      <xdr:rowOff>0</xdr:rowOff>
    </xdr:from>
    <xdr:to>
      <xdr:col>46</xdr:col>
      <xdr:colOff>252000</xdr:colOff>
      <xdr:row>104</xdr:row>
      <xdr:rowOff>252000</xdr:rowOff>
    </xdr:to>
    <xdr:pic>
      <xdr:nvPicPr>
        <xdr:cNvPr id="20" name="G5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14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566571" y="22764750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79</xdr:row>
      <xdr:rowOff>0</xdr:rowOff>
    </xdr:from>
    <xdr:to>
      <xdr:col>46</xdr:col>
      <xdr:colOff>252000</xdr:colOff>
      <xdr:row>79</xdr:row>
      <xdr:rowOff>252000</xdr:rowOff>
    </xdr:to>
    <xdr:pic>
      <xdr:nvPicPr>
        <xdr:cNvPr id="19" name="G4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13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566571" y="17526000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19</xdr:col>
      <xdr:colOff>12057</xdr:colOff>
      <xdr:row>66</xdr:row>
      <xdr:rowOff>24114</xdr:rowOff>
    </xdr:from>
    <xdr:to>
      <xdr:col>19</xdr:col>
      <xdr:colOff>264057</xdr:colOff>
      <xdr:row>66</xdr:row>
      <xdr:rowOff>276114</xdr:rowOff>
    </xdr:to>
    <xdr:pic>
      <xdr:nvPicPr>
        <xdr:cNvPr id="11" name="G3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0B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301741" y="17566994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50</xdr:row>
      <xdr:rowOff>0</xdr:rowOff>
    </xdr:from>
    <xdr:to>
      <xdr:col>46</xdr:col>
      <xdr:colOff>252000</xdr:colOff>
      <xdr:row>50</xdr:row>
      <xdr:rowOff>252000</xdr:rowOff>
    </xdr:to>
    <xdr:pic>
      <xdr:nvPicPr>
        <xdr:cNvPr id="18" name="G2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12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566571" y="12123964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28</xdr:col>
      <xdr:colOff>0</xdr:colOff>
      <xdr:row>25</xdr:row>
      <xdr:rowOff>0</xdr:rowOff>
    </xdr:from>
    <xdr:to>
      <xdr:col>46</xdr:col>
      <xdr:colOff>252000</xdr:colOff>
      <xdr:row>25</xdr:row>
      <xdr:rowOff>252000</xdr:rowOff>
    </xdr:to>
    <xdr:pic>
      <xdr:nvPicPr>
        <xdr:cNvPr id="17" name="G1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11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566571" y="6885214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13</xdr:col>
      <xdr:colOff>0</xdr:colOff>
      <xdr:row>6</xdr:row>
      <xdr:rowOff>11906</xdr:rowOff>
    </xdr:from>
    <xdr:to>
      <xdr:col>13</xdr:col>
      <xdr:colOff>252000</xdr:colOff>
      <xdr:row>6</xdr:row>
      <xdr:rowOff>263906</xdr:rowOff>
    </xdr:to>
    <xdr:pic>
      <xdr:nvPicPr>
        <xdr:cNvPr id="14" name="G0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A00-00000E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441656" y="1345406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20</xdr:row>
      <xdr:rowOff>0</xdr:rowOff>
    </xdr:from>
    <xdr:to>
      <xdr:col>46</xdr:col>
      <xdr:colOff>252000</xdr:colOff>
      <xdr:row>21</xdr:row>
      <xdr:rowOff>8584</xdr:rowOff>
    </xdr:to>
    <xdr:pic>
      <xdr:nvPicPr>
        <xdr:cNvPr id="3" name="Graphic 2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B00-000003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954000" y="4467225"/>
          <a:ext cx="252000" cy="246709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5</xdr:col>
      <xdr:colOff>9525</xdr:colOff>
      <xdr:row>32</xdr:row>
      <xdr:rowOff>0</xdr:rowOff>
    </xdr:from>
    <xdr:to>
      <xdr:col>5</xdr:col>
      <xdr:colOff>261525</xdr:colOff>
      <xdr:row>32</xdr:row>
      <xdr:rowOff>252000</xdr:rowOff>
    </xdr:to>
    <xdr:pic>
      <xdr:nvPicPr>
        <xdr:cNvPr id="6" name="Graphic 5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B00-000006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820150" y="6896100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</xdr:col>
      <xdr:colOff>0</xdr:colOff>
      <xdr:row>6</xdr:row>
      <xdr:rowOff>0</xdr:rowOff>
    </xdr:from>
    <xdr:to>
      <xdr:col>1</xdr:col>
      <xdr:colOff>252000</xdr:colOff>
      <xdr:row>6</xdr:row>
      <xdr:rowOff>252000</xdr:rowOff>
    </xdr:to>
    <xdr:pic>
      <xdr:nvPicPr>
        <xdr:cNvPr id="8" name="Graphic 7" descr="kljklsdjklfjldsfdsf">
          <a:extLst>
            <a:ext uri="{FF2B5EF4-FFF2-40B4-BE49-F238E27FC236}">
              <a16:creationId xmlns:a16="http://schemas.microsoft.com/office/drawing/2014/main" id="{00000000-0008-0000-0B00-000008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2833" y="1407583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22</xdr:row>
      <xdr:rowOff>0</xdr:rowOff>
    </xdr:from>
    <xdr:to>
      <xdr:col>48</xdr:col>
      <xdr:colOff>252000</xdr:colOff>
      <xdr:row>23</xdr:row>
      <xdr:rowOff>23399</xdr:rowOff>
    </xdr:to>
    <xdr:pic>
      <xdr:nvPicPr>
        <xdr:cNvPr id="6" name="Graphic 5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C00-000006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63575" y="5410200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  <xdr:twoCellAnchor editAs="oneCell">
    <xdr:from>
      <xdr:col>1</xdr:col>
      <xdr:colOff>0</xdr:colOff>
      <xdr:row>6</xdr:row>
      <xdr:rowOff>0</xdr:rowOff>
    </xdr:from>
    <xdr:to>
      <xdr:col>1</xdr:col>
      <xdr:colOff>252000</xdr:colOff>
      <xdr:row>6</xdr:row>
      <xdr:rowOff>252000</xdr:rowOff>
    </xdr:to>
    <xdr:pic>
      <xdr:nvPicPr>
        <xdr:cNvPr id="8" name="Graphic 5" descr="kljklsdjklfjldsfdsf">
          <a:hlinkClick xmlns:r="http://schemas.openxmlformats.org/officeDocument/2006/relationships" r:id="rId1" tooltip="Инструкция"/>
          <a:extLst>
            <a:ext uri="{FF2B5EF4-FFF2-40B4-BE49-F238E27FC236}">
              <a16:creationId xmlns:a16="http://schemas.microsoft.com/office/drawing/2014/main" id="{00000000-0008-0000-0C00-000008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1428750"/>
          <a:ext cx="252000" cy="252000"/>
        </a:xfrm>
        <a:prstGeom prst="rect">
          <a:avLst/>
        </a:prstGeom>
        <a:effectLst>
          <a:glow rad="63500">
            <a:schemeClr val="accent3">
              <a:satMod val="175000"/>
              <a:alpha val="40000"/>
            </a:schemeClr>
          </a:glow>
        </a:effectLst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9525</xdr:rowOff>
        </xdr:from>
        <xdr:to>
          <xdr:col>1</xdr:col>
          <xdr:colOff>295275</xdr:colOff>
          <xdr:row>21</xdr:row>
          <xdr:rowOff>228600</xdr:rowOff>
        </xdr:to>
        <xdr:sp macro="" textlink="">
          <xdr:nvSpPr>
            <xdr:cNvPr id="52225" name="Check Box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17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22" xr16:uid="{22F355EF-7DAB-410E-A83E-A2429E591EA1}" autoFormatId="16" applyNumberFormats="0" applyBorderFormats="0" applyFontFormats="0" applyPatternFormats="0" applyAlignmentFormats="0" applyWidthHeightFormats="0">
  <queryTableRefresh nextId="28">
    <queryTableFields count="27">
      <queryTableField id="1" name="аФакултет" tableColumnId="1"/>
      <queryTableField id="2" name="упрЧасове" tableColumnId="2"/>
      <queryTableField id="3" name="кодНАЦИД.Спец" tableColumnId="3"/>
      <queryTableField id="4" name="нацидСпециалност" tableColumnId="4"/>
      <queryTableField id="5" name="&lt;|&gt;" tableColumnId="5"/>
      <queryTableField id="6" name="TeacherLotNumber:" tableColumnId="6"/>
      <queryTableField id="7" name="пПреподавател:" tableColumnId="7"/>
      <queryTableField id="8" name="аЕГН:" tableColumnId="8"/>
      <queryTableField id="9" name="&lt;|&gt;.1" tableColumnId="9"/>
      <queryTableField id="10" name="аУчебна година:" tableColumnId="10"/>
      <queryTableField id="11" name="аСeместър:" tableColumnId="11"/>
      <queryTableField id="12" name="пФакултет:" tableColumnId="12"/>
      <queryTableField id="13" name="пКатедра:" tableColumnId="13"/>
      <queryTableField id="14" name="пАкад. длъжност:" tableColumnId="14"/>
      <queryTableField id="15" name="пРък. длъжност:" tableColumnId="15"/>
      <queryTableField id="16" name="бмлОЗ:" tableColumnId="16"/>
      <queryTableField id="17" name="бмлАЗ:" tableColumnId="17"/>
      <queryTableField id="18" name="бмлдОЗ:" tableColumnId="18"/>
      <queryTableField id="19" name="бмлдАЗ:" tableColumnId="19"/>
      <queryTableField id="20" name="бакУЗ:" tableColumnId="20"/>
      <queryTableField id="21" name="бакАз:" tableColumnId="21"/>
      <queryTableField id="22" name="магУЗ:" tableColumnId="22"/>
      <queryTableField id="23" name="магАЗ:" tableColumnId="23"/>
      <queryTableField id="24" name="пЗабележка:" tableColumnId="24"/>
      <queryTableField id="25" name="Teacher_ID:" tableColumnId="25"/>
      <queryTableField id="26" name="PersonData_ID:" tableColumnId="26"/>
      <queryTableField id="27" name="LDAPUserName:" tableColumnId="2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A853D6A8-90B5-4351-B82C-88506B7EEE15}" autoFormatId="16" applyNumberFormats="0" applyBorderFormats="0" applyFontFormats="0" applyPatternFormats="0" applyAlignmentFormats="0" applyWidthHeightFormats="0">
  <queryTableRefresh nextId="41">
    <queryTableFields count="8">
      <queryTableField id="1" name="Факултет" tableColumnId="1"/>
      <queryTableField id="39" name="фОЗ" tableColumnId="6"/>
      <queryTableField id="37" name="Name" tableColumnId="5"/>
      <queryTableField id="24" name="ОЗ." tableColumnId="13"/>
      <queryTableField id="25" name="т№" tableColumnId="14"/>
      <queryTableField id="12" name="аСпец" tableColumnId="7"/>
      <queryTableField id="33" name="код" tableColumnId="4"/>
      <queryTableField id="20" name="CodeSpecialityName" tableColumnId="1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8" xr16:uid="{35ED1FD0-5B0F-4FA1-9812-7E09FE0AF86F}" autoFormatId="16" applyNumberFormats="0" applyBorderFormats="0" applyFontFormats="0" applyPatternFormats="0" applyAlignmentFormats="0" applyWidthHeightFormats="0">
  <queryTableRefresh nextId="42">
    <queryTableFields count="20">
      <queryTableField id="1" name="аУчебна година:" tableColumnId="1"/>
      <queryTableField id="2" name="аСeместър:" tableColumnId="2"/>
      <queryTableField id="39" dataBound="0" tableColumnId="29"/>
      <queryTableField id="31" dataBound="0" tableColumnId="21"/>
      <queryTableField id="3" name="пФакултет:" tableColumnId="3"/>
      <queryTableField id="7" name="пКатедра:" tableColumnId="7"/>
      <queryTableField id="8" name="пАкад. длъжност:" tableColumnId="8"/>
      <queryTableField id="9" name="пРък. длъжност:" tableColumnId="9"/>
      <queryTableField id="10" name="пПреподавател:" tableColumnId="10"/>
      <queryTableField id="11" name="аЕГН:" tableColumnId="11"/>
      <queryTableField id="13" name="бмлОЗ:" tableColumnId="13"/>
      <queryTableField id="14" name="бмлАЗ:" tableColumnId="14"/>
      <queryTableField id="15" name="бмлдОЗ:" tableColumnId="15"/>
      <queryTableField id="16" name="бмлдАЗ:" tableColumnId="16"/>
      <queryTableField id="12" name="пЗабележка:" tableColumnId="12"/>
      <queryTableField id="4" name="Teacher_ID:" tableColumnId="4"/>
      <queryTableField id="5" name="PersonData_ID:" tableColumnId="5"/>
      <queryTableField id="6" name="LDAPUserName:" tableColumnId="6"/>
      <queryTableField id="40" name="k" tableColumnId="17"/>
      <queryTableField id="41" name="аФакултет" tableColumnId="18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7" xr16:uid="{4424A81C-6754-40B7-9472-47EF8A14F369}" autoFormatId="16" applyNumberFormats="0" applyBorderFormats="0" applyFontFormats="0" applyPatternFormats="0" applyAlignmentFormats="0" applyWidthHeightFormats="0">
  <queryTableRefresh nextId="3">
    <queryTableFields count="2">
      <queryTableField id="1" name="Факултет" tableColumnId="1"/>
      <queryTableField id="2" name="ОЗ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8" xr16:uid="{947B2D66-141E-41A3-B823-9620FAC3C3F2}" autoFormatId="16" applyNumberFormats="0" applyBorderFormats="0" applyFontFormats="0" applyPatternFormats="0" applyAlignmentFormats="0" applyWidthHeightFormats="0">
  <queryTableRefresh nextId="16">
    <queryTableFields count="7">
      <queryTableField id="1" name="Факултет" tableColumnId="1"/>
      <queryTableField id="9" name="фОЗ" tableColumnId="8"/>
      <queryTableField id="14" name="кодНАЦИД-МОН" tableColumnId="3"/>
      <queryTableField id="2" name="аСпец" tableColumnId="2"/>
      <queryTableField id="5" name="CodeSpecialityName" tableColumnId="5"/>
      <queryTableField id="12" name="пПреподавател:" tableColumnId="9"/>
      <queryTableField id="13" name="аЕГН:" tableColumnId="10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15" xr16:uid="{44D717B3-4D05-456A-89B9-493A8872DCD3}" autoFormatId="16" applyNumberFormats="0" applyBorderFormats="0" applyFontFormats="0" applyPatternFormats="0" applyAlignmentFormats="0" applyWidthHeightFormats="0">
  <queryTableRefresh nextId="17" unboundColumnsRight="1">
    <queryTableFields count="14">
      <queryTableField id="1" name="№" tableColumnId="1"/>
      <queryTableField id="12" name="initialPartId" tableColumnId="11"/>
      <queryTableField id="2" name="Специалност" tableColumnId="2"/>
      <queryTableField id="4" name="код" tableColumnId="4"/>
      <queryTableField id="3" name="аФакултет" tableColumnId="3"/>
      <queryTableField id="5" name="ОКС" tableColumnId="5"/>
      <queryTableField id="6" name="оФорма" tableColumnId="6"/>
      <queryTableField id="7" name="аСпец" tableColumnId="7"/>
      <queryTableField id="8" name="Code_MON" tableColumnId="8"/>
      <queryTableField id="9" name="аФакСец" tableColumnId="9"/>
      <queryTableField id="14" name="кодСпецДР" tableColumnId="12"/>
      <queryTableField id="15" name="кодАСпецДР" tableColumnId="13"/>
      <queryTableField id="16" name="кодНАЦИД" tableColumnId="14"/>
      <queryTableField id="11" dataBound="0" tableColumnId="10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4" xr16:uid="{FC286A2F-4D20-489F-B8B5-7D3508C08709}" autoFormatId="16" applyNumberFormats="0" applyBorderFormats="0" applyFontFormats="0" applyPatternFormats="0" applyAlignmentFormats="0" applyWidthHeightFormats="0">
  <queryTableRefresh nextId="8">
    <queryTableFields count="7">
      <queryTableField id="1" name="Code_ПН" tableColumnId="1"/>
      <queryTableField id="2" name="Професионално направление" tableColumnId="2"/>
      <queryTableField id="3" name="Факултет" tableColumnId="3"/>
      <queryTableField id="4" name="нСпециалност" tableColumnId="4"/>
      <queryTableField id="5" name="Спец" tableColumnId="5"/>
      <queryTableField id="6" name="Бак" tableColumnId="6"/>
      <queryTableField id="7" name="Маг" tableColumnId="7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DB7D756B-D74D-451E-B457-EF06BD3C3850}" autoFormatId="16" applyNumberFormats="0" applyBorderFormats="0" applyFontFormats="0" applyPatternFormats="0" applyAlignmentFormats="0" applyWidthHeightFormats="0">
  <queryTableRefresh nextId="9">
    <queryTableFields count="7">
      <queryTableField id="7" name="NACIDInstitutionalSpecialityId" tableColumnId="7"/>
      <queryTableField id="1" name="Code_MON" tableColumnId="1"/>
      <queryTableField id="2" name="Code_ПН" tableColumnId="2"/>
      <queryTableField id="3" name="ПН" tableColumnId="3"/>
      <queryTableField id="4" name="Специалност" tableColumnId="4"/>
      <queryTableField id="5" name="ОКС" tableColumnId="5"/>
      <queryTableField id="6" name="Форма" tableColumnId="6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adjustColumnWidth="0" connectionId="3" xr16:uid="{14F2AE2B-E49C-4FB3-BDA4-CD1EF4D64E7B}" autoFormatId="16" applyNumberFormats="0" applyBorderFormats="0" applyFontFormats="0" applyPatternFormats="0" applyAlignmentFormats="0" applyWidthHeightFormats="0">
  <queryTableRefresh nextId="24">
    <queryTableFields count="9">
      <queryTableField id="3" name="er.Факултет" tableColumnId="3"/>
      <queryTableField id="7" name="код" tableColumnId="1"/>
      <queryTableField id="5" name="CodeSpecialityName" tableColumnId="5"/>
      <queryTableField id="6" name="аСпец" tableColumnId="6"/>
      <queryTableField id="11" name="initialPartId" tableColumnId="9"/>
      <queryTableField id="2" name="entityname" tableColumnId="2"/>
      <queryTableField id="8" name="Code_MON" tableColumnId="4"/>
      <queryTableField id="9" name="EducationalFormName" tableColumnId="7"/>
      <queryTableField id="10" name="EducationalDegreeNameMON" tableColumnId="8"/>
    </queryTableFields>
  </queryTableRefresh>
</queryTable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7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stTable3" displayName="ListTable3" ref="A1:C21" totalsRowShown="0" headerRowDxfId="1713" headerRowBorderDxfId="1712" tableBorderDxfId="1711" totalsRowBorderDxfId="1710">
  <autoFilter ref="A1:C21" xr:uid="{00000000-0009-0000-0100-000001000000}"/>
  <sortState xmlns:xlrd2="http://schemas.microsoft.com/office/spreadsheetml/2017/richdata2" ref="A2:C21">
    <sortCondition ref="B1:B21"/>
  </sortState>
  <tableColumns count="3">
    <tableColumn id="1" xr3:uid="{00000000-0010-0000-0000-000001000000}" name="Факултет" dataDxfId="1709"/>
    <tableColumn id="2" xr3:uid="{00000000-0010-0000-0000-000002000000}" name="Ранг" dataDxfId="1708"/>
    <tableColumn id="3" xr3:uid="{00000000-0010-0000-0000-000003000000}" name="Акроним" dataDxfId="170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63C7E6-D54F-40AE-8FFC-44D2F2A43B59}" name="ФакДео_Диуу" displayName="ФакДео_Диуу" ref="P20:S24" totalsRowShown="0">
  <autoFilter ref="P20:S24" xr:uid="{0063C7E6-D54F-40AE-8FFC-44D2F2A43B59}"/>
  <tableColumns count="4">
    <tableColumn id="1" xr3:uid="{226E4E4A-7A7C-4231-AA2C-DE761E241CC3}" name="Value" dataDxfId="1638">
      <calculatedColumnFormula array="1">IF($P$19,INDEX(ФакДео_Диуу[[#This Row],[Факултет]:[ДИУУ]],1,$P$19),"")</calculatedColumnFormula>
    </tableColumn>
    <tableColumn id="2" xr3:uid="{A74E1DD9-099C-4AC4-8560-28E686CC0919}" name="Факултет"/>
    <tableColumn id="3" xr3:uid="{16349289-8045-440E-86BF-8440BA291515}" name="ДЕО"/>
    <tableColumn id="4" xr3:uid="{7F02E546-E329-41A9-9E25-28312BCAE7C0}" name="ДИУУ"/>
  </tableColumns>
  <tableStyleInfo name="TableStyleLight10" showFirstColumn="0" showLastColumn="0" showRowStripes="1" showColumnStripes="1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6000000}" name="RedukciaDr" displayName="RedukciaDr" ref="A29:B32" totalsRowShown="0" headerRowDxfId="1637" headerRowBorderDxfId="1636" tableBorderDxfId="1635" totalsRowBorderDxfId="1634">
  <autoFilter ref="A29:B32" xr:uid="{00000000-0009-0000-0100-000018000000}"/>
  <tableColumns count="2">
    <tableColumn id="1" xr3:uid="{00000000-0010-0000-0600-000001000000}" name="Редукция малък брой докторанти" dataDxfId="1633"/>
    <tableColumn id="2" xr3:uid="{00000000-0010-0000-0600-000002000000}" name="Коеф." dataDxfId="1632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7000000}" name="Коефициент_Eзик" displayName="Коефициент_Eзик" ref="E5:F8" totalsRowShown="0" dataDxfId="1631">
  <autoFilter ref="E5:F8" xr:uid="{00000000-0009-0000-0100-000019000000}"/>
  <tableColumns count="2">
    <tableColumn id="1" xr3:uid="{00000000-0010-0000-0700-000001000000}" name="Език" dataDxfId="1630"/>
    <tableColumn id="2" xr3:uid="{00000000-0010-0000-0700-000002000000}" name="Коефициент" dataDxfId="1629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8000000}" name="RedukciaDr27" displayName="RedukciaDr27" ref="J37:K40" totalsRowShown="0" headerRowDxfId="1628" headerRowBorderDxfId="1627" tableBorderDxfId="1626" totalsRowBorderDxfId="1625">
  <autoFilter ref="J37:K40" xr:uid="{00000000-0009-0000-0100-00001A000000}"/>
  <tableColumns count="2">
    <tableColumn id="1" xr3:uid="{00000000-0010-0000-0800-000001000000}" name="Редукция малък брой докторанти" dataDxfId="1624"/>
    <tableColumn id="2" xr3:uid="{00000000-0010-0000-0800-000002000000}" name="Коеф." dataDxfId="1623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09000000}" name="T_кТО" displayName="T_кТО" ref="E11:F15" totalsRowShown="0" dataDxfId="1622" tableBorderDxfId="1621">
  <autoFilter ref="E11:F15" xr:uid="{00000000-0009-0000-0100-00001B000000}"/>
  <tableColumns count="2">
    <tableColumn id="1" xr3:uid="{00000000-0010-0000-0900-000001000000}" name="Форма на обучение" dataDxfId="1620"/>
    <tableColumn id="2" xr3:uid="{00000000-0010-0000-0900-000002000000}" name="Коефициент" dataDxfId="1619">
      <calculatedColumnFormula>B8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FE1CB28-5B4E-405B-A73A-07E44C2FEC67}" name="T1_Практ_КР" displayName="T1_Практ_КР" ref="E17:G24" totalsRowShown="0" dataDxfId="1618">
  <autoFilter ref="E17:G24" xr:uid="{AE1C89F2-2EAF-4213-8C51-2294CAD7F6DF}"/>
  <tableColumns count="3">
    <tableColumn id="1" xr3:uid="{4ABB1D37-201B-4BCC-AC5A-81A75D35833A}" name="Практика и курсова работа" dataDxfId="1617"/>
    <tableColumn id="2" xr3:uid="{506A5E1E-24B7-41AF-8F38-54E39C8EAC4B}" name="Час/Група/Ден" dataDxfId="1616"/>
    <tableColumn id="3" xr3:uid="{E379E8A2-314B-42D7-A401-33F5FF078E84}" name="Коефициент" dataDxfId="161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F063E8C4-F232-4532-801B-C5EFDBFC0C90}" name="T_Практики" displayName="T_Практики" ref="N3:U15" totalsRowShown="0" headerRowDxfId="1614" dataDxfId="1612" headerRowBorderDxfId="1613" tableBorderDxfId="1611">
  <autoFilter ref="N3:U15" xr:uid="{B9394AB6-26E1-41E8-B3B5-A53B723FD325}"/>
  <tableColumns count="8">
    <tableColumn id="5" xr3:uid="{7A1C9C6D-948B-4D1B-8D15-85F48487D930}" name="№" dataDxfId="1610">
      <calculatedColumnFormula>N(OFFSET(T_Практики[[#This Row],[№]],-1,0))+1</calculatedColumnFormula>
    </tableColumn>
    <tableColumn id="6" xr3:uid="{617AAAA8-5625-4322-B8FD-7929E51F91F0}" name="Практики и курсови работи" dataDxfId="1609"/>
    <tableColumn id="1" xr3:uid="{62348818-392A-44A2-8BAB-5F9B7FB1B9B5}" name="Практика и курсова работа" dataDxfId="1608"/>
    <tableColumn id="2" xr3:uid="{447AAAF0-63BF-490B-8FB8-B5F16D18E4F0}" name="Час" dataDxfId="1607"/>
    <tableColumn id="7" xr3:uid="{E106A292-CCDD-428D-AEE3-0CA2450E27EE}" name="Студенти" dataDxfId="1606"/>
    <tableColumn id="3" xr3:uid="{92BA56D8-D8EB-425B-8830-DBCC37D51A55}" name="Група" dataDxfId="1605"/>
    <tableColumn id="4" xr3:uid="{8C30FA8B-4CBC-4F68-8809-FBC40832E71B}" name="Ден" dataDxfId="1604"/>
    <tableColumn id="8" xr3:uid="{0AE1A4B7-D7D5-4FBC-B317-E3FD7F2D28BE}" name="Code" dataDxfId="1603">
      <calculatedColumnFormula>IF(T_Практики[[#This Row],[Студенти]],"с","")&amp;IF(T_Практики[[#This Row],[Група]],"г","")&amp;IF(T_Практики[[#This Row],[Ден]],"д","")</calculatedColumnFormula>
    </tableColumn>
  </tableColumns>
  <tableStyleInfo name="TableStyleLight9" showFirstColumn="0" showLastColumn="1" showRowStripes="1" showColumnStripes="1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EC1BD1D1-C476-415D-8374-0BA2E66B5F44}" name="T_ПодгКурс" displayName="T_ПодгКурс" ref="Y3:AC12" totalsRowShown="0" dataDxfId="1602">
  <autoFilter ref="Y3:AC12" xr:uid="{47172D9A-0898-4D51-94E1-108BAAD65D24}"/>
  <tableColumns count="5">
    <tableColumn id="1" xr3:uid="{04BB3CD5-4755-46AD-A386-4F077EAEF957}" name="№" dataDxfId="1601">
      <calculatedColumnFormula>N(OFFSET(T_ПодгКурс[[#This Row],[№]],-1,0))+1</calculatedColumnFormula>
    </tableColumn>
    <tableColumn id="2" xr3:uid="{4CAC9790-EFB0-40D1-9019-647E757539DB}" name="Дейност" dataDxfId="1600"/>
    <tableColumn id="3" xr3:uid="{416DA355-43EB-4329-B961-5A7C9A75D690}" name="Форма на обучение" dataDxfId="1599"/>
    <tableColumn id="5" xr3:uid="{023BDAE9-5FA1-4C66-A163-135DB5D90807}" name="код" dataDxfId="1598">
      <calculatedColumnFormula>T_ПодгКурс[[#This Row],[Дейност]]&amp;"|"&amp;T_ПодгКурс[[#This Row],[Форма на обучение]]</calculatedColumnFormula>
    </tableColumn>
    <tableColumn id="4" xr3:uid="{14F73823-EBEA-4905-B340-883D69E456AA}" name="Коефициент" dataDxfId="1597"/>
  </tableColumns>
  <tableStyleInfo name="TableStyleLight9" showFirstColumn="0" showLastColumn="0" showRowStripes="1" showColumnStripes="1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7AA65013-D8DF-43FC-B6EA-17BB1124FF8C}" name="тЗащСпец" displayName="тЗащСпец" ref="AF3:AM51" totalsRowShown="0" dataDxfId="1596">
  <autoFilter ref="AF3:AM51" xr:uid="{7AA65013-D8DF-43FC-B6EA-17BB1124FF8C}"/>
  <sortState xmlns:xlrd2="http://schemas.microsoft.com/office/spreadsheetml/2017/richdata2" ref="AF4:AL17">
    <sortCondition ref="AK3:AK17"/>
  </sortState>
  <tableColumns count="8">
    <tableColumn id="9" xr3:uid="{3724B3A2-BA65-4179-9B76-96B91C404E85}" name="№" dataDxfId="1595">
      <calculatedColumnFormula>N(OFFSET(тЗащСпец[[#This Row],[№]],-1,0))+1</calculatedColumnFormula>
    </tableColumn>
    <tableColumn id="10" xr3:uid="{E49BA9A9-F5CF-4550-BEC7-713C42783AEB}" name="Факултет" dataDxfId="1594"/>
    <tableColumn id="5" xr3:uid="{C0A31BDF-9308-4CA1-A511-478500A7AD51}" name="Code_ПН" dataDxfId="1593"/>
    <tableColumn id="6" xr3:uid="{C7768B72-E1C9-48A4-A952-031AD9B6DACD}" name="Професионално направление" dataDxfId="1592"/>
    <tableColumn id="8" xr3:uid="{A2448B0D-A685-403F-86B1-1D4B7E5D0349}" name="Code_MON" dataDxfId="1591"/>
    <tableColumn id="1" xr3:uid="{77734D39-6A4B-4B71-ADB0-CB5E8E3CAECD}" name="нСпециалност" dataDxfId="1590"/>
    <tableColumn id="2" xr3:uid="{4C3C3A61-A8D2-4A72-80E2-5B81A552B167}" name="аСпец" dataDxfId="1589"/>
    <tableColumn id="14" xr3:uid="{B5B9EEB3-EE43-4BB8-BA9D-5F80DBBF4949}" name="Column1" dataDxfId="1588">
      <calculatedColumnFormula>LOWER(тЗащСпец[[#This Row],[аСпец]])</calculatedColumnFormula>
    </tableColumn>
  </tableColumns>
  <tableStyleInfo name="TableStyleLight9" showFirstColumn="0" showLastColumn="0" showRowStripes="1" showColumnStripes="1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A000000}" name="T_УчебнаГодина" displayName="T_УчебнаГодина" ref="K3:K11" totalsRowShown="0" dataDxfId="1587">
  <autoFilter ref="K3:K11" xr:uid="{00000000-0009-0000-0100-00001C000000}"/>
  <sortState xmlns:xlrd2="http://schemas.microsoft.com/office/spreadsheetml/2017/richdata2" ref="K4:K11">
    <sortCondition descending="1" ref="K3:K11"/>
  </sortState>
  <tableColumns count="1">
    <tableColumn id="1" xr3:uid="{00000000-0010-0000-0A00-000001000000}" name="Учебни години" dataDxfId="158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ListTable37" displayName="ListTable37" ref="A44:B50" totalsRowShown="0" headerRowDxfId="1706" headerRowBorderDxfId="1705" tableBorderDxfId="1704" totalsRowBorderDxfId="1703">
  <autoFilter ref="A44:B50" xr:uid="{00000000-0009-0000-0100-000002000000}"/>
  <tableColumns count="2">
    <tableColumn id="1" xr3:uid="{00000000-0010-0000-0100-000001000000}" name="Ръководна длъжност" dataDxfId="1702"/>
    <tableColumn id="2" xr3:uid="{00000000-0010-0000-0100-000002000000}" name="%" dataDxfId="1701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B000000}" name="T_Семестри" displayName="T_Семестри" ref="M3:R7" totalsRowShown="0">
  <autoFilter ref="M3:R7" xr:uid="{00000000-0009-0000-0100-00001F000000}"/>
  <tableColumns count="6">
    <tableColumn id="1" xr3:uid="{00000000-0010-0000-0B00-000001000000}" name="Семестър"/>
    <tableColumn id="2" xr3:uid="{00000000-0010-0000-0B00-000002000000}" name="Факултет/Катедра/Преподавател" dataDxfId="1585">
      <calculatedColumnFormula>T(O4)&amp;" / "&amp;T(P4)&amp;" / "&amp;IFERROR(VLOOKUP(T_Семестри[[#This Row],[Акад. длъжн]],T_АкадДлъж1[[Академична длъжност в СУ]:[акад. длъж]],2,0),T_Семестри[[#This Row],[Акад. длъжн]])&amp;" "&amp;T(R4)</calculatedColumnFormula>
    </tableColumn>
    <tableColumn id="3" xr3:uid="{00000000-0010-0000-0B00-000003000000}" name="Факултет" dataDxfId="1584">
      <calculatedColumnFormula>IFERROR('1. План'!$B$7,"Факултет")</calculatedColumnFormula>
    </tableColumn>
    <tableColumn id="4" xr3:uid="{00000000-0010-0000-0B00-000004000000}" name="Катедра" dataDxfId="1583">
      <calculatedColumnFormula>IFERROR('1. План'!$B$9,"катедра")</calculatedColumnFormula>
    </tableColumn>
    <tableColumn id="6" xr3:uid="{B4AA3464-2F23-4298-8043-347229803FEF}" name="Акад. длъжн" dataDxfId="1582">
      <calculatedColumnFormula>IFERROR('1. План'!B$14,"акад. длъж., ")</calculatedColumnFormula>
    </tableColumn>
    <tableColumn id="5" xr3:uid="{00000000-0010-0000-0B00-000005000000}" name="Преподавател">
      <calculatedColumnFormula>IFERROR('1. План'!$F$14,"Преподавател")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16C13B04-FA9C-434B-BA15-EABCF697B8B7}" name="T_АкадДлъж1" displayName="T_АкадДлъж1" ref="E47:G57" totalsRowShown="0">
  <autoFilter ref="E47:G57" xr:uid="{299FBEC8-233D-46F2-9FA3-976D4E5913C7}"/>
  <tableColumns count="3">
    <tableColumn id="1" xr3:uid="{3874078A-D281-43D8-9ED0-5491EB94F9DF}" name="№" dataDxfId="1581"/>
    <tableColumn id="2" xr3:uid="{B99B2AAA-6A1D-46E7-A9DB-9A5F115BA7D9}" name="Академична длъжност в СУ"/>
    <tableColumn id="3" xr3:uid="{DFFBCB8C-49A0-40E1-9ED7-1356ECD590EB}" name="акад. длъж"/>
  </tableColumns>
  <tableStyleInfo name="TableStyleLight9" showFirstColumn="0" showLastColumn="0" showRowStripes="1" showColumnStripes="1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F57B7A98-5849-454C-AB3F-5194670F2E8F}" name="T_Show_Hide" displayName="T_Show_Hide" ref="D59:I106" totalsRowShown="0">
  <autoFilter ref="D59:I106" xr:uid="{F317AA60-179E-484D-B80F-7280495B723D}"/>
  <tableColumns count="6">
    <tableColumn id="1" xr3:uid="{95E847AC-3CE2-4124-841F-C8EA6E56D31A}" name="Семестър" dataDxfId="1580"/>
    <tableColumn id="2" xr3:uid="{6E6A3FE8-369B-4A0A-B4A4-044B27F27D29}" name="ShowHide" dataDxfId="1579"/>
    <tableColumn id="4" xr3:uid="{A6487A7B-AD2E-4955-807E-BC4144BB2CE5}" name="Object" dataDxfId="1578"/>
    <tableColumn id="3" xr3:uid="{89E6D60A-349A-4475-9589-490283409F04}" name="Name"/>
    <tableColumn id="5" xr3:uid="{41E94CF6-32EA-4A86-9A40-741EC2228081}" name="Sheet"/>
    <tableColumn id="6" xr3:uid="{E7AF16FD-54FE-4A6B-8AFA-65D86D61CDE6}" name="Щат/Хон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C000000}" name="Table40" displayName="Table40" ref="A4:B30" totalsRowShown="0" dataDxfId="1577">
  <autoFilter ref="A4:B30" xr:uid="{00000000-0009-0000-0100-000028000000}"/>
  <sortState xmlns:xlrd2="http://schemas.microsoft.com/office/spreadsheetml/2017/richdata2" ref="A5:B30">
    <sortCondition descending="1" ref="A4:A30"/>
  </sortState>
  <tableColumns count="2">
    <tableColumn id="1" xr3:uid="{00000000-0010-0000-0C00-000001000000}" name="Дата" dataDxfId="1576"/>
    <tableColumn id="2" xr3:uid="{00000000-0010-0000-0C00-000002000000}" name="В този вариант са направени следните корекции и подобрения:" dataDxfId="1575"/>
  </tableColumns>
  <tableStyleInfo name="TS_Total_Row 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184CD28-C599-4391-B816-6882A35C33AE}" name="Table34" displayName="Table34" ref="U31:Y43" totalsRowShown="0" headerRowDxfId="1574" dataDxfId="1573">
  <autoFilter ref="U31:Y43" xr:uid="{2FD21137-5285-4B4A-B943-1E1F79A7397C}"/>
  <tableColumns count="5">
    <tableColumn id="1" xr3:uid="{6117BE87-D20E-4CA7-B395-12B16B9BB552}" name="Практика" dataDxfId="1572">
      <calculatedColumnFormula>Coef!P4</calculatedColumnFormula>
    </tableColumn>
    <tableColumn id="2" xr3:uid="{76F7EF8D-80B7-48CF-BEB6-7B45E59A435F}" name="Часа" dataDxfId="1571">
      <calculatedColumnFormula>VLOOKUP($U32,T_УчПрактики[[Практика и курсова работа]:[Ден]],COLUMN(B1),0)</calculatedColumnFormula>
    </tableColumn>
    <tableColumn id="5" xr3:uid="{F9B87B4C-2042-41B4-81A1-48534DAF1D07}" name="Студенти" dataDxfId="1570">
      <calculatedColumnFormula>VLOOKUP($U32,T_УчПрактики[[Практика и курсова работа]:[Ден]],COLUMN(C1),0)</calculatedColumnFormula>
    </tableColumn>
    <tableColumn id="3" xr3:uid="{8AD807AA-68AF-4E0F-BEE2-B32825CDEB42}" name="Група" dataDxfId="1569">
      <calculatedColumnFormula>VLOOKUP($U32,T_УчПрактики[[Практика и курсова работа]:[Ден]],COLUMN(D1),0)</calculatedColumnFormula>
    </tableColumn>
    <tableColumn id="4" xr3:uid="{13C15673-454D-498D-A833-3B6A5BCB2167}" name="Ден" dataDxfId="1568">
      <calculatedColumnFormula>VLOOKUP($U32,T_УчПрактики[[Практика и курсова работа]:[Ден]],COLUMN(E1),0)</calculatedColumnFormula>
    </tableColumn>
  </tableColumns>
  <tableStyleInfo name="TableStyleLight9" showFirstColumn="0" showLastColumn="1" showRowStripes="1" showColumnStripes="1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27A7938C-14AA-4F5C-B408-730490AD4AAB}" name="тУчДисцДЕО" displayName="тУчДисцДЕО" ref="L12:Y35" totalsRowShown="0" headerRowDxfId="1567" dataDxfId="1566">
  <autoFilter ref="L12:Y35" xr:uid="{27A7938C-14AA-4F5C-B408-730490AD4AA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3" xr3:uid="{CF41F8C9-8FFA-4027-B0B4-DA1EF290B25C}" name="№" dataDxfId="1565">
      <calculatedColumnFormula>IF(COUNTA(тУчДисцДЕО[[#This Row],[Дисциплина]:[Изпитани]]),MAX(L12:L12)+1,"")</calculatedColumnFormula>
    </tableColumn>
    <tableColumn id="1" xr3:uid="{E402681E-E103-4830-BAE1-977DB3B79C89}" name="Дисциплина" dataDxfId="1564"/>
    <tableColumn id="2" xr3:uid="{5EA37555-89E7-4CB2-8BB6-25582F147033}" name="Вид група" dataDxfId="1563"/>
    <tableColumn id="3" xr3:uid="{E69C60FE-22FE-4E8F-A9F5-FE2BEFE06229}" name="Език" dataDxfId="1562"/>
    <tableColumn id="4" xr3:uid="{5484C5E0-3641-4B8A-ABE0-A9B5AC774F19}" name="Група" dataDxfId="1561"/>
    <tableColumn id="5" xr3:uid="{778DBAB9-9E59-41AC-9E1F-DAF1D341454A}" name="Студенти" dataDxfId="1560"/>
    <tableColumn id="7" xr3:uid="{2DC5907A-0B51-43DC-A8DE-3C8B1A4DDD2C}" name="Лекции" dataDxfId="1559"/>
    <tableColumn id="8" xr3:uid="{F8EF881C-E83C-4659-9328-ECDC72BA91C0}" name="Упражнения" dataDxfId="1558"/>
    <tableColumn id="6" xr3:uid="{F194925D-C532-4E06-A9E4-BF5409CBB7B4}" name="Изпитани" dataDxfId="1557"/>
    <tableColumn id="14" xr3:uid="{2CC084E9-89DC-46C5-BACC-82AD9059ACC6}" name="КР" dataDxfId="1556"/>
    <tableColumn id="9" xr3:uid="{6BDEB904-B7F5-4CA2-ABB0-1734605BE7EA}" name="кСтуденти" dataDxfId="1555">
      <calculatedColumnFormula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Row],[Студенти]],C51:D56,2,0),0)),0)</calculatedColumnFormula>
    </tableColumn>
    <tableColumn id="12" xr3:uid="{547A01E3-1CFA-4F79-A172-0ADF8E164106}" name="кЕзик" dataDxfId="1554">
      <calculatedColumnFormula>IF(тУчДисцДЕО[[#This Row],[Език]]="БЕ",1,IF(тУчДисцДЕО[[#This Row],[Език]]="ЧЕ-ЧЕ",1.2,IF(тУчДисцДЕО[[#This Row],[Език]]="ЧЕ",1.5,0)))</calculatedColumnFormula>
    </tableColumn>
    <tableColumn id="10" xr3:uid="{E1A71B6E-80F1-4964-843D-18A0331DE091}" name="брЛекции" dataDxfId="1553">
      <calculatedColumnFormula>тУчДисцДЕО[[#This Row],[Лекции]]*тУчДисцДЕО[[#This Row],[кСтуденти]]*тУчДисцДЕО[[#This Row],[кЕзик]]</calculatedColumnFormula>
    </tableColumn>
    <tableColumn id="11" xr3:uid="{3C78C687-70FC-48AE-BDB5-4A38FD924B0B}" name="брУпражнения" dataDxfId="1552">
      <calculatedColumnFormula>тУчДисцДЕО[[#This Row],[Упражнения]]*тУчДисцДЕО[[#This Row],[кСтуденти]]*тУчДисцДЕО[[#This Row],[кЕзик]]</calculatedColumnFormula>
    </tableColumn>
  </tableColumns>
  <tableStyleInfo name="TableStyleLight8" showFirstColumn="0" showLastColumn="0" showRowStripes="1" showColumnStripes="1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D000000}" name="BAZZS" displayName="BAZZS" ref="C30:AJ49" headerRowDxfId="1551" dataDxfId="1549" totalsRowDxfId="1548" headerRowBorderDxfId="1550">
  <tableColumns count="34">
    <tableColumn id="37" xr3:uid="{00000000-0010-0000-0D00-000025000000}" name="пВИД" dataDxfId="1547" totalsRowDxfId="1546">
      <calculatedColumnFormula>IFERROR(AND(LEN(BAZZS[[#This Row],[Дисциплина]]&amp;BAZZS[[#This Row],[Специалност]]&amp;BAZZS[[#This Row],[Факултет]])&gt;0,LEN(BAZZS[[#This Row],[Вид]])=0)*1,0)</calculatedColumnFormula>
    </tableColumn>
    <tableColumn id="27" xr3:uid="{00000000-0010-0000-0D00-00001B000000}" name="пСтуденти" dataDxfId="1545" totalsRowDxfId="1544">
      <calculatedColumnFormula>AND(BAZZS[[#This Row],[Дисциплина]]&lt;&gt;0,OR(N(BAZZS[[#This Row],[Лекции]])&lt;&gt;0,N(BAZZS[[#This Row],[Упражнения]])&lt;&gt;0),N(BAZZS[[#This Row],[Студенти]])=0)*1</calculatedColumnFormula>
    </tableColumn>
    <tableColumn id="28" xr3:uid="{00000000-0010-0000-0D00-00001C000000}" name="пИзпитани" dataDxfId="1543" totalsRowDxfId="1542">
      <calculatedColumnFormula>AND(N(BAZZS[[#This Row],[Изпитани]])&gt;0,BAZZS[[#This Row],[Изпитващ]]=0)*1</calculatedColumnFormula>
    </tableColumn>
    <tableColumn id="29" xr3:uid="{00000000-0010-0000-0D00-00001D000000}" name="кЕзик" dataDxfId="1541" totalsRowDxfId="1540">
      <calculatedColumnFormula>IFERROR(VLOOKUP(BAZZS[[#This Row],[Език]],ТобЕзик[[обЕзик]:[Коеф.]],2,0),0)</calculatedColumnFormula>
    </tableColumn>
    <tableColumn id="30" xr3:uid="{00000000-0010-0000-0D00-00001E000000}" name="кСтуденти" dataDxfId="1539" totalsRowDxfId="1538">
      <calculatedColumnFormula array="1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calculatedColumnFormula>
    </tableColumn>
    <tableColumn id="31" xr3:uid="{00000000-0010-0000-0D00-00001F000000}" name="кИзпитващ" dataDxfId="1537" totalsRowDxfId="1536">
      <calculatedColumnFormula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calculatedColumnFormula>
    </tableColumn>
    <tableColumn id="32" xr3:uid="{00000000-0010-0000-0D00-000020000000}" name="кTO" dataDxfId="1535" totalsRowDxfId="1534">
      <calculatedColumnFormula>IFERROR(VLOOKUP(BAZZS[[#This Row],[ФормаОб]],тТО[[обФорма]:[Коеф.]],2,0),0)</calculatedColumnFormula>
    </tableColumn>
    <tableColumn id="35" xr3:uid="{00000000-0010-0000-0D00-000023000000}" name="чЛекции" dataDxfId="1533">
      <calculatedColumnFormula>N(BAZZS[[#This Row],[Лекции]])*BAZZS[[#This Row],[кЕзик]]*BAZZS[[#This Row],[кСтуденти]]*кЛекции</calculatedColumnFormula>
    </tableColumn>
    <tableColumn id="36" xr3:uid="{00000000-0010-0000-0D00-000024000000}" name="чУпражнения" dataDxfId="1532" totalsRowDxfId="1531">
      <calculatedColumnFormula>N(BAZZS[[#This Row],[Упражнения]])*BAZZS[[#This Row],[кЕзик]]*BAZZS[[#This Row],[кСтуденти]]*кУпражнение</calculatedColumnFormula>
    </tableColumn>
    <tableColumn id="34" xr3:uid="{00000000-0010-0000-0D00-000022000000}" name="чИзпитани" totalsRowFunction="sum" dataDxfId="1530" totalsRowDxfId="1529">
      <calculatedColumnFormula>N(BAZZS[[#This Row],[Изпитани]])*BAZZS[[#This Row],[кИзпитващ]]</calculatedColumnFormula>
    </tableColumn>
    <tableColumn id="33" xr3:uid="{00000000-0010-0000-0D00-000021000000}" name="чTO" totalsRowFunction="sum" dataDxfId="1528" totalsRowDxfId="1527">
      <calculatedColumnFormula>N(BAZZS[[#This Row],[ТО]])*BAZZS[[#This Row],[кTO]]</calculatedColumnFormula>
    </tableColumn>
    <tableColumn id="1" xr3:uid="{00000000-0010-0000-0D00-000001000000}" name="Дисциплина" dataDxfId="1526" totalsRowDxfId="1525"/>
    <tableColumn id="2" xr3:uid="{00000000-0010-0000-0D00-000002000000}" name="Специалност" dataDxfId="1524" totalsRowDxfId="1523"/>
    <tableColumn id="3" xr3:uid="{00000000-0010-0000-0D00-000003000000}" name="Факултет" dataDxfId="1522" totalsRowDxfId="1521"/>
    <tableColumn id="4" xr3:uid="{00000000-0010-0000-0D00-000004000000}" name="Вид" dataDxfId="1520" totalsRowDxfId="1519"/>
    <tableColumn id="5" xr3:uid="{00000000-0010-0000-0D00-000005000000}" name="Курс" dataDxfId="1518" totalsRowDxfId="1517"/>
    <tableColumn id="6" xr3:uid="{00000000-0010-0000-0D00-000006000000}" name="ФормаОб" dataDxfId="1516" totalsRowDxfId="1515"/>
    <tableColumn id="7" xr3:uid="{00000000-0010-0000-0D00-000007000000}" name="Студенти" dataDxfId="1514" totalsRowDxfId="1513"/>
    <tableColumn id="8" xr3:uid="{00000000-0010-0000-0D00-000008000000}" name="Лекции" dataDxfId="1512" totalsRowDxfId="1511"/>
    <tableColumn id="9" xr3:uid="{00000000-0010-0000-0D00-000009000000}" name="Упражнения" dataDxfId="1510" totalsRowDxfId="1509"/>
    <tableColumn id="10" xr3:uid="{00000000-0010-0000-0D00-00000A000000}" name="Език" dataDxfId="1508" totalsRowDxfId="1507"/>
    <tableColumn id="11" xr3:uid="{00000000-0010-0000-0D00-00000B000000}" name="ФормаОц" dataDxfId="1506" totalsRowDxfId="1505"/>
    <tableColumn id="12" xr3:uid="{00000000-0010-0000-0D00-00000C000000}" name="Изпитващ" dataDxfId="1504" totalsRowDxfId="1503"/>
    <tableColumn id="13" xr3:uid="{00000000-0010-0000-0D00-00000D000000}" name="Изпитани" dataDxfId="1502" totalsRowDxfId="1501"/>
    <tableColumn id="22" xr3:uid="{00000000-0010-0000-0D00-000016000000}" name="ТО" dataDxfId="1500" totalsRowDxfId="1499"/>
    <tableColumn id="23" xr3:uid="{00000000-0010-0000-0D00-000017000000}" name="КР" totalsRowFunction="sum" dataDxfId="1498" totalsRowDxfId="1497"/>
    <tableColumn id="15" xr3:uid="{18179E47-5D99-4107-893E-F37B5917E8E4}" name="id_РД" dataDxfId="1496" totalsRowDxfId="1495"/>
    <tableColumn id="16" xr3:uid="{1AFADE6F-6643-4B35-A4D8-633C2206E17F}" name="Дисциплина1" dataDxfId="1494" totalsRowDxfId="1493"/>
    <tableColumn id="17" xr3:uid="{0E0C6EFA-7ED3-4F4D-9487-E9C505BDB874}" name="тСпециалностиМП" dataDxfId="1492" totalsRowDxfId="1491"/>
    <tableColumn id="19" xr3:uid="{E6FE9CD6-EDB1-41B9-A134-E5D27303FC63}" name="Факултет1" dataDxfId="1490" totalsRowDxfId="1489"/>
    <tableColumn id="18" xr3:uid="{53DBF812-1D7C-49E1-93E5-0DB17BEAFF11}" name="нацид|монСпециалностМП" dataDxfId="1488" totalsRowDxfId="1487"/>
    <tableColumn id="14" xr3:uid="{4905D03A-1FFE-461C-816F-2711E4751F0C}" name="|" dataDxfId="1486" totalsRowDxfId="1485">
      <calculatedColumnFormula>N(OFFSET(BAZZS[[#This Row],[|]],-1,0))+1</calculatedColumnFormula>
    </tableColumn>
    <tableColumn id="21" xr3:uid="{10DEC337-ACD6-4B00-9F96-DEBB886C7095}" name="о.нацид|монСпециалностМП" dataDxfId="1484" totalsRowDxfId="1483">
      <calculatedColumnFormula>IF(BAZZS[[#This Row],[уЧасове]],BAZZS[[#This Row],[нацид|монСпециалностМП]],"")</calculatedColumnFormula>
    </tableColumn>
    <tableColumn id="24" xr3:uid="{BFEDC06E-73D2-4381-AFE9-E2CDD47367FD}" name="уЧасове" dataDxfId="1482" totalsRowDxfId="1481">
      <calculatedColumnFormula>SUM(BAZZS[[#This Row],[чЛекции]:[чTO]],N(BAZZS[[#This Row],[КР]])*кКурсова_работа)</calculatedColumnFormula>
    </tableColumn>
  </tableColumns>
  <tableStyleInfo name="TS_Total_Row 2" showFirstColumn="0" showLastColumn="0" showRowStripes="0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E000000}" name="BAZLS" displayName="BAZLS" ref="C84:AJ103" headerRowDxfId="1480" dataDxfId="1478" totalsRowDxfId="1477" headerRowBorderDxfId="1479">
  <tableColumns count="34">
    <tableColumn id="37" xr3:uid="{00000000-0010-0000-0E00-000025000000}" name="пВИД" dataDxfId="1476" totalsRowDxfId="1475">
      <calculatedColumnFormula>IFERROR(AND(LEN(BAZLS[[#This Row],[Дисциплина]]&amp;BAZLS[[#This Row],[Специалност]]&amp;BAZLS[[#This Row],[Факултет]])&gt;0,LEN(BAZLS[[#This Row],[Вид]])=0)*1,0)</calculatedColumnFormula>
    </tableColumn>
    <tableColumn id="27" xr3:uid="{00000000-0010-0000-0E00-00001B000000}" name="пСтуденти" dataDxfId="1474" totalsRowDxfId="1473">
      <calculatedColumnFormula>AND(BAZLS[[#This Row],[Дисциплина]]&lt;&gt;0,OR(N(BAZLS[[#This Row],[Лекции]])&lt;&gt;0,N(BAZLS[[#This Row],[Упражнения]])&lt;&gt;0),N(BAZLS[[#This Row],[Студенти]])=0)*1</calculatedColumnFormula>
    </tableColumn>
    <tableColumn id="28" xr3:uid="{00000000-0010-0000-0E00-00001C000000}" name="пИзпитани" dataDxfId="1472" totalsRowDxfId="1471">
      <calculatedColumnFormula>AND(N(BAZLS[[#This Row],[Изпитани]])&gt;0,BAZLS[[#This Row],[Изпитващ]]=0)*1</calculatedColumnFormula>
    </tableColumn>
    <tableColumn id="29" xr3:uid="{00000000-0010-0000-0E00-00001D000000}" name="кЕзик" dataDxfId="1470" totalsRowDxfId="1469">
      <calculatedColumnFormula>IFERROR(VLOOKUP(BAZLS[[#This Row],[Език]],Коефициент_Eзик[],2,0),0)</calculatedColumnFormula>
    </tableColumn>
    <tableColumn id="30" xr3:uid="{00000000-0010-0000-0E00-00001E000000}" name="кСтуденти" dataDxfId="1468" totalsRowDxfId="1467">
      <calculatedColumnFormula array="1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calculatedColumnFormula>
    </tableColumn>
    <tableColumn id="31" xr3:uid="{00000000-0010-0000-0E00-00001F000000}" name="кИзпитващ" dataDxfId="1466" totalsRowDxfId="1465">
      <calculatedColumnFormula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calculatedColumnFormula>
    </tableColumn>
    <tableColumn id="32" xr3:uid="{00000000-0010-0000-0E00-000020000000}" name="кTO" dataDxfId="1464" totalsRowDxfId="1463">
      <calculatedColumnFormula>IFERROR(VLOOKUP(BAZLS[[#This Row],[ФормаОб]],тТО[[обФорма]:[Коеф.]],2,0),0)</calculatedColumnFormula>
    </tableColumn>
    <tableColumn id="35" xr3:uid="{00000000-0010-0000-0E00-000023000000}" name="чЛекции" dataDxfId="1462" totalsRowDxfId="1461">
      <calculatedColumnFormula>N(BAZLS[[#This Row],[Лекции]])*BAZLS[[#This Row],[кЕзик]]*BAZLS[[#This Row],[кСтуденти]]*кЛекции</calculatedColumnFormula>
    </tableColumn>
    <tableColumn id="36" xr3:uid="{00000000-0010-0000-0E00-000024000000}" name="чУпражнения" dataDxfId="1460" totalsRowDxfId="1459">
      <calculatedColumnFormula>N(BAZLS[[#This Row],[Упражнения]])*BAZLS[[#This Row],[кЕзик]]*BAZLS[[#This Row],[кСтуденти]]*кУпражнение</calculatedColumnFormula>
    </tableColumn>
    <tableColumn id="34" xr3:uid="{00000000-0010-0000-0E00-000022000000}" name="чИзпитани" totalsRowFunction="sum" dataDxfId="1458" totalsRowDxfId="1457">
      <calculatedColumnFormula>N(BAZLS[[#This Row],[Изпитани]])*BAZLS[[#This Row],[кИзпитващ]]</calculatedColumnFormula>
    </tableColumn>
    <tableColumn id="33" xr3:uid="{00000000-0010-0000-0E00-000021000000}" name="чTO" totalsRowFunction="sum" dataDxfId="1456" totalsRowDxfId="1455">
      <calculatedColumnFormula>N(BAZLS[[#This Row],[ТО]])*BAZLS[[#This Row],[кTO]]</calculatedColumnFormula>
    </tableColumn>
    <tableColumn id="1" xr3:uid="{00000000-0010-0000-0E00-000001000000}" name="Дисциплина" dataDxfId="1454" totalsRowDxfId="1453"/>
    <tableColumn id="2" xr3:uid="{00000000-0010-0000-0E00-000002000000}" name="Специалност" dataDxfId="1452" totalsRowDxfId="1451"/>
    <tableColumn id="3" xr3:uid="{00000000-0010-0000-0E00-000003000000}" name="Факултет" dataDxfId="1450" totalsRowDxfId="1449"/>
    <tableColumn id="4" xr3:uid="{00000000-0010-0000-0E00-000004000000}" name="Вид" dataDxfId="1448" totalsRowDxfId="1447"/>
    <tableColumn id="5" xr3:uid="{00000000-0010-0000-0E00-000005000000}" name="Курс" dataDxfId="1446" totalsRowDxfId="1445"/>
    <tableColumn id="6" xr3:uid="{00000000-0010-0000-0E00-000006000000}" name="ФормаОб" dataDxfId="1444" totalsRowDxfId="1443"/>
    <tableColumn id="7" xr3:uid="{00000000-0010-0000-0E00-000007000000}" name="Студенти" dataDxfId="1442" totalsRowDxfId="1441"/>
    <tableColumn id="8" xr3:uid="{00000000-0010-0000-0E00-000008000000}" name="Лекции" dataDxfId="1440" totalsRowDxfId="1439"/>
    <tableColumn id="9" xr3:uid="{00000000-0010-0000-0E00-000009000000}" name="Упражнения" dataDxfId="1438" totalsRowDxfId="1437"/>
    <tableColumn id="10" xr3:uid="{00000000-0010-0000-0E00-00000A000000}" name="Език" dataDxfId="1436" totalsRowDxfId="1435"/>
    <tableColumn id="11" xr3:uid="{00000000-0010-0000-0E00-00000B000000}" name="ФормаОц" dataDxfId="1434" totalsRowDxfId="1433"/>
    <tableColumn id="12" xr3:uid="{00000000-0010-0000-0E00-00000C000000}" name="Изпитващ" dataDxfId="1432" totalsRowDxfId="1431"/>
    <tableColumn id="13" xr3:uid="{00000000-0010-0000-0E00-00000D000000}" name="Изпитани" dataDxfId="1430" totalsRowDxfId="1429"/>
    <tableColumn id="22" xr3:uid="{00000000-0010-0000-0E00-000016000000}" name="ТО" dataDxfId="1428" totalsRowDxfId="1427"/>
    <tableColumn id="23" xr3:uid="{00000000-0010-0000-0E00-000017000000}" name="КР" totalsRowFunction="sum" dataDxfId="1426" totalsRowDxfId="1425"/>
    <tableColumn id="15" xr3:uid="{F1EAF105-09B7-4790-A907-E068E0E76D3C}" name="id_РД" dataDxfId="1424" totalsRowDxfId="1423"/>
    <tableColumn id="16" xr3:uid="{CBF6C5FA-CF51-4E3C-B2A1-77D753740CE5}" name="Дисциплина1" dataDxfId="1422" totalsRowDxfId="1421"/>
    <tableColumn id="17" xr3:uid="{46DD2D7B-CFD4-4A44-8A75-B303ADB4D941}" name="тСпециалностиМП" dataDxfId="1420" totalsRowDxfId="1419"/>
    <tableColumn id="18" xr3:uid="{FD45BC71-B5B3-4E29-A5EE-0230C89EC150}" name="Факултет1" dataDxfId="1418" totalsRowDxfId="1417"/>
    <tableColumn id="19" xr3:uid="{89F108A0-0632-4937-8077-9F1D25F8BA45}" name="нацид|монСпециалностМП" dataDxfId="1416" totalsRowDxfId="1415"/>
    <tableColumn id="14" xr3:uid="{799CE5AC-42B9-441D-80FF-F7AB5CCE2191}" name="|" dataDxfId="1414" totalsRowDxfId="1413">
      <calculatedColumnFormula>N(OFFSET(BAZLS[[#This Row],[|]],-1,0))+1</calculatedColumnFormula>
    </tableColumn>
    <tableColumn id="21" xr3:uid="{D7481910-740E-4B77-8081-0AD44E93A724}" name="о.нацид|монСпециалностМП" dataDxfId="1412" totalsRowDxfId="1411">
      <calculatedColumnFormula>IF(BAZLS[[#This Row],[уЧасове]],BAZLS[[#This Row],[нацид|монСпециалностМП]],"")</calculatedColumnFormula>
    </tableColumn>
    <tableColumn id="24" xr3:uid="{903576B7-80B1-4673-98FE-E7ED97078E1B}" name="уЧасове" dataDxfId="1410" totalsRowDxfId="1409">
      <calculatedColumnFormula>SUM(BAZLS[[#This Row],[чЛекции]:[чTO]],N(BAZLS[[#This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F000000}" name="BPZS" displayName="BPZS" ref="C55:AJ65" headerRowDxfId="1408" dataDxfId="1406" totalsRowDxfId="1405" headerRowBorderDxfId="1407">
  <tableColumns count="34">
    <tableColumn id="21" xr3:uid="{2229D51C-EFBA-4C63-AE69-6EF713A4008F}" name="пВидПрактика" dataDxfId="1404" totalsRowDxfId="1403">
      <calculatedColumnFormula>IFERROR(MATCH(BPZS[[#This Row],[ВидПрактика]],T_УчПрактики[Практика и курсова работа],0),0)</calculatedColumnFormula>
    </tableColumn>
    <tableColumn id="19" xr3:uid="{AFD0BB29-4615-4F4D-B18B-AF74D337AE07}" name="уфСтуденти" dataDxfId="1402" totalsRowDxfId="1401">
      <calculatedColumnFormula array="1">IF(BPZS[[#This Row],[пВидПрактика]],INDEX(T_УчПрактики[Студенти],BPZS[[#This Row],[пВидПрактика]]),"-")</calculatedColumnFormula>
    </tableColumn>
    <tableColumn id="22" xr3:uid="{F6DD0EAB-2A14-4494-A0D0-7232FA5D1569}" name="уфГрупа" dataDxfId="1400">
      <calculatedColumnFormula array="1">IF(BPZS[[#This Row],[пВидПрактика]],INDEX(T_УчПрактики[Група],BPZS[[#This Row],[пВидПрактика]])*2,"-")</calculatedColumnFormula>
    </tableColumn>
    <tableColumn id="30" xr3:uid="{02533A36-5B4E-48DA-AD75-389A6DCFECFF}" name="уфДен" dataDxfId="1399" totalsRowDxfId="1398">
      <calculatedColumnFormula array="1">IF(BPZS[[#This Row],[пВидПрактика]],INDEX(T_УчПрактики[Ден],BPZS[[#This Row],[пВидПрактика]])*4,"-")</calculatedColumnFormula>
    </tableColumn>
    <tableColumn id="31" xr3:uid="{DCB5DF21-7090-4630-8A44-863D770CB059}" name="пФорма" dataDxfId="1397" totalsRowDxfId="1396">
      <calculatedColumnFormula>IFERROR(AND(BPZS[[#This Row],[ТО]]&lt;&gt;0,BPZS[[#This Row],[ФормаОб]]=0)*1,0)</calculatedColumnFormula>
    </tableColumn>
    <tableColumn id="16" xr3:uid="{00000000-0010-0000-0F00-000010000000}" name="пИзпитани" dataDxfId="1395" totalsRowDxfId="1394">
      <calculatedColumnFormula>IFERROR(AND(BPZS[[#This Row],[Изпитани]]&lt;&gt;0,LEN(BPZS[[#This Row],[Изпитващ]])=0)*1,0)</calculatedColumnFormula>
    </tableColumn>
    <tableColumn id="14" xr3:uid="{00000000-0010-0000-0F00-00000E000000}" name="кИзпитващ" dataDxfId="1393" totalsRowDxfId="1392">
      <calculatedColumnFormula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calculatedColumnFormula>
    </tableColumn>
    <tableColumn id="13" xr3:uid="{00000000-0010-0000-0F00-00000D000000}" name="кTO" dataDxfId="1391" totalsRowDxfId="1390">
      <calculatedColumnFormula>IFERROR(VLOOKUP(BPZS[[#This Row],[ФормаОб]],тТО[[обФорма]:[Коеф.]],2,0),0)</calculatedColumnFormula>
    </tableColumn>
    <tableColumn id="15" xr3:uid="{00000000-0010-0000-0F00-00000F000000}" name="чПрактика" totalsRowFunction="sum" dataDxfId="1389" totalsRowDxfId="1388">
      <calculatedColumnFormula array="1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calculatedColumnFormula>
    </tableColumn>
    <tableColumn id="17" xr3:uid="{00000000-0010-0000-0F00-000011000000}" name="чИзпитани" totalsRowFunction="sum" dataDxfId="1387" totalsRowDxfId="1386">
      <calculatedColumnFormula>N(BPZS[[#This Row],[Изпитани]])*BPZS[[#This Row],[кИзпитващ]]</calculatedColumnFormula>
    </tableColumn>
    <tableColumn id="18" xr3:uid="{00000000-0010-0000-0F00-000012000000}" name="чTO" dataDxfId="1385" totalsRowDxfId="1384">
      <calculatedColumnFormula>N(BPZS[[#This Row],[ТО]])*BPZS[[#This Row],[кTO]]</calculatedColumnFormula>
    </tableColumn>
    <tableColumn id="1" xr3:uid="{00000000-0010-0000-0F00-000001000000}" name="Наименование на практика/курсова работа" dataDxfId="1383" totalsRowDxfId="1382"/>
    <tableColumn id="2" xr3:uid="{00000000-0010-0000-0F00-000002000000}" name="Специалност" dataDxfId="1381" totalsRowDxfId="1380"/>
    <tableColumn id="3" xr3:uid="{00000000-0010-0000-0F00-000003000000}" name="Факултет" dataDxfId="1379" totalsRowDxfId="1378"/>
    <tableColumn id="4" xr3:uid="{00000000-0010-0000-0F00-000004000000}" name="Вид" dataDxfId="1377" totalsRowDxfId="1376"/>
    <tableColumn id="5" xr3:uid="{00000000-0010-0000-0F00-000005000000}" name="Курс" dataDxfId="1375" totalsRowDxfId="1374"/>
    <tableColumn id="6" xr3:uid="{00000000-0010-0000-0F00-000006000000}" name="ФормаОб" dataDxfId="1373" totalsRowDxfId="1372"/>
    <tableColumn id="7" xr3:uid="{00000000-0010-0000-0F00-000007000000}" name="Студенти" dataDxfId="1371" totalsRowDxfId="1370"/>
    <tableColumn id="26" xr3:uid="{7B9EFB11-BCF4-4224-9939-736610AF771B}" name="ВидПрактика" dataDxfId="1369" totalsRowDxfId="1368"/>
    <tableColumn id="27" xr3:uid="{15C0ED4B-8977-4F06-B63A-1344A796C54F}" name="Група" dataDxfId="1367" totalsRowDxfId="1366"/>
    <tableColumn id="29" xr3:uid="{DD2AD399-22E8-4183-8905-E0EFD6CB128A}" name="Ден" dataDxfId="1365" totalsRowDxfId="1364"/>
    <tableColumn id="8" xr3:uid="{00000000-0010-0000-0F00-000008000000}" name="ФормаОц" dataDxfId="1363" totalsRowDxfId="1362"/>
    <tableColumn id="9" xr3:uid="{00000000-0010-0000-0F00-000009000000}" name="Изпитващ" dataDxfId="1361" totalsRowDxfId="1360"/>
    <tableColumn id="10" xr3:uid="{00000000-0010-0000-0F00-00000A000000}" name="Изпитани" dataDxfId="1359" totalsRowDxfId="1358"/>
    <tableColumn id="11" xr3:uid="{00000000-0010-0000-0F00-00000B000000}" name="ТО" totalsRowFunction="sum" dataDxfId="1357" totalsRowDxfId="1356"/>
    <tableColumn id="12" xr3:uid="{00000000-0010-0000-0F00-00000C000000}" name="КР" totalsRowFunction="sum" dataDxfId="1355" totalsRowDxfId="1354"/>
    <tableColumn id="23" xr3:uid="{24FB887C-1994-46DA-83B9-1AE5A6E4AB2F}" name="id_РД" dataDxfId="1353" totalsRowDxfId="1352"/>
    <tableColumn id="24" xr3:uid="{94F515C8-0BE8-4B97-ACC6-0C2E466614BD}" name="Дисциплина1" dataDxfId="1351" totalsRowDxfId="1350"/>
    <tableColumn id="25" xr3:uid="{A4E2E7CC-854F-4FFF-A973-5692F5CE1F8E}" name="тСпециалностиМП" dataDxfId="1349" totalsRowDxfId="1348"/>
    <tableColumn id="28" xr3:uid="{13524612-325C-4C1F-922D-68436150551A}" name="Факултет1" dataDxfId="1347" totalsRowDxfId="1346"/>
    <tableColumn id="32" xr3:uid="{B94C7716-FB5B-404C-96F1-61985EE6674A}" name="нацид|монСпециалностМП" dataDxfId="1345" totalsRowDxfId="1344"/>
    <tableColumn id="20" xr3:uid="{C56BE3AA-3313-4540-AEE5-A73426B786DC}" name="|" dataDxfId="1343" totalsRowDxfId="1342">
      <calculatedColumnFormula>N(OFFSET(BPZS[[#This Row],[|]],-1,0))+1</calculatedColumnFormula>
    </tableColumn>
    <tableColumn id="34" xr3:uid="{63C0787C-EA88-4F31-A1AD-0C9C09A28BC1}" name="о.нацид|монСпециалностМП" dataDxfId="1341" totalsRowDxfId="1340">
      <calculatedColumnFormula>IF(BPZS[[#This Row],[уЧасове]],BPZS[[#This Row],[нацид|монСпециалностМП]],"")</calculatedColumnFormula>
    </tableColumn>
    <tableColumn id="35" xr3:uid="{8F9883DF-E649-4B7F-B9B5-D07BC9068BEB}" name="уЧасове" dataDxfId="1339" totalsRowDxfId="1338">
      <calculatedColumnFormula>SUM(BPZS[[#This Row],[чПрактика]:[чTO]],N(BPZS[[#This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0000000}" name="BDiplomiraneZS" displayName="BDiplomiraneZS" ref="H70:S78" headerRowDxfId="1337" totalsRowDxfId="1336">
  <tableColumns count="12">
    <tableColumn id="7" xr3:uid="{3A811E23-1F58-438C-A29C-7461570D3C06}" name="кДР" dataDxfId="1335" totalsRowDxfId="1334">
      <calculatedColumnFormula>кДипломна_работа</calculatedColumnFormula>
    </tableColumn>
    <tableColumn id="8" xr3:uid="{B894D547-0CA7-4F9E-BE03-E9873B58BD47}" name="кРецензии" dataDxfId="1333" totalsRowDxfId="1332">
      <calculatedColumnFormula>кРецензия</calculatedColumnFormula>
    </tableColumn>
    <tableColumn id="9" xr3:uid="{D45B29EB-952B-4058-9889-E7C27E1EB69B}" name="кИ/ДИ/З" dataDxfId="1331" totalsRowDxfId="1330">
      <calculatedColumnFormula>кДИ_защита</calculatedColumnFormula>
    </tableColumn>
    <tableColumn id="10" xr3:uid="{6F849D93-2FF0-449D-B07C-D8929C65391D}" name="чДР" dataDxfId="1329" totalsRowDxfId="1328">
      <calculatedColumnFormula>BDiplomiraneZS[[#This Row],[кДР]]*N(BDiplomiraneZS[[#This Row],[ДР]])</calculatedColumnFormula>
    </tableColumn>
    <tableColumn id="11" xr3:uid="{4F338573-66DD-4033-AC29-2F905F694A0B}" name="чРецензии" dataDxfId="1327" totalsRowDxfId="1326">
      <calculatedColumnFormula>BDiplomiraneZS[[#This Row],[кРецензии]]*N(BDiplomiraneZS[[#This Row],[Рецензии]])</calculatedColumnFormula>
    </tableColumn>
    <tableColumn id="12" xr3:uid="{B2F10C44-ED2C-4EA2-B0E7-24FEEECC7083}" name="чИ/ДИ/З" dataDxfId="1325" totalsRowDxfId="1324">
      <calculatedColumnFormula>BDiplomiraneZS[[#This Row],[кИ/ДИ/З]]*N(BDiplomiraneZS[[#This Row],[И/ДИ/З]])</calculatedColumnFormula>
    </tableColumn>
    <tableColumn id="1" xr3:uid="{00000000-0010-0000-1000-000001000000}" name="Специалност" dataDxfId="1323" totalsRowDxfId="1322"/>
    <tableColumn id="2" xr3:uid="{00000000-0010-0000-1000-000002000000}" name="Факултет" dataDxfId="1321" totalsRowDxfId="1320"/>
    <tableColumn id="6" xr3:uid="{8A7E333B-DDDD-4D14-B858-7C8CA4E26073}" name="ФормаОб" dataDxfId="1319" totalsRowDxfId="1318"/>
    <tableColumn id="3" xr3:uid="{00000000-0010-0000-1000-000003000000}" name="ДР" totalsRowFunction="sum" dataDxfId="1317" totalsRowDxfId="1316"/>
    <tableColumn id="4" xr3:uid="{00000000-0010-0000-1000-000004000000}" name="Рецензии" totalsRowFunction="sum" dataDxfId="1315" totalsRowDxfId="1314"/>
    <tableColumn id="5" xr3:uid="{00000000-0010-0000-1000-000005000000}" name="И/ДИ/З" totalsRowFunction="sum" dataDxfId="1313" totalsRowDxfId="1312"/>
  </tableColumns>
  <tableStyleInfo name="TS_Total_Row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Koef.ocenqvane" displayName="Koef.ocenqvane" ref="A77:B79" totalsRowShown="0" headerRowDxfId="1700" headerRowBorderDxfId="1699" tableBorderDxfId="1698" totalsRowBorderDxfId="1697">
  <autoFilter ref="A77:B79" xr:uid="{00000000-0009-0000-0100-000003000000}"/>
  <tableColumns count="2">
    <tableColumn id="1" xr3:uid="{00000000-0010-0000-0200-000001000000}" name="Титуляр/асистент по дисциплина извън ФМИ" dataDxfId="1696"/>
    <tableColumn id="2" xr3:uid="{00000000-0010-0000-0200-000002000000}" name="Коефициент" dataDxfId="1695"/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1000000}" name="BPLS" displayName="BPLS" ref="C109:AJ119" headerRowDxfId="1311" dataDxfId="1309" totalsRowDxfId="1308" headerRowBorderDxfId="1310">
  <tableColumns count="34">
    <tableColumn id="21" xr3:uid="{3B3A69DA-3239-40D4-9E52-E3DCBD025CDC}" name="пВидПрактика" dataDxfId="1307" totalsRowDxfId="1306">
      <calculatedColumnFormula>IFERROR(MATCH(BPLS[[#This Row],[ВидПрактика]],T_Практики[Практика и курсова работа],0),0)</calculatedColumnFormula>
    </tableColumn>
    <tableColumn id="26" xr3:uid="{F76064E4-3ED6-4C87-A09C-7FB57D1F781E}" name="уфСтуденти" dataDxfId="1305" totalsRowDxfId="1304">
      <calculatedColumnFormula array="1">IF(BPLS[[#This Row],[пВидПрактика]],INDEX(T_УчПрактики[Студенти],BPLS[[#This Row],[пВидПрактика]]),"-")</calculatedColumnFormula>
    </tableColumn>
    <tableColumn id="23" xr3:uid="{F0394635-D468-4E96-8B0E-124D57162CFA}" name="уфГрупа" dataDxfId="1303" totalsRowDxfId="1302">
      <calculatedColumnFormula array="1">IF(BPLS[[#This Row],[пВидПрактика]],INDEX(T_УчПрактики[Група],BPLS[[#This Row],[пВидПрактика]])*2,"-")</calculatedColumnFormula>
    </tableColumn>
    <tableColumn id="24" xr3:uid="{7378E827-6AAD-47AA-B370-6CD0AE59ECFC}" name="уфДен" dataDxfId="1301" totalsRowDxfId="1300">
      <calculatedColumnFormula array="1">IF(BPLS[[#This Row],[пВидПрактика]],INDEX(T_УчПрактики[Ден],BPLS[[#This Row],[пВидПрактика]])*4,"-")</calculatedColumnFormula>
    </tableColumn>
    <tableColumn id="16" xr3:uid="{00000000-0010-0000-1100-000010000000}" name="пФорма" dataDxfId="1299" totalsRowDxfId="1298">
      <calculatedColumnFormula>IFERROR(AND(BPLS[[#This Row],[ТО]]&lt;&gt;0,BPLS[[#This Row],[ФормаОб]]=0)*1,0)</calculatedColumnFormula>
    </tableColumn>
    <tableColumn id="14" xr3:uid="{00000000-0010-0000-1100-00000E000000}" name="пИзпитани" dataDxfId="1297" totalsRowDxfId="1296">
      <calculatedColumnFormula>IFERROR(AND(BPLS[[#This Row],[Изпитани]]&lt;&gt;0,LEN(BPLS[[#This Row],[Изпитващ]])=0)*1,0)</calculatedColumnFormula>
    </tableColumn>
    <tableColumn id="13" xr3:uid="{00000000-0010-0000-1100-00000D000000}" name="кИзпитващ" dataDxfId="1295" totalsRowDxfId="1294">
      <calculatedColumnFormula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calculatedColumnFormula>
    </tableColumn>
    <tableColumn id="18" xr3:uid="{00000000-0010-0000-1100-000012000000}" name="кTO" dataDxfId="1293" totalsRowDxfId="1292">
      <calculatedColumnFormula>IFERROR(VLOOKUP(BPLS[[#This Row],[ФормаОб]],тТО[[обФорма]:[Коеф.]],2,0),0)</calculatedColumnFormula>
    </tableColumn>
    <tableColumn id="25" xr3:uid="{254F26B3-091D-4E71-BB24-CF09CDC1E914}" name="чПрактика" dataDxfId="1291" totalsRowDxfId="1290">
      <calculatedColumnFormula array="1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calculatedColumnFormula>
    </tableColumn>
    <tableColumn id="15" xr3:uid="{00000000-0010-0000-1100-00000F000000}" name="чИзпитани" totalsRowFunction="sum" dataDxfId="1289" totalsRowDxfId="1288">
      <calculatedColumnFormula>N(BPLS[[#This Row],[Изпитани]])*BPLS[[#This Row],[кИзпитващ]]</calculatedColumnFormula>
    </tableColumn>
    <tableColumn id="17" xr3:uid="{00000000-0010-0000-1100-000011000000}" name="чTO" totalsRowFunction="sum" dataDxfId="1287" totalsRowDxfId="1286">
      <calculatedColumnFormula>N(BPLS[[#This Row],[ТО]])*BPLS[[#This Row],[кTO]]</calculatedColumnFormula>
    </tableColumn>
    <tableColumn id="1" xr3:uid="{00000000-0010-0000-1100-000001000000}" name="Наименование на практика/курсова работа" dataDxfId="1285" totalsRowDxfId="1284"/>
    <tableColumn id="2" xr3:uid="{00000000-0010-0000-1100-000002000000}" name="Специалност" dataDxfId="1283" totalsRowDxfId="1282"/>
    <tableColumn id="3" xr3:uid="{00000000-0010-0000-1100-000003000000}" name="Факултет" dataDxfId="1281" totalsRowDxfId="1280"/>
    <tableColumn id="4" xr3:uid="{00000000-0010-0000-1100-000004000000}" name="Вид" dataDxfId="1279" totalsRowDxfId="1278"/>
    <tableColumn id="5" xr3:uid="{00000000-0010-0000-1100-000005000000}" name="Курс" dataDxfId="1277" totalsRowDxfId="1276"/>
    <tableColumn id="6" xr3:uid="{00000000-0010-0000-1100-000006000000}" name="ФормаОб" dataDxfId="1275" totalsRowDxfId="1274"/>
    <tableColumn id="7" xr3:uid="{00000000-0010-0000-1100-000007000000}" name="Студенти" dataDxfId="1273" totalsRowDxfId="1272"/>
    <tableColumn id="19" xr3:uid="{45CC6937-F759-42E1-8320-116CF2CBDB1E}" name="ВидПрактика" dataDxfId="1271" totalsRowDxfId="1270"/>
    <tableColumn id="22" xr3:uid="{3ABCF4E1-5368-4E6A-BF10-3E6F75C6FAE3}" name="Група" dataDxfId="1269" totalsRowDxfId="1268"/>
    <tableColumn id="20" xr3:uid="{128891E8-8987-42CA-99C7-4FA7F7A96A8C}" name="Ден" dataDxfId="1267" totalsRowDxfId="1266"/>
    <tableColumn id="8" xr3:uid="{00000000-0010-0000-1100-000008000000}" name="ФормаОц" dataDxfId="1265" totalsRowDxfId="1264"/>
    <tableColumn id="9" xr3:uid="{00000000-0010-0000-1100-000009000000}" name="Изпитващ" dataDxfId="1263" totalsRowDxfId="1262"/>
    <tableColumn id="10" xr3:uid="{00000000-0010-0000-1100-00000A000000}" name="Изпитани" dataDxfId="1261" totalsRowDxfId="1260"/>
    <tableColumn id="11" xr3:uid="{00000000-0010-0000-1100-00000B000000}" name="ТО" totalsRowFunction="sum" dataDxfId="1259" totalsRowDxfId="1258"/>
    <tableColumn id="12" xr3:uid="{00000000-0010-0000-1100-00000C000000}" name="КР" totalsRowFunction="sum" dataDxfId="1257" totalsRowDxfId="1256"/>
    <tableColumn id="28" xr3:uid="{321B8D21-AA44-455E-918A-BA93866B22F6}" name="id_РД" dataDxfId="1255" totalsRowDxfId="1254"/>
    <tableColumn id="29" xr3:uid="{3D02D1F9-8015-4537-AE5C-AACEB1A3E360}" name="Дисциплина1" dataDxfId="1253" totalsRowDxfId="1252"/>
    <tableColumn id="30" xr3:uid="{1F0354CA-2586-4E2C-8147-1DC8F5586A88}" name="тСпециалностиМП" dataDxfId="1251" totalsRowDxfId="1250"/>
    <tableColumn id="31" xr3:uid="{52AF6AA9-0418-4A63-B364-DF46A75D2C08}" name="Факултет1" dataDxfId="1249" totalsRowDxfId="1248"/>
    <tableColumn id="32" xr3:uid="{57F66B44-9BA1-4AAE-A78D-1CB4F04BA6AE}" name="нацид|монСпециалностМП" dataDxfId="1247" totalsRowDxfId="1246"/>
    <tableColumn id="27" xr3:uid="{2D8BC44F-05E6-4D5A-9F2F-0764EC23DD40}" name="|" dataDxfId="1245" totalsRowDxfId="1244">
      <calculatedColumnFormula>N(OFFSET(BPLS[[#This Row],[|]],-1,0))+1</calculatedColumnFormula>
    </tableColumn>
    <tableColumn id="34" xr3:uid="{0BA55D89-EA36-43B1-9503-3B0F107BAC10}" name="о.нацид|монСпециалностМП" dataDxfId="1243" totalsRowDxfId="1242">
      <calculatedColumnFormula>IF(BPLS[[#This Row],[уЧасове]],BPLS[[#This Row],[нацид|монСпециалностМП]],"")</calculatedColumnFormula>
    </tableColumn>
    <tableColumn id="35" xr3:uid="{DC1E7631-D360-4A2C-BAF5-EE8B1AFA0E58}" name="уЧасове" dataDxfId="1241" totalsRowDxfId="1240">
      <calculatedColumnFormula>SUM(BPLS[[#This Row],[чПрактика]:[чTO]],N(BPLS[[#This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2000000}" name="BDiplomiraneLS" displayName="BDiplomiraneLS" ref="H124:S132" headerRowDxfId="1239" dataDxfId="1238" totalsRowDxfId="1237">
  <tableColumns count="12">
    <tableColumn id="10" xr3:uid="{FC6C3D60-0472-4A63-8CB5-D3B11147BE9B}" name="кДР" dataDxfId="1236" totalsRowDxfId="1235">
      <calculatedColumnFormula>кДипломна_работа</calculatedColumnFormula>
    </tableColumn>
    <tableColumn id="11" xr3:uid="{4175299A-FA3C-4A08-B854-5E6FC2A0903C}" name="кРецензии" dataDxfId="1234" totalsRowDxfId="1233">
      <calculatedColumnFormula>кРецензия</calculatedColumnFormula>
    </tableColumn>
    <tableColumn id="12" xr3:uid="{42592316-F182-43B6-A390-D2C323872961}" name="кИ/ДИ/З" dataDxfId="1232" totalsRowDxfId="1231">
      <calculatedColumnFormula>VLOOKUP("ДИ/*",ТкрДРрецДИ[[КР_ДР_Рец_ДИ]:[коеф]],2,0)</calculatedColumnFormula>
    </tableColumn>
    <tableColumn id="7" xr3:uid="{5E7F404F-E7A4-42B0-BD73-6B1BD149A178}" name="чДР" dataDxfId="1230" totalsRowDxfId="1229">
      <calculatedColumnFormula>BDiplomiraneLS[[#This Row],[кДР]]*N(BDiplomiraneLS[[#This Row],[ДР]])</calculatedColumnFormula>
    </tableColumn>
    <tableColumn id="8" xr3:uid="{B30916DB-233A-48CB-8D92-B61BDA33F978}" name="чРецензии" dataDxfId="1228" totalsRowDxfId="1227">
      <calculatedColumnFormula>BDiplomiraneLS[[#This Row],[кРецензии]]*N(BDiplomiraneLS[[#This Row],[Рецензии]])</calculatedColumnFormula>
    </tableColumn>
    <tableColumn id="9" xr3:uid="{394E72D0-38FA-4BAB-B25A-BD81D9A02074}" name="чИ/ДИ/З" dataDxfId="1226" totalsRowDxfId="1225">
      <calculatedColumnFormula>BDiplomiraneLS[[#This Row],[кИ/ДИ/З]]*N(BDiplomiraneLS[[#This Row],[И/ДИ/З]])</calculatedColumnFormula>
    </tableColumn>
    <tableColumn id="1" xr3:uid="{00000000-0010-0000-1200-000001000000}" name="Специалност" dataDxfId="1224" totalsRowDxfId="1223"/>
    <tableColumn id="2" xr3:uid="{00000000-0010-0000-1200-000002000000}" name="Факултет" dataDxfId="1222" totalsRowDxfId="1221"/>
    <tableColumn id="3" xr3:uid="{00000000-0010-0000-1200-000003000000}" name="ФормаОб" totalsRowFunction="sum" dataDxfId="1220" totalsRowDxfId="1219"/>
    <tableColumn id="4" xr3:uid="{00000000-0010-0000-1200-000004000000}" name="ДР" totalsRowFunction="sum" dataDxfId="1218" totalsRowDxfId="1217"/>
    <tableColumn id="5" xr3:uid="{00000000-0010-0000-1200-000005000000}" name="Рецензии" totalsRowFunction="sum" dataDxfId="1216" totalsRowDxfId="1215"/>
    <tableColumn id="6" xr3:uid="{44079C03-399F-41D4-B7E4-907CDA0AAEE7}" name="И/ДИ/З" dataDxfId="1214" totalsRowDxfId="1213"/>
  </tableColumns>
  <tableStyleInfo name="TS_Total_Row 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3000000}" name="PotokB" displayName="PotokB" ref="N138:W151" headerRowDxfId="1212" dataDxfId="1211" totalsRowDxfId="1210">
  <tableColumns count="10">
    <tableColumn id="1" xr3:uid="{00000000-0010-0000-1300-000001000000}" name="Дисциплина" dataDxfId="1209" totalsRowDxfId="1208"/>
    <tableColumn id="2" xr3:uid="{00000000-0010-0000-1300-000002000000}" name="Програма" dataDxfId="1207" totalsRowDxfId="1206"/>
    <tableColumn id="3" xr3:uid="{00000000-0010-0000-1300-000003000000}" name="Специалност" dataDxfId="1205" totalsRowDxfId="1204"/>
    <tableColumn id="4" xr3:uid="{00000000-0010-0000-1300-000004000000}" name="Факултет" dataDxfId="1203" totalsRowDxfId="1202"/>
    <tableColumn id="5" xr3:uid="{00000000-0010-0000-1300-000005000000}" name="Вид" dataDxfId="1201" totalsRowDxfId="1200"/>
    <tableColumn id="6" xr3:uid="{00000000-0010-0000-1300-000006000000}" name="Курс" dataDxfId="1199" totalsRowDxfId="1198"/>
    <tableColumn id="7" xr3:uid="{00000000-0010-0000-1300-000007000000}" name="ФормаОб" dataDxfId="1197" totalsRowDxfId="1196"/>
    <tableColumn id="8" xr3:uid="{00000000-0010-0000-1300-000008000000}" name="ПОТОК" dataDxfId="1195" totalsRowDxfId="1194"/>
    <tableColumn id="9" xr3:uid="{00000000-0010-0000-1300-000009000000}" name="ГРУПА" dataDxfId="1193" totalsRowDxfId="1192"/>
    <tableColumn id="10" xr3:uid="{00000000-0010-0000-1300-00000A000000}" name="Семестър" totalsRowFunction="count" dataDxfId="1191" totalsRowDxfId="1190"/>
  </tableColumns>
  <tableStyleInfo name="TS_Total_Row 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4000000}" name="Table29" displayName="Table29" ref="B155:AD155" headerRowCount="0" totalsRowShown="0" headerRowDxfId="1189" dataDxfId="1188">
  <tableColumns count="29">
    <tableColumn id="1" xr3:uid="{00000000-0010-0000-1400-000001000000}" name="HR3" headerRowDxfId="1187" dataDxfId="1186"/>
    <tableColumn id="2" xr3:uid="{00000000-0010-0000-1400-000002000000}" name="Column2" headerRowDxfId="1185" dataDxfId="1184"/>
    <tableColumn id="3" xr3:uid="{00000000-0010-0000-1400-000003000000}" name="Column3" headerRowDxfId="1183" dataDxfId="1182"/>
    <tableColumn id="4" xr3:uid="{00000000-0010-0000-1400-000004000000}" name="Column4" headerRowDxfId="1181" dataDxfId="1180"/>
    <tableColumn id="5" xr3:uid="{00000000-0010-0000-1400-000005000000}" name="Column5" headerRowDxfId="1179" dataDxfId="1178"/>
    <tableColumn id="6" xr3:uid="{00000000-0010-0000-1400-000006000000}" name="Column6" headerRowDxfId="1177" dataDxfId="1176"/>
    <tableColumn id="7" xr3:uid="{00000000-0010-0000-1400-000007000000}" name="Column7" headerRowDxfId="1175" dataDxfId="1174"/>
    <tableColumn id="8" xr3:uid="{00000000-0010-0000-1400-000008000000}" name="Column8" headerRowDxfId="1173" dataDxfId="1172"/>
    <tableColumn id="9" xr3:uid="{00000000-0010-0000-1400-000009000000}" name="Column9" headerRowDxfId="1171" dataDxfId="1170"/>
    <tableColumn id="10" xr3:uid="{00000000-0010-0000-1400-00000A000000}" name="Column10" headerRowDxfId="1169" dataDxfId="1168"/>
    <tableColumn id="11" xr3:uid="{00000000-0010-0000-1400-00000B000000}" name="Column11" headerRowDxfId="1167" dataDxfId="1166"/>
    <tableColumn id="12" xr3:uid="{00000000-0010-0000-1400-00000C000000}" name="Column12" headerRowDxfId="1165" dataDxfId="1164"/>
    <tableColumn id="13" xr3:uid="{00000000-0010-0000-1400-00000D000000}" name="Column13" headerRowDxfId="1163" dataDxfId="1162"/>
    <tableColumn id="14" xr3:uid="{00000000-0010-0000-1400-00000E000000}" name="Column14" headerRowDxfId="1161" dataDxfId="1160"/>
    <tableColumn id="15" xr3:uid="{00000000-0010-0000-1400-00000F000000}" name="Column15" headerRowDxfId="1159" dataDxfId="1158"/>
    <tableColumn id="16" xr3:uid="{00000000-0010-0000-1400-000010000000}" name="Column16" headerRowDxfId="1157" dataDxfId="1156"/>
    <tableColumn id="17" xr3:uid="{00000000-0010-0000-1400-000011000000}" name="Column17" headerRowDxfId="1155" dataDxfId="1154"/>
    <tableColumn id="18" xr3:uid="{00000000-0010-0000-1400-000012000000}" name="Column18" headerRowDxfId="1153" dataDxfId="1152"/>
    <tableColumn id="19" xr3:uid="{00000000-0010-0000-1400-000013000000}" name="Column19" headerRowDxfId="1151" dataDxfId="1150"/>
    <tableColumn id="20" xr3:uid="{00000000-0010-0000-1400-000014000000}" name="Column20" headerRowDxfId="1149" dataDxfId="1148"/>
    <tableColumn id="21" xr3:uid="{00000000-0010-0000-1400-000015000000}" name="Column21" headerRowDxfId="1147" dataDxfId="1146"/>
    <tableColumn id="22" xr3:uid="{00000000-0010-0000-1400-000016000000}" name="Column22" headerRowDxfId="1145" dataDxfId="1144"/>
    <tableColumn id="23" xr3:uid="{00000000-0010-0000-1400-000017000000}" name="Column23" headerRowDxfId="1143" dataDxfId="1142"/>
    <tableColumn id="24" xr3:uid="{00000000-0010-0000-1400-000018000000}" name="Column24" headerRowDxfId="1141" dataDxfId="1140"/>
    <tableColumn id="25" xr3:uid="{00000000-0010-0000-1400-000019000000}" name="Column25" headerRowDxfId="1139" dataDxfId="1138"/>
    <tableColumn id="26" xr3:uid="{00000000-0010-0000-1400-00001A000000}" name="Column26" headerRowDxfId="1137" dataDxfId="1136"/>
    <tableColumn id="27" xr3:uid="{00000000-0010-0000-1400-00001B000000}" name="Column27" headerRowDxfId="1135" dataDxfId="1134"/>
    <tableColumn id="28" xr3:uid="{00000000-0010-0000-1400-00001C000000}" name="Column28" headerRowDxfId="1133" dataDxfId="1132"/>
    <tableColumn id="29" xr3:uid="{00000000-0010-0000-1400-00001D000000}" name="Column29" headerRowDxfId="1131" dataDxfId="1130"/>
  </tableColumns>
  <tableStyleInfo name="TS_Total_Row" showFirstColumn="0" showLastColumn="0" showRowStripes="0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67BCD34C-7FA3-4A8B-88FA-5D724C4EFFF6}" name="BDiplomiraneLS1" displayName="BDiplomiraneLS1" ref="AF124:AJ132" totalsRowShown="0" headerRowDxfId="1129" dataDxfId="1127" headerRowBorderDxfId="1128" tableBorderDxfId="1126">
  <autoFilter ref="AF124:AJ132" xr:uid="{67BCD34C-7FA3-4A8B-88FA-5D724C4EFFF6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5" xr3:uid="{222179FA-F5C8-464B-99AE-969605B8762F}" name="СпециалностМП" dataDxfId="1125">
      <calculatedColumnFormula>"*"&amp;BDiplomiraneLS[[#This Row],[Специалност]]&amp;"*\"&amp;BDiplomiraneLS[[#This Row],[Факултет]]&amp;"\б"&amp;LEFT(BDiplomiraneLS[[#This Row],[ФормаОб]],1)</calculatedColumnFormula>
    </tableColumn>
    <tableColumn id="1" xr3:uid="{54A606BC-9646-4DE0-BF0E-E934F59DE005}" name="нацид|монСпециалностМП" dataDxfId="1124">
      <calculatedColumnFormula>IFERROR(VLOOKUP(BDiplomiraneLS1[[#This Row],[СпециалностМП]],EducPlans_кодНАЦИД_Спец[[кодСпецДР]:[кодНАЦИД]],3,0),"")</calculatedColumnFormula>
    </tableColumn>
    <tableColumn id="4" xr3:uid="{3E29B501-41CB-494C-BB84-A2CBD248FB51}" name="|" dataDxfId="1123">
      <calculatedColumnFormula>N(OFFSET(BDiplomiraneLS1[[#This Row],[|]],-1,0))+1</calculatedColumnFormula>
    </tableColumn>
    <tableColumn id="2" xr3:uid="{FE50AA30-4E54-4723-A50B-E0BE24DE4F87}" name="о.нацид|монСпециалностМП" dataDxfId="1122">
      <calculatedColumnFormula>IF(BDiplomiraneLS1[[#This Row],[уЧасове]],BDiplomiraneLS1[[#This Row],[нацид|монСпециалностМП]],"")</calculatedColumnFormula>
    </tableColumn>
    <tableColumn id="3" xr3:uid="{572B0D39-6D7E-4B34-BC11-A15A49EAB53D}" name="уЧасове" dataDxfId="1121">
      <calculatedColumnFormula>SUM(BDiplomiraneLS[[#This Row],[чДР]:[чИ/ДИ/З]])</calculatedColumnFormula>
    </tableColumn>
  </tableColumns>
  <tableStyleInfo name="TS_Total_Row 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85702710-5440-450E-A9DC-CA1292FC96FF}" name="BDiplomiraneZS1" displayName="BDiplomiraneZS1" ref="AF70:AJ78" totalsRowShown="0" headerRowDxfId="1120" dataDxfId="1118" headerRowBorderDxfId="1119" tableBorderDxfId="1117">
  <autoFilter ref="AF70:AJ78" xr:uid="{85702710-5440-450E-A9DC-CA1292FC96F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3" xr3:uid="{4F488D43-BA3D-4FE4-AB63-4536B6D0193F}" name="СпециалностМП" dataDxfId="1116">
      <calculatedColumnFormula>"*"&amp;BDiplomiraneZS[[#This Row],[Специалност]]&amp;"*\"&amp;BDiplomiraneZS[[#This Row],[Факултет]]&amp;"\б"&amp;LEFT(BDiplomiraneZS[[#This Row],[ФормаОб]],1)</calculatedColumnFormula>
    </tableColumn>
    <tableColumn id="1" xr3:uid="{50021635-0233-404D-AB68-D87ADF14C169}" name="нацид|монСпециалностМП" dataDxfId="1115">
      <calculatedColumnFormula>IFERROR(VLOOKUP(BDiplomiraneZS1[[#This Row],[СпециалностМП]],EducPlans_кодНАЦИД_Спец[[кодСпецДР]:[кодНАЦИД]],3,0),"")</calculatedColumnFormula>
    </tableColumn>
    <tableColumn id="4" xr3:uid="{303A3C47-7345-4CD3-9FB1-1BF5A5FA3B69}" name="|" dataDxfId="1114">
      <calculatedColumnFormula>N(OFFSET(BDiplomiraneZS1[[#This Row],[|]],-1,0))+1</calculatedColumnFormula>
    </tableColumn>
    <tableColumn id="2" xr3:uid="{E9ED6F78-B12C-401F-B6D9-60255C40DEC9}" name="о.нацид|монСпециалностМП" dataDxfId="1113">
      <calculatedColumnFormula>IF(BDiplomiraneZS1[[#This Row],[уЧасове]],BDiplomiraneZS1[[#This Row],[нацид|монСпециалностМП]],"")</calculatedColumnFormula>
    </tableColumn>
    <tableColumn id="6" xr3:uid="{EEA0F5C5-3C16-4180-B97C-95CE999438AD}" name="уЧасове" dataDxfId="1112">
      <calculatedColumnFormula>SUM(BDiplomiraneZS[[#This Row],[чДР]:[чИ/ДИ/З]])</calculatedColumnFormula>
    </tableColumn>
  </tableColumns>
  <tableStyleInfo name="TS_Total_Row 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5000000}" name="MAZZS" displayName="MAZZS" ref="C30:AJ49" headerRowDxfId="1111" dataDxfId="1109" totalsRowDxfId="1108" headerRowBorderDxfId="1110">
  <tableColumns count="34">
    <tableColumn id="27" xr3:uid="{00000000-0010-0000-1500-00001B000000}" name="пВид" dataDxfId="1107" totalsRowDxfId="1106">
      <calculatedColumnFormula>IFERROR(AND(LEN(MAZZS[[#This Row],[Дисциплина]]&amp;MAZZS[[#This Row],[Магистърска програма]]&amp;MAZZS[[#This Row],[Факултет]])&gt;0,LEN(MAZZS[[#This Row],[Вид]])=0)*1,0)</calculatedColumnFormula>
    </tableColumn>
    <tableColumn id="28" xr3:uid="{00000000-0010-0000-1500-00001C000000}" name="пСтуденти" dataDxfId="1105" totalsRowDxfId="1104">
      <calculatedColumnFormula>AND(MAZZS[[#This Row],[Дисциплина]]&lt;&gt;0,OR(N(MAZZS[[#This Row],[Лекции]])&lt;&gt;0,N(MAZZS[[#This Row],[Упражнения]])&lt;&gt;0),N(MAZZS[[#This Row],[Студенти]])=0)*1</calculatedColumnFormula>
    </tableColumn>
    <tableColumn id="29" xr3:uid="{00000000-0010-0000-1500-00001D000000}" name="пИзпитани" dataDxfId="1103" totalsRowDxfId="1102">
      <calculatedColumnFormula>AND(N(MAZZS[[#This Row],[Изпитани]])&gt;0,MAZZS[[#This Row],[Изпитващ]]=0)*1</calculatedColumnFormula>
    </tableColumn>
    <tableColumn id="30" xr3:uid="{00000000-0010-0000-1500-00001E000000}" name="кЕзик" dataDxfId="1101" totalsRowDxfId="1100">
      <calculatedColumnFormula>IFERROR(VLOOKUP(MAZZS[[#This Row],[Език]],ТобЕзик[[обЕзик]:[Коеф.]],2,0),0)</calculatedColumnFormula>
    </tableColumn>
    <tableColumn id="31" xr3:uid="{00000000-0010-0000-1500-00001F000000}" name="кСтуденти" dataDxfId="1099" totalsRowDxfId="1098">
      <calculatedColumnFormula array="1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calculatedColumnFormula>
    </tableColumn>
    <tableColumn id="32" xr3:uid="{00000000-0010-0000-1500-000020000000}" name="кИзпитващ" dataDxfId="1097" totalsRowDxfId="1096">
      <calculatedColumnFormula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calculatedColumnFormula>
    </tableColumn>
    <tableColumn id="33" xr3:uid="{00000000-0010-0000-1500-000021000000}" name="кTO" dataDxfId="1095" totalsRowDxfId="1094">
      <calculatedColumnFormula>IFERROR(VLOOKUP(MAZZS[[#This Row],[ФормаОб]],тТО[[обФорма]:[Коеф.]],2,0),0)</calculatedColumnFormula>
    </tableColumn>
    <tableColumn id="36" xr3:uid="{00000000-0010-0000-1500-000024000000}" name="чЛекции" dataDxfId="1093" totalsRowDxfId="1092">
      <calculatedColumnFormula>N(MAZZS[[#This Row],[Лекции]])*MAZZS[[#This Row],[кЕзик]]*MAZZS[[#This Row],[кСтуденти]]*кЛекции</calculatedColumnFormula>
    </tableColumn>
    <tableColumn id="37" xr3:uid="{00000000-0010-0000-1500-000025000000}" name="чУпражнения" dataDxfId="1091" totalsRowDxfId="1090">
      <calculatedColumnFormula>N(MAZZS[[#This Row],[Упражнения]])*MAZZS[[#This Row],[кЕзик]]*MAZZS[[#This Row],[кСтуденти]]*кУпражнение</calculatedColumnFormula>
    </tableColumn>
    <tableColumn id="35" xr3:uid="{00000000-0010-0000-1500-000023000000}" name="чИзпитани" totalsRowFunction="sum" dataDxfId="1089" totalsRowDxfId="1088">
      <calculatedColumnFormula>N(MAZZS[[#This Row],[Изпитани]])*MAZZS[[#This Row],[кИзпитващ]]</calculatedColumnFormula>
    </tableColumn>
    <tableColumn id="34" xr3:uid="{00000000-0010-0000-1500-000022000000}" name="чTO" totalsRowFunction="sum" dataDxfId="1087" totalsRowDxfId="1086">
      <calculatedColumnFormula>N(MAZZS[[#This Row],[ТО]])*MAZZS[[#This Row],[кTO]]</calculatedColumnFormula>
    </tableColumn>
    <tableColumn id="1" xr3:uid="{00000000-0010-0000-1500-000001000000}" name="Дисциплина" dataDxfId="1085" totalsRowDxfId="1084"/>
    <tableColumn id="2" xr3:uid="{00000000-0010-0000-1500-000002000000}" name="Магистърска програма" dataDxfId="1083" totalsRowDxfId="1082"/>
    <tableColumn id="3" xr3:uid="{00000000-0010-0000-1500-000003000000}" name="Факултет" dataDxfId="1081" totalsRowDxfId="1080"/>
    <tableColumn id="4" xr3:uid="{00000000-0010-0000-1500-000004000000}" name="Вид" dataDxfId="1079" totalsRowDxfId="1078"/>
    <tableColumn id="5" xr3:uid="{00000000-0010-0000-1500-000005000000}" name="Курс" dataDxfId="1077" totalsRowDxfId="1076"/>
    <tableColumn id="6" xr3:uid="{00000000-0010-0000-1500-000006000000}" name="ФормаОб" dataDxfId="1075" totalsRowDxfId="1074"/>
    <tableColumn id="7" xr3:uid="{00000000-0010-0000-1500-000007000000}" name="Студенти" dataDxfId="1073" totalsRowDxfId="1072"/>
    <tableColumn id="8" xr3:uid="{00000000-0010-0000-1500-000008000000}" name="Лекции" dataDxfId="1071" totalsRowDxfId="1070"/>
    <tableColumn id="9" xr3:uid="{00000000-0010-0000-1500-000009000000}" name="Упражнения" dataDxfId="1069" totalsRowDxfId="1068"/>
    <tableColumn id="10" xr3:uid="{00000000-0010-0000-1500-00000A000000}" name="Език" dataDxfId="1067" totalsRowDxfId="1066"/>
    <tableColumn id="11" xr3:uid="{00000000-0010-0000-1500-00000B000000}" name="ФормаОц" dataDxfId="1065" totalsRowDxfId="1064"/>
    <tableColumn id="12" xr3:uid="{00000000-0010-0000-1500-00000C000000}" name="Изпитващ" dataDxfId="1063" totalsRowDxfId="1062"/>
    <tableColumn id="13" xr3:uid="{00000000-0010-0000-1500-00000D000000}" name="Изпитани" dataDxfId="1061" totalsRowDxfId="1060"/>
    <tableColumn id="22" xr3:uid="{00000000-0010-0000-1500-000016000000}" name="ТО" dataDxfId="1059" totalsRowDxfId="1058"/>
    <tableColumn id="23" xr3:uid="{00000000-0010-0000-1500-000017000000}" name="КР" totalsRowFunction="sum" dataDxfId="1057" totalsRowDxfId="1056"/>
    <tableColumn id="15" xr3:uid="{3940C494-3F7A-40CE-9113-E822C9EC877F}" name="id_РД" dataDxfId="1055" totalsRowDxfId="1054"/>
    <tableColumn id="16" xr3:uid="{AB1F614D-CE12-4C77-9A01-8E3026B4F49C}" name="Дисциплина1" dataDxfId="1053" totalsRowDxfId="1052"/>
    <tableColumn id="17" xr3:uid="{2F20E1A1-E370-4437-A110-4E78225F6FCD}" name="тСпециалностиМП" dataDxfId="1051" totalsRowDxfId="1050"/>
    <tableColumn id="18" xr3:uid="{68CD46FE-7360-4631-B7A6-C774FE8ACDC9}" name="Факултет1" dataDxfId="1049" totalsRowDxfId="1048"/>
    <tableColumn id="19" xr3:uid="{A9BC4A55-BBA7-40CA-93EB-C4FEC2310742}" name="нацид|монСпециалностМП" dataDxfId="1047" totalsRowDxfId="1046"/>
    <tableColumn id="14" xr3:uid="{DCD47BAB-8DA2-4B8D-BF8E-CFCCE98C6717}" name="|" dataDxfId="1045" totalsRowDxfId="1044">
      <calculatedColumnFormula>N(OFFSET(MAZZS[[#This Row],[|]],-1,0))+1</calculatedColumnFormula>
    </tableColumn>
    <tableColumn id="20" xr3:uid="{5EAD0E53-AB8F-4455-B3DC-4F4C8FB0F727}" name="о.нацид|монСпециалностМП" dataDxfId="1043" totalsRowDxfId="1042">
      <calculatedColumnFormula>IF(MAZZS[[#This Row],[уЧасове]],MAZZS[[#This Row],[нацид|монСпециалностМП]],"")</calculatedColumnFormula>
    </tableColumn>
    <tableColumn id="21" xr3:uid="{4BB5D7B1-AF26-4991-96A1-F21D691871CE}" name="уЧасове" dataDxfId="1041" totalsRowDxfId="1040">
      <calculatedColumnFormula>SUM(MAZZS[[#This Row],[чЛекции]:[чTO]],N(MAZZS[[#This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6000000}" name="MAZLS" displayName="MAZLS" ref="C84:AJ103" headerRowDxfId="1039" dataDxfId="1037" totalsRowDxfId="1036" headerRowBorderDxfId="1038">
  <autoFilter ref="C84:AJ103" xr:uid="{00000000-0009-0000-0100-00000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</autoFilter>
  <tableColumns count="34">
    <tableColumn id="27" xr3:uid="{00000000-0010-0000-1600-00001B000000}" name="пВид" dataDxfId="1035">
      <calculatedColumnFormula>IFERROR(AND(LEN(MAZLS[[#This Row],[Дисциплина]]&amp;MAZLS[[#This Row],[Магистърска програма]]&amp;MAZLS[[#This Row],[Факултет]])&gt;0,LEN(MAZLS[[#This Row],[Вид]])=0)*1,0)</calculatedColumnFormula>
    </tableColumn>
    <tableColumn id="28" xr3:uid="{00000000-0010-0000-1600-00001C000000}" name="пСтуденти" dataDxfId="1034">
      <calculatedColumnFormula>AND(MAZLS[[#This Row],[Дисциплина]]&lt;&gt;0,OR(N(MAZLS[[#This Row],[Лекции]])&lt;&gt;0,N(MAZLS[[#This Row],[Упражнения]])&lt;&gt;0),N(MAZLS[[#This Row],[Студенти]])=0)*1</calculatedColumnFormula>
    </tableColumn>
    <tableColumn id="29" xr3:uid="{00000000-0010-0000-1600-00001D000000}" name="пИзпитани" dataDxfId="1033">
      <calculatedColumnFormula>AND(N(MAZLS[[#This Row],[Изпитани]])&gt;0,MAZLS[[#This Row],[Изпитващ]]=0)*1</calculatedColumnFormula>
    </tableColumn>
    <tableColumn id="30" xr3:uid="{00000000-0010-0000-1600-00001E000000}" name="кЕзик" dataDxfId="1032">
      <calculatedColumnFormula>IFERROR(VLOOKUP(MAZLS[[#This Row],[Език]],ТобЕзик[[обЕзик]:[Коеф.]],2,0),0)</calculatedColumnFormula>
    </tableColumn>
    <tableColumn id="31" xr3:uid="{00000000-0010-0000-1600-00001F000000}" name="кСтуденти" dataDxfId="1031">
      <calculatedColumnFormula array="1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calculatedColumnFormula>
    </tableColumn>
    <tableColumn id="32" xr3:uid="{00000000-0010-0000-1600-000020000000}" name="кИзпитващ" dataDxfId="1030">
      <calculatedColumnFormula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calculatedColumnFormula>
    </tableColumn>
    <tableColumn id="33" xr3:uid="{00000000-0010-0000-1600-000021000000}" name="кTO" dataDxfId="1029">
      <calculatedColumnFormula>IFERROR(VLOOKUP(MAZLS[[#This Row],[ФормаОб]],тТО[[обФорма]:[Коеф.]],2,0),0)</calculatedColumnFormula>
    </tableColumn>
    <tableColumn id="36" xr3:uid="{00000000-0010-0000-1600-000024000000}" name="чЛекции" dataDxfId="1028">
      <calculatedColumnFormula>N(MAZLS[[#This Row],[Лекции]])*MAZLS[[#This Row],[кЕзик]]*MAZLS[[#This Row],[кСтуденти]]*кЛекции</calculatedColumnFormula>
    </tableColumn>
    <tableColumn id="37" xr3:uid="{00000000-0010-0000-1600-000025000000}" name="чУпражнения" dataDxfId="1027">
      <calculatedColumnFormula>N(MAZLS[[#This Row],[Упражнения]])*MAZLS[[#This Row],[кЕзик]]*MAZLS[[#This Row],[кСтуденти]]*кУпражнение</calculatedColumnFormula>
    </tableColumn>
    <tableColumn id="35" xr3:uid="{00000000-0010-0000-1600-000023000000}" name="чИзпитани" dataDxfId="1026">
      <calculatedColumnFormula>N(MAZLS[[#This Row],[Изпитани]])*MAZLS[[#This Row],[кИзпитващ]]</calculatedColumnFormula>
    </tableColumn>
    <tableColumn id="34" xr3:uid="{00000000-0010-0000-1600-000022000000}" name="чTO" dataDxfId="1025">
      <calculatedColumnFormula>N(MAZLS[[#This Row],[ТО]])*MAZLS[[#This Row],[кTO]]</calculatedColumnFormula>
    </tableColumn>
    <tableColumn id="1" xr3:uid="{00000000-0010-0000-1600-000001000000}" name="Дисциплина" dataDxfId="1024" totalsRowDxfId="1023"/>
    <tableColumn id="2" xr3:uid="{00000000-0010-0000-1600-000002000000}" name="Магистърска програма" dataDxfId="1022" totalsRowDxfId="1021"/>
    <tableColumn id="3" xr3:uid="{00000000-0010-0000-1600-000003000000}" name="Факултет" dataDxfId="1020" totalsRowDxfId="1019"/>
    <tableColumn id="4" xr3:uid="{00000000-0010-0000-1600-000004000000}" name="Вид" dataDxfId="1018" totalsRowDxfId="1017"/>
    <tableColumn id="5" xr3:uid="{00000000-0010-0000-1600-000005000000}" name="Курс" dataDxfId="1016" totalsRowDxfId="1015"/>
    <tableColumn id="6" xr3:uid="{00000000-0010-0000-1600-000006000000}" name="ФормаОб" dataDxfId="1014" totalsRowDxfId="1013"/>
    <tableColumn id="7" xr3:uid="{00000000-0010-0000-1600-000007000000}" name="Студенти" dataDxfId="1012" totalsRowDxfId="1011"/>
    <tableColumn id="8" xr3:uid="{00000000-0010-0000-1600-000008000000}" name="Лекции" dataDxfId="1010" totalsRowDxfId="1009"/>
    <tableColumn id="9" xr3:uid="{00000000-0010-0000-1600-000009000000}" name="Упражнения" dataDxfId="1008" totalsRowDxfId="1007"/>
    <tableColumn id="10" xr3:uid="{00000000-0010-0000-1600-00000A000000}" name="Език" dataDxfId="1006" totalsRowDxfId="1005"/>
    <tableColumn id="11" xr3:uid="{00000000-0010-0000-1600-00000B000000}" name="ФормаОц" dataDxfId="1004" totalsRowDxfId="1003"/>
    <tableColumn id="12" xr3:uid="{00000000-0010-0000-1600-00000C000000}" name="Изпитващ" dataDxfId="1002" totalsRowDxfId="1001"/>
    <tableColumn id="13" xr3:uid="{00000000-0010-0000-1600-00000D000000}" name="Изпитани" dataDxfId="1000" totalsRowDxfId="999"/>
    <tableColumn id="22" xr3:uid="{00000000-0010-0000-1600-000016000000}" name="ТО" dataDxfId="998" totalsRowDxfId="997"/>
    <tableColumn id="23" xr3:uid="{00000000-0010-0000-1600-000017000000}" name="КР" totalsRowFunction="sum" dataDxfId="996" totalsRowDxfId="995"/>
    <tableColumn id="15" xr3:uid="{E1B9AF40-01CC-41D2-81FC-C9975F04938E}" name="id_РД" dataDxfId="994" totalsRowDxfId="993"/>
    <tableColumn id="16" xr3:uid="{F8E0CF0B-6302-4FCF-B229-F97B42F2B3F9}" name="Дисциплина1" dataDxfId="992" totalsRowDxfId="991"/>
    <tableColumn id="17" xr3:uid="{D2C16349-21E3-4CC3-B9B2-64816C1C0A6F}" name="тСпециалностиМП" dataDxfId="990" totalsRowDxfId="989"/>
    <tableColumn id="18" xr3:uid="{958D2C9D-503E-411E-9A41-13B95EC27374}" name="Факултет1" dataDxfId="988" totalsRowDxfId="987"/>
    <tableColumn id="19" xr3:uid="{105397F3-E2F4-4986-B12C-A077DA7666C8}" name="нацид|монСпециалностМП" dataDxfId="986" totalsRowDxfId="985"/>
    <tableColumn id="14" xr3:uid="{89F82B4F-4EBE-491A-B5AC-2683A85E6648}" name="|" dataDxfId="984" totalsRowDxfId="983">
      <calculatedColumnFormula>N(OFFSET(MAZLS[[#This Row],[|]],-1,0))+1</calculatedColumnFormula>
    </tableColumn>
    <tableColumn id="20" xr3:uid="{91753559-F775-4DB4-8FAF-2592F994D434}" name="о.нацид|монСпециалностМП" dataDxfId="982" totalsRowDxfId="981">
      <calculatedColumnFormula>IF(MAZLS[[#This Row],[уЧасове]],MAZLS[[#This Row],[нацид|монСпециалностМП]],"")</calculatedColumnFormula>
    </tableColumn>
    <tableColumn id="21" xr3:uid="{B2699D01-1991-4E43-A515-367C40DBF01A}" name="уЧасове" dataDxfId="980" totalsRowDxfId="979">
      <calculatedColumnFormula>SUM(MAZLS[[#This Row],[чЛекции]:[чTO]],N(MAZLS[[#This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7000000}" name="MPZS" displayName="MPZS" ref="C55:AJ65" headerRowDxfId="978" dataDxfId="976" totalsRowDxfId="974" headerRowBorderDxfId="977" tableBorderDxfId="975" totalsRowBorderDxfId="973">
  <tableColumns count="34">
    <tableColumn id="22" xr3:uid="{2A955664-BB04-495F-894D-06DFAF0151D6}" name="пВидПрактика" dataDxfId="972" totalsRowDxfId="971">
      <calculatedColumnFormula>IFERROR(MATCH(MPZS[[#This Row],[ВидПрактика]],T_УчПрактики[Практика и курсова работа],0),0)</calculatedColumnFormula>
    </tableColumn>
    <tableColumn id="26" xr3:uid="{712AFCE7-B511-4FEF-8C42-7228040FA64F}" name="уфСтуденти" dataDxfId="970" totalsRowDxfId="969">
      <calculatedColumnFormula array="1">IF(MPZS[[#This Row],[пВидПрактика]],INDEX(T_УчПрактики[Студенти],MPZS[[#This Row],[пВидПрактика]]),"-")</calculatedColumnFormula>
    </tableColumn>
    <tableColumn id="23" xr3:uid="{286C6C18-D6EA-4E4D-95FB-E64C48C07943}" name="уфГрупа" dataDxfId="968" totalsRowDxfId="967">
      <calculatedColumnFormula array="1">IF(MPZS[[#This Row],[пВидПрактика]],INDEX(T_УчПрактики[Група],MPZS[[#This Row],[пВидПрактика]])*2,"-")</calculatedColumnFormula>
    </tableColumn>
    <tableColumn id="24" xr3:uid="{AF9172A5-8649-4A62-9E13-2B1991A0BF4C}" name="уфДен" dataDxfId="966" totalsRowDxfId="965">
      <calculatedColumnFormula array="1">IF(MPZS[[#This Row],[пВидПрактика]],INDEX(T_УчПрактики[Ден],MPZS[[#This Row],[пВидПрактика]])*4,"-")</calculatedColumnFormula>
    </tableColumn>
    <tableColumn id="18" xr3:uid="{00000000-0010-0000-1700-000012000000}" name="пФорма" dataDxfId="964" totalsRowDxfId="963">
      <calculatedColumnFormula>IFERROR(AND(MPZS[[#This Row],[ТО]]&lt;&gt;0,MPZS[[#This Row],[ФормаОб]]=0)*1,0)</calculatedColumnFormula>
    </tableColumn>
    <tableColumn id="14" xr3:uid="{00000000-0010-0000-1700-00000E000000}" name="пИзпитани" dataDxfId="962" totalsRowDxfId="961">
      <calculatedColumnFormula>IFERROR(AND(MPZS[[#This Row],[Изпитани]]&lt;&gt;0,LEN(MPZS[[#This Row],[Изпитващ]])=0)*1,0)</calculatedColumnFormula>
    </tableColumn>
    <tableColumn id="13" xr3:uid="{00000000-0010-0000-1700-00000D000000}" name="кИзпитващ" dataDxfId="960" totalsRowDxfId="959">
      <calculatedColumnFormula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calculatedColumnFormula>
    </tableColumn>
    <tableColumn id="17" xr3:uid="{00000000-0010-0000-1700-000011000000}" name="кTO" dataDxfId="958" totalsRowDxfId="957">
      <calculatedColumnFormula>IFERROR(VLOOKUP(MPZS[[#This Row],[ФормаОб]],тТО[[обФорма]:[Коеф.]],2,0),0)</calculatedColumnFormula>
    </tableColumn>
    <tableColumn id="25" xr3:uid="{828201CA-3FE5-4C51-B5C7-A7BE466771AF}" name="чПрактика" dataDxfId="956" totalsRowDxfId="955">
      <calculatedColumnFormula array="1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calculatedColumnFormula>
    </tableColumn>
    <tableColumn id="16" xr3:uid="{00000000-0010-0000-1700-000010000000}" name="чИзпитани" totalsRowFunction="sum" dataDxfId="954">
      <calculatedColumnFormula>N(MPZS[[#This Row],[Изпитани]])*N(MPZS[[#This Row],[кИзпитващ]])</calculatedColumnFormula>
    </tableColumn>
    <tableColumn id="15" xr3:uid="{00000000-0010-0000-1700-00000F000000}" name="чTO" totalsRowFunction="sum" dataDxfId="953">
      <calculatedColumnFormula>N(MPZS[[#This Row],[ТО]])*MPZS[[#This Row],[кTO]]</calculatedColumnFormula>
    </tableColumn>
    <tableColumn id="1" xr3:uid="{00000000-0010-0000-1700-000001000000}" name="Наименование на практика/курсова работа" dataDxfId="952" totalsRowDxfId="951"/>
    <tableColumn id="2" xr3:uid="{00000000-0010-0000-1700-000002000000}" name="Магистърска програма" dataDxfId="950" totalsRowDxfId="949"/>
    <tableColumn id="3" xr3:uid="{00000000-0010-0000-1700-000003000000}" name="Факултет" dataDxfId="948" totalsRowDxfId="947"/>
    <tableColumn id="4" xr3:uid="{00000000-0010-0000-1700-000004000000}" name="Вид" dataDxfId="946" totalsRowDxfId="945"/>
    <tableColumn id="5" xr3:uid="{00000000-0010-0000-1700-000005000000}" name="Курс" dataDxfId="944" totalsRowDxfId="943"/>
    <tableColumn id="6" xr3:uid="{00000000-0010-0000-1700-000006000000}" name="ФормаОб" dataDxfId="942" totalsRowDxfId="941"/>
    <tableColumn id="7" xr3:uid="{00000000-0010-0000-1700-000007000000}" name="Студенти" dataDxfId="940" totalsRowDxfId="939"/>
    <tableColumn id="19" xr3:uid="{FD9011AE-74EE-40A8-B45D-DD1605733ABA}" name="ВидПрактика" dataDxfId="938" totalsRowDxfId="937"/>
    <tableColumn id="20" xr3:uid="{17B9494F-1252-4FC9-AD17-8862D38F1372}" name="Група" dataDxfId="936" totalsRowDxfId="935"/>
    <tableColumn id="21" xr3:uid="{0516F93F-04AC-4B6B-AA3C-BE180148848C}" name="Ден" dataDxfId="934" totalsRowDxfId="933"/>
    <tableColumn id="8" xr3:uid="{00000000-0010-0000-1700-000008000000}" name="ФормаОц" dataDxfId="932" totalsRowDxfId="931"/>
    <tableColumn id="9" xr3:uid="{00000000-0010-0000-1700-000009000000}" name="Изпитващ" dataDxfId="930" totalsRowDxfId="929"/>
    <tableColumn id="10" xr3:uid="{00000000-0010-0000-1700-00000A000000}" name="Изпитани" dataDxfId="928" totalsRowDxfId="927"/>
    <tableColumn id="11" xr3:uid="{00000000-0010-0000-1700-00000B000000}" name="ТО" totalsRowFunction="sum" dataDxfId="926" totalsRowDxfId="925"/>
    <tableColumn id="12" xr3:uid="{00000000-0010-0000-1700-00000C000000}" name="КР" totalsRowFunction="sum" dataDxfId="924" totalsRowDxfId="923"/>
    <tableColumn id="28" xr3:uid="{DD293580-FB4D-4D40-8450-0F2CB01816E5}" name="id_РД" dataDxfId="922" totalsRowDxfId="921"/>
    <tableColumn id="29" xr3:uid="{2A25C609-73FA-426B-9C47-A4B1B5E4270A}" name="Дисциплина1" dataDxfId="920" totalsRowDxfId="919"/>
    <tableColumn id="30" xr3:uid="{A9B40CAA-FD44-472A-ADCC-2A038995E70A}" name="тСпециалностиМП" dataDxfId="918" totalsRowDxfId="917"/>
    <tableColumn id="31" xr3:uid="{6DEBFFD4-E491-432F-A945-950BE0A53984}" name="Факултет1" dataDxfId="916" totalsRowDxfId="915"/>
    <tableColumn id="32" xr3:uid="{7A42A1FB-E3C0-4B95-A3FC-28FDF6215E55}" name="нацид|монСпециалностМП" dataDxfId="914" totalsRowDxfId="913"/>
    <tableColumn id="27" xr3:uid="{5F135F99-F858-4FCF-A14E-A7D88679EAA8}" name="|" dataDxfId="912" totalsRowDxfId="911">
      <calculatedColumnFormula>N(OFFSET(MPZS[[#This Row],[|]],-1,0))+1</calculatedColumnFormula>
    </tableColumn>
    <tableColumn id="33" xr3:uid="{1BD5480A-F44D-45E2-8B6E-39FB238BF639}" name="о.нацид|монСпециалностМП" dataDxfId="910" totalsRowDxfId="909">
      <calculatedColumnFormula>IF(MPZS[[#This Row],[уЧасове]],MPZS[[#This Row],[нацид|монСпециалностМП]],"")</calculatedColumnFormula>
    </tableColumn>
    <tableColumn id="34" xr3:uid="{B0ED2144-E1E4-4C04-A1AD-4A17D0E17993}" name="уЧасове" dataDxfId="908" totalsRowDxfId="907">
      <calculatedColumnFormula>SUM(MPZS[[#This Row],[чПрактика]:[чTO]],N(MPZS[[#This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8000000}" name="MDiplomiraneZS" displayName="MDiplomiraneZS" ref="H70:S78" headerRowDxfId="906" totalsRowDxfId="905" totalsRowBorderDxfId="904">
  <tableColumns count="12">
    <tableColumn id="6" xr3:uid="{09C3BED3-1CC5-47F3-9983-2A16A859D6D4}" name="кДР" dataDxfId="903" totalsRowDxfId="902">
      <calculatedColumnFormula>кДипломна_работа</calculatedColumnFormula>
    </tableColumn>
    <tableColumn id="7" xr3:uid="{DD9CC1D2-15B4-407B-84DD-B217B2BF98BF}" name="кРецензии" dataDxfId="901" totalsRowDxfId="900">
      <calculatedColumnFormula>кРецензия</calculatedColumnFormula>
    </tableColumn>
    <tableColumn id="8" xr3:uid="{3E992BFB-C0AF-4937-9DAE-D0D694B70479}" name="кИ/ДИ/З" dataDxfId="899" totalsRowDxfId="898">
      <calculatedColumnFormula>кДИ_защита</calculatedColumnFormula>
    </tableColumn>
    <tableColumn id="9" xr3:uid="{5C9A5452-EAA8-47F5-8189-9CAD9E4E030D}" name="чДР" dataDxfId="897" totalsRowDxfId="896">
      <calculatedColumnFormula>MDiplomiraneZS[[#This Row],[кДР]]*N(MDiplomiraneZS[[#This Row],[ДР]])</calculatedColumnFormula>
    </tableColumn>
    <tableColumn id="10" xr3:uid="{4582C614-A486-484D-A52B-F73A9250FC80}" name="чРецензии" dataDxfId="895" totalsRowDxfId="894">
      <calculatedColumnFormula>MDiplomiraneZS[[#This Row],[кРецензии]]*N(MDiplomiraneZS[[#This Row],[Рецензии]])</calculatedColumnFormula>
    </tableColumn>
    <tableColumn id="11" xr3:uid="{AC682CCF-04E6-4C0D-96CB-FB4D8F285C16}" name="чИ/ДИ/З" dataDxfId="893" totalsRowDxfId="892">
      <calculatedColumnFormula>MDiplomiraneZS[[#This Row],[кИ/ДИ/З]]*N(MDiplomiraneZS[[#This Row],[И/ДИ/З]])</calculatedColumnFormula>
    </tableColumn>
    <tableColumn id="1" xr3:uid="{00000000-0010-0000-1800-000001000000}" name="Магистърска програма" dataDxfId="891" totalsRowDxfId="890"/>
    <tableColumn id="2" xr3:uid="{00000000-0010-0000-1800-000002000000}" name="Факултет" dataDxfId="889" totalsRowDxfId="888"/>
    <tableColumn id="12" xr3:uid="{94173050-00F8-4429-A511-03704A3F5938}" name="ФормаОб" dataDxfId="887" totalsRowDxfId="886"/>
    <tableColumn id="3" xr3:uid="{00000000-0010-0000-1800-000003000000}" name="ДР" totalsRowFunction="sum" dataDxfId="885" totalsRowDxfId="884"/>
    <tableColumn id="4" xr3:uid="{00000000-0010-0000-1800-000004000000}" name="Рецензии" totalsRowFunction="sum" dataDxfId="883" totalsRowDxfId="882"/>
    <tableColumn id="5" xr3:uid="{00000000-0010-0000-1800-000005000000}" name="И/ДИ/З" totalsRowFunction="sum" dataDxfId="881" totalsRowDxfId="880"/>
  </tableColumns>
  <tableStyleInfo name="TS_Total_Row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RdukciaChasove" displayName="RdukciaChasove" ref="A69:B75" totalsRowShown="0" headerRowDxfId="1694" headerRowBorderDxfId="1693" tableBorderDxfId="1692" totalsRowBorderDxfId="1691">
  <autoFilter ref="A69:B75" xr:uid="{00000000-0009-0000-0100-000005000000}"/>
  <tableColumns count="2">
    <tableColumn id="1" xr3:uid="{00000000-0010-0000-0300-000001000000}" name="Редукция часове малък брой студенти" dataDxfId="1690"/>
    <tableColumn id="2" xr3:uid="{00000000-0010-0000-0300-000002000000}" name="Коефициент" dataDxfId="1689"/>
  </tableColumns>
  <tableStyleInfo name="TableStyleLight8" showFirstColumn="0" showLastColumn="0" showRowStripes="0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9000000}" name="MPLS" displayName="MPLS" ref="C109:AJ119" headerRowDxfId="879" dataDxfId="878" totalsRowDxfId="877" totalsRowBorderDxfId="876">
  <tableColumns count="34">
    <tableColumn id="22" xr3:uid="{045056E8-5688-4000-9963-6382C0B6EDA0}" name="пВидПрактика" dataDxfId="875" totalsRowDxfId="874">
      <calculatedColumnFormula>IFERROR(MATCH(MPLS[[#This Row],[ВидПрактика]],T_УчПрактики[Практика и курсова работа],0),0)</calculatedColumnFormula>
    </tableColumn>
    <tableColumn id="26" xr3:uid="{1C532CEC-F1E7-4AC9-85CF-7F48F2EF11F6}" name="уфСтуденти" dataDxfId="873" totalsRowDxfId="872">
      <calculatedColumnFormula array="1">IF(MPLS[[#This Row],[пВидПрактика]],INDEX(T_УчПрактики[Студенти],MPLS[[#This Row],[пВидПрактика]]),"-")</calculatedColumnFormula>
    </tableColumn>
    <tableColumn id="23" xr3:uid="{53AD89E4-3FBA-4292-BD2D-793F15E05A98}" name="уфГрупа" dataDxfId="871" totalsRowDxfId="870">
      <calculatedColumnFormula array="1">IF(MPLS[[#This Row],[пВидПрактика]],INDEX(T_УчПрактики[Група],MPLS[[#This Row],[пВидПрактика]])*2,"-")</calculatedColumnFormula>
    </tableColumn>
    <tableColumn id="24" xr3:uid="{D3DF5E0F-AFB7-45E5-AD84-21F335CBA479}" name="уфДен" dataDxfId="869" totalsRowDxfId="868">
      <calculatedColumnFormula array="1">IF(MPLS[[#This Row],[пВидПрактика]],INDEX(T_УчПрактики[Ден],MPLS[[#This Row],[пВидПрактика]])*4,"-")</calculatedColumnFormula>
    </tableColumn>
    <tableColumn id="18" xr3:uid="{00000000-0010-0000-1900-000012000000}" name="пФорма" dataDxfId="867" totalsRowDxfId="866">
      <calculatedColumnFormula>IFERROR(AND(MPLS[[#This Row],[ТО]]&lt;&gt;0,MPLS[[#This Row],[ФормаОб]]=0)*1,0)</calculatedColumnFormula>
    </tableColumn>
    <tableColumn id="14" xr3:uid="{00000000-0010-0000-1900-00000E000000}" name="пИзпитани" dataDxfId="865" totalsRowDxfId="864">
      <calculatedColumnFormula>IFERROR(AND(MPLS[[#This Row],[Изпитани]]&lt;&gt;0,LEN(MPLS[[#This Row],[Изпитващ]])=0)*1,0)</calculatedColumnFormula>
    </tableColumn>
    <tableColumn id="13" xr3:uid="{00000000-0010-0000-1900-00000D000000}" name="кИзпитващ" dataDxfId="863" totalsRowDxfId="862">
      <calculatedColumnFormula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calculatedColumnFormula>
    </tableColumn>
    <tableColumn id="17" xr3:uid="{00000000-0010-0000-1900-000011000000}" name="кTO" dataDxfId="861" totalsRowDxfId="860">
      <calculatedColumnFormula>IFERROR(VLOOKUP(MPLS[[#This Row],[ФормаОб]],тТО[[обФорма]:[Коеф.]],2,0),0)</calculatedColumnFormula>
    </tableColumn>
    <tableColumn id="15" xr3:uid="{00000000-0010-0000-1900-00000F000000}" name="чПрактика" totalsRowFunction="sum" dataDxfId="859" totalsRowDxfId="858">
      <calculatedColumnFormula array="1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calculatedColumnFormula>
    </tableColumn>
    <tableColumn id="16" xr3:uid="{00000000-0010-0000-1900-000010000000}" name="чИзпитани" totalsRowFunction="sum" dataDxfId="857" totalsRowDxfId="856">
      <calculatedColumnFormula>N(MPLS[[#This Row],[Изпитани]])*MPLS[[#This Row],[кИзпитващ]]</calculatedColumnFormula>
    </tableColumn>
    <tableColumn id="25" xr3:uid="{8ADC578F-65F7-40A7-9FE1-0145F3383FEB}" name="чTO" dataDxfId="855" totalsRowDxfId="854">
      <calculatedColumnFormula>N(MPLS[[#This Row],[ТО]])*MPLS[[#This Row],[кTO]]</calculatedColumnFormula>
    </tableColumn>
    <tableColumn id="1" xr3:uid="{00000000-0010-0000-1900-000001000000}" name="Наименование на практика/курсова работа" dataDxfId="853" totalsRowDxfId="852"/>
    <tableColumn id="2" xr3:uid="{00000000-0010-0000-1900-000002000000}" name="Магистърска програма" dataDxfId="851" totalsRowDxfId="850"/>
    <tableColumn id="3" xr3:uid="{00000000-0010-0000-1900-000003000000}" name="Факултет" dataDxfId="849" totalsRowDxfId="848"/>
    <tableColumn id="4" xr3:uid="{00000000-0010-0000-1900-000004000000}" name="Вид" dataDxfId="847" totalsRowDxfId="846"/>
    <tableColumn id="5" xr3:uid="{00000000-0010-0000-1900-000005000000}" name="Курс" dataDxfId="845" totalsRowDxfId="844"/>
    <tableColumn id="6" xr3:uid="{00000000-0010-0000-1900-000006000000}" name="ФормаОб" dataDxfId="843" totalsRowDxfId="842"/>
    <tableColumn id="7" xr3:uid="{00000000-0010-0000-1900-000007000000}" name="Студенти" dataDxfId="841" totalsRowDxfId="840"/>
    <tableColumn id="19" xr3:uid="{EEC6BF78-0DCA-41B3-810F-959203EEF722}" name="ВидПрактика" dataDxfId="839" totalsRowDxfId="838"/>
    <tableColumn id="20" xr3:uid="{5349DB7F-FCBB-42AD-9E79-50C88D5FC3EE}" name="Група" dataDxfId="837" totalsRowDxfId="836"/>
    <tableColumn id="21" xr3:uid="{7EB14B15-2B45-4437-90F4-76B4F2D0E06A}" name="Ден" dataDxfId="835" totalsRowDxfId="834"/>
    <tableColumn id="8" xr3:uid="{00000000-0010-0000-1900-000008000000}" name="ФормаОц" dataDxfId="833" totalsRowDxfId="832"/>
    <tableColumn id="9" xr3:uid="{00000000-0010-0000-1900-000009000000}" name="Изпитващ" dataDxfId="831" totalsRowDxfId="830"/>
    <tableColumn id="10" xr3:uid="{00000000-0010-0000-1900-00000A000000}" name="Изпитани" dataDxfId="829" totalsRowDxfId="828"/>
    <tableColumn id="11" xr3:uid="{00000000-0010-0000-1900-00000B000000}" name="ТО" totalsRowFunction="sum" dataDxfId="827" totalsRowDxfId="826"/>
    <tableColumn id="12" xr3:uid="{00000000-0010-0000-1900-00000C000000}" name="КР" totalsRowFunction="sum" dataDxfId="825" totalsRowDxfId="824"/>
    <tableColumn id="28" xr3:uid="{65772D6D-1F9D-4428-A2D0-FBEF7F3A3E49}" name="id_РД" dataDxfId="823" totalsRowDxfId="822"/>
    <tableColumn id="29" xr3:uid="{35B3B4AF-6C3E-44E1-840C-72C1BDF8A8F8}" name="Дисциплина1" dataDxfId="821" totalsRowDxfId="820"/>
    <tableColumn id="30" xr3:uid="{6BBEF88C-7AC4-4BDC-8EC4-6287A8B24224}" name="тСпециалностиМП" dataDxfId="819" totalsRowDxfId="818"/>
    <tableColumn id="31" xr3:uid="{0F65C8A0-3CD6-4FA7-8B4C-F65E8C9128C9}" name="Факултет1" dataDxfId="817" totalsRowDxfId="816"/>
    <tableColumn id="32" xr3:uid="{1E0861DF-9892-4298-86B1-64139FADC9D7}" name="нацид|монСпециалностМП" dataDxfId="815" totalsRowDxfId="814"/>
    <tableColumn id="27" xr3:uid="{F0EB1FD2-B49D-4D12-A1E1-63EC769E5D05}" name="|" dataDxfId="813" totalsRowDxfId="812">
      <calculatedColumnFormula>N(OFFSET(MPLS[[#This Row],[|]],-1,0))+1</calculatedColumnFormula>
    </tableColumn>
    <tableColumn id="33" xr3:uid="{546332C5-3E1C-4638-A0FF-D35E1C46BDC5}" name="о.нацид|монСпециалностМП" dataDxfId="811" totalsRowDxfId="810">
      <calculatedColumnFormula>IF(MPLS[[#This Row],[уЧасове]],MPLS[[#This Row],[нацид|монСпециалностМП]],"")</calculatedColumnFormula>
    </tableColumn>
    <tableColumn id="34" xr3:uid="{AF8CE93A-F8BA-4661-A41D-9E9B654E8327}" name="уЧасове" dataDxfId="809" totalsRowDxfId="808">
      <calculatedColumnFormula>SUM(MPLS[[#This Row],[чПрактика]:[чTO]],N(MPLS[[#This Row],[КР]])*кКурсова_работа)</calculatedColumnFormula>
    </tableColumn>
  </tableColumns>
  <tableStyleInfo name="TS_Total_Row 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A000000}" name="MDiplomiraneLS" displayName="MDiplomiraneLS" ref="H124:S132" headerRowDxfId="807" totalsRowDxfId="806" totalsRowBorderDxfId="805">
  <tableColumns count="12">
    <tableColumn id="6" xr3:uid="{401BA74A-E7CA-4088-B1D3-858647D9F60F}" name="кДР" dataDxfId="804" totalsRowDxfId="803">
      <calculatedColumnFormula>кДипломна_работа</calculatedColumnFormula>
    </tableColumn>
    <tableColumn id="7" xr3:uid="{AC0A1C9F-DE55-4803-B653-EB1BEAA2F045}" name="кРецензии" dataDxfId="802" totalsRowDxfId="801">
      <calculatedColumnFormula>кРецензия</calculatedColumnFormula>
    </tableColumn>
    <tableColumn id="8" xr3:uid="{D7E3256B-45F4-41C0-87EC-A8BFBFCC8702}" name="кИ/ДИ/З" dataDxfId="800" totalsRowDxfId="799">
      <calculatedColumnFormula>кДИ_защита</calculatedColumnFormula>
    </tableColumn>
    <tableColumn id="9" xr3:uid="{50F9B5EE-4176-4A18-B1A2-C2ED9C72C432}" name="чДР" dataDxfId="798" totalsRowDxfId="797">
      <calculatedColumnFormula>MDiplomiraneLS[[#This Row],[кДР]]*N(MDiplomiraneLS[[#This Row],[ДР]])</calculatedColumnFormula>
    </tableColumn>
    <tableColumn id="10" xr3:uid="{296B610E-63D6-4A9A-A6FB-4EE964AE6262}" name="чРецензии" dataDxfId="796" totalsRowDxfId="795">
      <calculatedColumnFormula>MDiplomiraneLS[[#This Row],[кРецензии]]*N(MDiplomiraneLS[[#This Row],[Рецензии]])</calculatedColumnFormula>
    </tableColumn>
    <tableColumn id="11" xr3:uid="{2651C799-904D-4F07-B615-9B8DC65FD312}" name="чИ/ДИ/З" dataDxfId="794" totalsRowDxfId="793">
      <calculatedColumnFormula>MDiplomiraneLS[[#This Row],[кИ/ДИ/З]]*N(MDiplomiraneLS[[#This Row],[И/ДИ/З]])</calculatedColumnFormula>
    </tableColumn>
    <tableColumn id="1" xr3:uid="{00000000-0010-0000-1A00-000001000000}" name="Магистърска програма" dataDxfId="792" totalsRowDxfId="791"/>
    <tableColumn id="2" xr3:uid="{00000000-0010-0000-1A00-000002000000}" name="Факултет" dataDxfId="790" totalsRowDxfId="789"/>
    <tableColumn id="12" xr3:uid="{6266E0E2-34F7-4510-A460-E9C251FD8459}" name="ФормаОб" dataDxfId="788" totalsRowDxfId="787"/>
    <tableColumn id="3" xr3:uid="{00000000-0010-0000-1A00-000003000000}" name="ДР" totalsRowFunction="sum" dataDxfId="786" totalsRowDxfId="785"/>
    <tableColumn id="4" xr3:uid="{00000000-0010-0000-1A00-000004000000}" name="Рецензии" totalsRowFunction="sum" dataDxfId="784" totalsRowDxfId="783"/>
    <tableColumn id="5" xr3:uid="{00000000-0010-0000-1A00-000005000000}" name="И/ДИ/З" totalsRowFunction="sum" dataDxfId="782" totalsRowDxfId="781"/>
  </tableColumns>
  <tableStyleInfo name="TS_Total_Row 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B000000}" name="PotokM" displayName="PotokM" ref="N138:W151" headerRowDxfId="780" dataDxfId="779" totalsRowDxfId="778">
  <tableColumns count="10">
    <tableColumn id="1" xr3:uid="{00000000-0010-0000-1B00-000001000000}" name="Дисциплина" dataDxfId="777" totalsRowDxfId="776"/>
    <tableColumn id="2" xr3:uid="{00000000-0010-0000-1B00-000002000000}" name="Програма" dataDxfId="775" totalsRowDxfId="774"/>
    <tableColumn id="3" xr3:uid="{00000000-0010-0000-1B00-000003000000}" name="Специалност" dataDxfId="773" totalsRowDxfId="772"/>
    <tableColumn id="4" xr3:uid="{00000000-0010-0000-1B00-000004000000}" name="Факултет" dataDxfId="771" totalsRowDxfId="770"/>
    <tableColumn id="5" xr3:uid="{00000000-0010-0000-1B00-000005000000}" name="Вид" dataDxfId="769" totalsRowDxfId="768"/>
    <tableColumn id="6" xr3:uid="{00000000-0010-0000-1B00-000006000000}" name="Курс" dataDxfId="767" totalsRowDxfId="766"/>
    <tableColumn id="7" xr3:uid="{00000000-0010-0000-1B00-000007000000}" name="ФормаОб" dataDxfId="765" totalsRowDxfId="764"/>
    <tableColumn id="8" xr3:uid="{00000000-0010-0000-1B00-000008000000}" name="ПОТОК" dataDxfId="763" totalsRowDxfId="762"/>
    <tableColumn id="9" xr3:uid="{00000000-0010-0000-1B00-000009000000}" name="ГРУПА" dataDxfId="761" totalsRowDxfId="760"/>
    <tableColumn id="10" xr3:uid="{00000000-0010-0000-1B00-00000A000000}" name="Семестър" totalsRowFunction="count" dataDxfId="759" totalsRowDxfId="758"/>
  </tableColumns>
  <tableStyleInfo name="TS_Total_Row 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C000000}" name="Table30" displayName="Table30" ref="B155:AD155" headerRowCount="0" totalsRowShown="0" headerRowDxfId="757" dataDxfId="756">
  <tableColumns count="29">
    <tableColumn id="1" xr3:uid="{00000000-0010-0000-1C00-000001000000}" name="HR3" headerRowDxfId="755" dataDxfId="754"/>
    <tableColumn id="2" xr3:uid="{00000000-0010-0000-1C00-000002000000}" name="Column2" headerRowDxfId="753" dataDxfId="752"/>
    <tableColumn id="3" xr3:uid="{00000000-0010-0000-1C00-000003000000}" name="Column3" headerRowDxfId="751" dataDxfId="750"/>
    <tableColumn id="4" xr3:uid="{00000000-0010-0000-1C00-000004000000}" name="Column4" headerRowDxfId="749" dataDxfId="748"/>
    <tableColumn id="5" xr3:uid="{00000000-0010-0000-1C00-000005000000}" name="Column5" headerRowDxfId="747" dataDxfId="746"/>
    <tableColumn id="6" xr3:uid="{00000000-0010-0000-1C00-000006000000}" name="Column6" headerRowDxfId="745" dataDxfId="744"/>
    <tableColumn id="7" xr3:uid="{00000000-0010-0000-1C00-000007000000}" name="Column7" headerRowDxfId="743" dataDxfId="742"/>
    <tableColumn id="8" xr3:uid="{00000000-0010-0000-1C00-000008000000}" name="Column8" headerRowDxfId="741" dataDxfId="740"/>
    <tableColumn id="9" xr3:uid="{00000000-0010-0000-1C00-000009000000}" name="Column9" headerRowDxfId="739" dataDxfId="738"/>
    <tableColumn id="10" xr3:uid="{00000000-0010-0000-1C00-00000A000000}" name="Column10" headerRowDxfId="737" dataDxfId="736"/>
    <tableColumn id="11" xr3:uid="{00000000-0010-0000-1C00-00000B000000}" name="Column11" headerRowDxfId="735" dataDxfId="734"/>
    <tableColumn id="12" xr3:uid="{00000000-0010-0000-1C00-00000C000000}" name="Column12" headerRowDxfId="733" dataDxfId="732"/>
    <tableColumn id="13" xr3:uid="{00000000-0010-0000-1C00-00000D000000}" name="Column13" headerRowDxfId="731" dataDxfId="730"/>
    <tableColumn id="14" xr3:uid="{00000000-0010-0000-1C00-00000E000000}" name="Column14" headerRowDxfId="729" dataDxfId="728"/>
    <tableColumn id="15" xr3:uid="{00000000-0010-0000-1C00-00000F000000}" name="Column15" headerRowDxfId="727" dataDxfId="726"/>
    <tableColumn id="16" xr3:uid="{00000000-0010-0000-1C00-000010000000}" name="Column16" headerRowDxfId="725" dataDxfId="724"/>
    <tableColumn id="17" xr3:uid="{00000000-0010-0000-1C00-000011000000}" name="Column17" headerRowDxfId="723" dataDxfId="722"/>
    <tableColumn id="18" xr3:uid="{00000000-0010-0000-1C00-000012000000}" name="Column18" headerRowDxfId="721" dataDxfId="720"/>
    <tableColumn id="19" xr3:uid="{00000000-0010-0000-1C00-000013000000}" name="Column19" headerRowDxfId="719" dataDxfId="718"/>
    <tableColumn id="20" xr3:uid="{00000000-0010-0000-1C00-000014000000}" name="Column20" headerRowDxfId="717" dataDxfId="716"/>
    <tableColumn id="21" xr3:uid="{00000000-0010-0000-1C00-000015000000}" name="Column21" headerRowDxfId="715" dataDxfId="714"/>
    <tableColumn id="22" xr3:uid="{00000000-0010-0000-1C00-000016000000}" name="Column22" headerRowDxfId="713" dataDxfId="712"/>
    <tableColumn id="23" xr3:uid="{00000000-0010-0000-1C00-000017000000}" name="Column23" headerRowDxfId="711" dataDxfId="710"/>
    <tableColumn id="24" xr3:uid="{00000000-0010-0000-1C00-000018000000}" name="Column24" headerRowDxfId="709" dataDxfId="708"/>
    <tableColumn id="25" xr3:uid="{00000000-0010-0000-1C00-000019000000}" name="Column25" headerRowDxfId="707" dataDxfId="706"/>
    <tableColumn id="26" xr3:uid="{00000000-0010-0000-1C00-00001A000000}" name="Column26" headerRowDxfId="705" dataDxfId="704"/>
    <tableColumn id="27" xr3:uid="{00000000-0010-0000-1C00-00001B000000}" name="Column27" headerRowDxfId="703" dataDxfId="702"/>
    <tableColumn id="28" xr3:uid="{00000000-0010-0000-1C00-00001C000000}" name="Column28" headerRowDxfId="701" dataDxfId="700"/>
    <tableColumn id="29" xr3:uid="{00000000-0010-0000-1C00-00001D000000}" name="Column29" headerRowDxfId="699" dataDxfId="698"/>
  </tableColumns>
  <tableStyleInfo name="TS_Total_Row" showFirstColumn="0" showLastColumn="0" showRowStripes="0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23FC995-925F-47AF-BC17-8D54D65918A2}" name="MDiplomiraneZS1" displayName="MDiplomiraneZS1" ref="AF70:AJ78" totalsRowShown="0" headerRowDxfId="697" dataDxfId="695" headerRowBorderDxfId="696" tableBorderDxfId="694">
  <autoFilter ref="AF70:AJ78" xr:uid="{023FC995-925F-47AF-BC17-8D54D65918A2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3" xr3:uid="{D0AA2801-3E36-4F2F-98CA-D13D73397607}" name="СпециалностМП" dataDxfId="693">
      <calculatedColumnFormula>"*"&amp;MDiplomiraneZS[[#This Row],[Магистърска програма]]&amp;"*\"&amp;MDiplomiraneZS[[#This Row],[Факултет]]&amp;"\м"&amp;LEFT(MDiplomiraneZS[[#This Row],[ФормаОб]],1)</calculatedColumnFormula>
    </tableColumn>
    <tableColumn id="1" xr3:uid="{8E81C93B-36EC-4316-BB8E-7096D3AD0901}" name="нацид|монСпециалностМП" dataDxfId="692">
      <calculatedColumnFormula>IFERROR(VLOOKUP(MDiplomiraneZS1[[#This Row],[СпециалностМП]],EducPlans_кодНАЦИД_Спец[[кодСпецДР]:[кодНАЦИД]],3,0),"")</calculatedColumnFormula>
    </tableColumn>
    <tableColumn id="4" xr3:uid="{929ED74C-5FA8-485D-936B-9B11F2C2F378}" name="|" dataDxfId="691">
      <calculatedColumnFormula>N(OFFSET(MDiplomiraneZS1[[#This Row],[|]],-1,0))+1</calculatedColumnFormula>
    </tableColumn>
    <tableColumn id="2" xr3:uid="{84359834-D7E2-4C4D-A62D-6E17DD52A625}" name="о.нацид|монСпециалностМП" dataDxfId="690">
      <calculatedColumnFormula>IF(MDiplomiraneZS1[[#This Row],[уЧасове]],MDiplomiraneZS1[[#This Row],[нацид|монСпециалностМП]],"")</calculatedColumnFormula>
    </tableColumn>
    <tableColumn id="6" xr3:uid="{135A01F6-8DC7-4262-9AF5-0363304993B1}" name="уЧасове" dataDxfId="689">
      <calculatedColumnFormula>SUM(MDiplomiraneZS[[#This Row],[чДР]:[чИ/ДИ/З]])</calculatedColumnFormula>
    </tableColumn>
  </tableColumns>
  <tableStyleInfo name="TS_Total_Row 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644B4CCB-D177-49AD-9A94-69A058C818E2}" name="MDiplomiraneLS1" displayName="MDiplomiraneLS1" ref="AF124:AJ132" totalsRowShown="0" headerRowDxfId="688" dataDxfId="686" headerRowBorderDxfId="687" tableBorderDxfId="685">
  <autoFilter ref="AF124:AJ132" xr:uid="{644B4CCB-D177-49AD-9A94-69A058C818E2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3" xr3:uid="{AE84DC88-95B0-43F7-A44A-B0E1900EB887}" name="СпециалностМП" dataDxfId="684">
      <calculatedColumnFormula>"*"&amp;MDiplomiraneLS[[#This Row],[Магистърска програма]]&amp;"*\"&amp;MDiplomiraneLS[[#This Row],[Факултет]]&amp;"\м"&amp;LEFT(MDiplomiraneLS[[#This Row],[ФормаОб]],1)</calculatedColumnFormula>
    </tableColumn>
    <tableColumn id="1" xr3:uid="{159973D5-B132-4276-869F-107B82F32BCF}" name="нацид|монСпециалностМП" dataDxfId="683">
      <calculatedColumnFormula>IFERROR(VLOOKUP(MDiplomiraneLS1[[#This Row],[СпециалностМП]],EducPlans_кодНАЦИД_Спец[[кодСпецДР]:[кодНАЦИД]],3,0),"")</calculatedColumnFormula>
    </tableColumn>
    <tableColumn id="4" xr3:uid="{DBB43A5B-F358-4ACE-9D9D-A5162992B0E5}" name="|" dataDxfId="682">
      <calculatedColumnFormula>N(OFFSET(MDiplomiraneLS1[[#This Row],[|]],-1,0))+1</calculatedColumnFormula>
    </tableColumn>
    <tableColumn id="2" xr3:uid="{7C867AF4-335F-47D1-9B74-4ABBEA071225}" name="о.нацид|монСпециалностМП" dataDxfId="681">
      <calculatedColumnFormula>IF(MDiplomiraneLS1[[#This Row],[уЧасове]],MDiplomiraneLS1[[#This Row],[нацид|монСпециалностМП]],"")</calculatedColumnFormula>
    </tableColumn>
    <tableColumn id="6" xr3:uid="{DCBA35F5-9479-480E-880F-4E064C5BE92D}" name="уЧасове" dataDxfId="680">
      <calculatedColumnFormula>SUM(MDiplomiraneLS[[#This Row],[чДР]:[чИ/ДИ/З]])</calculatedColumnFormula>
    </tableColumn>
  </tableColumns>
  <tableStyleInfo name="TS_Total_Row 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DrAZ" displayName="DrAZ" ref="B25:Z31" headerRowDxfId="679" dataDxfId="678" totalsRowDxfId="677" totalsRowBorderDxfId="676">
  <tableColumns count="25">
    <tableColumn id="1" xr3:uid="{00000000-0010-0000-1D00-000001000000}" name="Докторански курс" dataDxfId="675" totalsRowDxfId="674"/>
    <tableColumn id="22" xr3:uid="{00401F5C-4C7B-4D19-A9A7-7454A04B227F}" name="Факултет" dataDxfId="673" totalsRowDxfId="672"/>
    <tableColumn id="2" xr3:uid="{00000000-0010-0000-1D00-000002000000}" name="Докторантска програма" dataDxfId="671" totalsRowDxfId="670"/>
    <tableColumn id="3" xr3:uid="{00000000-0010-0000-1D00-000003000000}" name="Професионално направление" dataDxfId="669" totalsRowDxfId="668"/>
    <tableColumn id="14" xr3:uid="{00000000-0010-0000-1D00-00000E000000}" name="Език" dataDxfId="667" totalsRowDxfId="666"/>
    <tableColumn id="4" xr3:uid="{00000000-0010-0000-1D00-000004000000}" name="Докторанти" dataDxfId="665" totalsRowDxfId="664"/>
    <tableColumn id="5" xr3:uid="{00000000-0010-0000-1D00-000005000000}" name="Лекции" dataDxfId="663" totalsRowDxfId="662"/>
    <tableColumn id="6" xr3:uid="{00000000-0010-0000-1D00-000006000000}" name="Упражнения" dataDxfId="661" totalsRowDxfId="660"/>
    <tableColumn id="7" xr3:uid="{00000000-0010-0000-1D00-000007000000}" name="Изпитани" totalsRowFunction="sum" dataDxfId="659" totalsRowDxfId="658"/>
    <tableColumn id="13" xr3:uid="{00000000-0010-0000-1D00-00000D000000}" name="Семестър" dataDxfId="657" totalsRowDxfId="656"/>
    <tableColumn id="8" xr3:uid="{00000000-0010-0000-1D00-000008000000}" name="пПразни" dataDxfId="655" totalsRowDxfId="654">
      <calculatedColumnFormula>((9-COUNTBLANK(DrAZ[[#This Row],[Докторански курс]:[Семестър]]))&gt;1)*1</calculatedColumnFormula>
    </tableColumn>
    <tableColumn id="19" xr3:uid="{02F40BE3-2490-4DDF-B3EB-E3E4EADD65E5}" name="пДисциплина" dataDxfId="653" totalsRowDxfId="652">
      <calculatedColumnFormula>DrAZ[[#This Row],[пПразни]]*(3-COUNTBLANK(DrAZ[[#This Row],[Докторански курс]:[Професионално направление]])&lt;=3)</calculatedColumnFormula>
    </tableColumn>
    <tableColumn id="15" xr3:uid="{1DD74806-02D8-42CB-AB1B-A0651EE78FAD}" name="пДокторанти" dataDxfId="651" totalsRowDxfId="650">
      <calculatedColumnFormula>DrAZ[[#This Row],[пПразни]]*(N(DrAZ[[#This Row],[Докторанти]])=0)</calculatedColumnFormula>
    </tableColumn>
    <tableColumn id="20" xr3:uid="{E13BB92B-B7CE-41DA-86EC-C7B4F1C320BD}" name="пЛ_У" dataDxfId="649" totalsRowDxfId="648">
      <calculatedColumnFormula>DrAZ[[#This Row],[пПразни]]*(SUM(DrAZ[[#This Row],[Лекции]:[Упражнения]])=0)</calculatedColumnFormula>
    </tableColumn>
    <tableColumn id="18" xr3:uid="{99983412-EFFE-4C10-9BFB-D09B1E252137}" name="пИзпитани" dataDxfId="647" totalsRowDxfId="646">
      <calculatedColumnFormula>DrAZ[[#This Row],[пПразни]]*(N(DrAZ[[#This Row],[Изпитани]])=0)</calculatedColumnFormula>
    </tableColumn>
    <tableColumn id="17" xr3:uid="{AB565360-5F88-4C71-82E3-A63EC072484C}" name="пСеместър" dataDxfId="645" totalsRowDxfId="644">
      <calculatedColumnFormula>DrAZ[[#This Row],[пПразни]]*(LEN(DrAZ[[#This Row],[Семестър]])=0)</calculatedColumnFormula>
    </tableColumn>
    <tableColumn id="16" xr3:uid="{00000000-0010-0000-1D00-000010000000}" name="кСеместър" dataDxfId="643" totalsRowDxfId="642">
      <calculatedColumnFormula>IF(DrAZ[[#This Row],[пПразни]],DrAZ[[#This Row],[Семестър]]&amp;"|"&amp;DrAZ[[#This Row],[Език]],"")</calculatedColumnFormula>
    </tableColumn>
    <tableColumn id="9" xr3:uid="{00000000-0010-0000-1D00-000009000000}" name="кРедукция" dataDxfId="641" totalsRowDxfId="640">
      <calculatedColumnFormula>IF(DrAZ[[#This Row],[Докторанти]]&gt;=3,1,IFERROR(VLOOKUP(DrAZ[[#This Row],[Докторанти]],RedukciaDr[],2,0),0))</calculatedColumnFormula>
    </tableColumn>
    <tableColumn id="10" xr3:uid="{00000000-0010-0000-1D00-00000A000000}" name="кЕзик" dataDxfId="639" totalsRowDxfId="638">
      <calculatedColumnFormula>IF(DrAZ[[#This Row],[Език]]="чужд",1.5,1)</calculatedColumnFormula>
    </tableColumn>
    <tableColumn id="11" xr3:uid="{00000000-0010-0000-1D00-00000B000000}" name="чЛекции" totalsRowFunction="sum" dataDxfId="637" totalsRowDxfId="636">
      <calculatedColumnFormula>DrAZ[[#This Row],[Лекции]]*DrAZ[[#This Row],[кРедукция]]*DrAZ[[#This Row],[кЕзик]]*кЛекции</calculatedColumnFormula>
    </tableColumn>
    <tableColumn id="12" xr3:uid="{00000000-0010-0000-1D00-00000C000000}" name="чУпражнения" totalsRowFunction="sum" dataDxfId="635" totalsRowDxfId="634">
      <calculatedColumnFormula>DrAZ[[#This Row],[Упражнения]]*DrAZ[[#This Row],[кРедукция]]*DrAZ[[#This Row],[кЕзик]]*кУпражнение</calculatedColumnFormula>
    </tableColumn>
    <tableColumn id="21" xr3:uid="{99688330-619A-47D0-9BCC-448918618DFE}" name="чИзпитани" dataDxfId="633" totalsRowDxfId="632">
      <calculatedColumnFormula>DrAZ[[#This Row],[Изпитани]]*кИзпитаниДок</calculatedColumnFormula>
    </tableColumn>
    <tableColumn id="25" xr3:uid="{1F3559C1-8621-4C2F-8A33-77BC12C756CD}" name="|" dataDxfId="631" totalsRowDxfId="630">
      <calculatedColumnFormula>N(OFFSET(DrAZ[[#This Row],[|]],-1,0))+1</calculatedColumnFormula>
    </tableColumn>
    <tableColumn id="23" xr3:uid="{1B6DD81F-635D-4CEF-AE48-6613DDC8166A}" name="о.нацид|монСпециалностМП" dataDxfId="629" totalsRowDxfId="628">
      <calculatedColumnFormula>IF(DrAZ[[#This Row],[уЧасове]],"2|2-"&amp;DrAZ[[#This Row],[Факултет]]&amp;"-док|Док","")</calculatedColumnFormula>
    </tableColumn>
    <tableColumn id="24" xr3:uid="{389ADDEB-3396-47DB-A22D-574211A61F2C}" name="уЧасове" dataDxfId="627" totalsRowDxfId="626">
      <calculatedColumnFormula>IF(OR(DrAZ[[#This Row],[Семестър]]="летен", DrAZ[[#This Row],[Семестър]]="зимен"),SUM(DrAZ[[#This Row],[чЛекции]:[чИзпитани]]),0)</calculatedColumnFormula>
    </tableColumn>
  </tableColumns>
  <tableStyleInfo name="TS_Total_Row 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E000000}" name="T2_Доктор_КИ_НР" displayName="T2_Доктор_КИ_НР" ref="B35:E39" headerRowDxfId="625" dataDxfId="623" totalsRowDxfId="621" headerRowBorderDxfId="624" tableBorderDxfId="622" totalsRowBorderDxfId="620">
  <tableColumns count="4">
    <tableColumn id="1" xr3:uid="{00000000-0010-0000-1E00-000001000000}" name="Дейност" totalsRowLabel="Total" dataDxfId="619"/>
    <tableColumn id="4" xr3:uid="{72893E03-9089-4FCF-96D7-227B9DE8E16D}" name="Факултет" dataDxfId="618"/>
    <tableColumn id="2" xr3:uid="{00000000-0010-0000-1E00-000002000000}" name="Допълнително пояснение" totalsRowFunction="count" dataDxfId="617" totalsRowDxfId="616"/>
    <tableColumn id="3" xr3:uid="{00000000-0010-0000-1E00-000003000000}" name="Брой кандДок" dataDxfId="615"/>
  </tableColumns>
  <tableStyleInfo name="TableStyleLight8" showFirstColumn="0" showLastColumn="0" showRowStripes="1" showColumnStripes="1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0B97FC3-5ADB-45C5-9B76-1A982A2EDAF6}" name="T_КИ_НР" displayName="T_КИ_НР" ref="O35:R39" totalsRowShown="0" headerRowDxfId="614" dataDxfId="612" headerRowBorderDxfId="613" tableBorderDxfId="611">
  <autoFilter ref="O35:R39" xr:uid="{91B043E9-FDCA-494D-A16A-FDC49E3E380D}">
    <filterColumn colId="0" hiddenButton="1"/>
    <filterColumn colId="1" hiddenButton="1"/>
    <filterColumn colId="2" hiddenButton="1"/>
    <filterColumn colId="3" hiddenButton="1"/>
  </autoFilter>
  <tableColumns count="4">
    <tableColumn id="1" xr3:uid="{1B9BA6E2-815B-4CDC-9B02-C554003ECE4B}" name="A" dataDxfId="610"/>
    <tableColumn id="4" xr3:uid="{A8B8D246-327F-4E6E-A133-1507F5CA02D7}" name="кДейност" dataDxfId="609"/>
    <tableColumn id="2" xr3:uid="{244E8AA8-458B-4866-8952-F02357BB5FF1}" name="чУпр" dataDxfId="608">
      <calculatedColumnFormula>T2_Доктор_КИ_НР[[#This Row],[Брой кандДок]]*T_КИ_НР[[#This Row],[Коефициент]]</calculatedColumnFormula>
    </tableColumn>
    <tableColumn id="3" xr3:uid="{23D485C9-F204-4F9D-9963-711C9006E318}" name="Коефициент" dataDxfId="607">
      <calculatedColumnFormula>Coef!B20</calculatedColumnFormula>
    </tableColumn>
  </tableColumns>
  <tableStyleInfo name="TS_Total_Row 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5DB5B58C-B6C5-4BB7-A9CF-508CAC4E109C}" name="T2_Доктор_КИ_НР1" displayName="T2_Доктор_КИ_НР1" ref="X35:Z39" totalsRowShown="0" headerRowDxfId="606" dataDxfId="605" tableBorderDxfId="604">
  <autoFilter ref="X35:Z39" xr:uid="{5DB5B58C-B6C5-4BB7-A9CF-508CAC4E109C}">
    <filterColumn colId="0" hiddenButton="1"/>
    <filterColumn colId="1" hiddenButton="1"/>
    <filterColumn colId="2" hiddenButton="1"/>
  </autoFilter>
  <tableColumns count="3">
    <tableColumn id="1" xr3:uid="{D446A335-D989-4BD6-A687-F9C7C0E1BA9F}" name="|" dataDxfId="603">
      <calculatedColumnFormula>N(OFFSET(T2_Доктор_КИ_НР1[[#This Row],[|]],-1,0))+1</calculatedColumnFormula>
    </tableColumn>
    <tableColumn id="2" xr3:uid="{A235C4A3-CA42-4DFC-80E3-96D5D19804A7}" name="о.нацид|монСпециалностМП" dataDxfId="602">
      <calculatedColumnFormula>IF(T2_Доктор_КИ_НР1[[#This Row],[уЧасове]],"2|2-"&amp;T2_Доктор_КИ_НР[[#This Row],[Факултет]]&amp;"-док|Док","")</calculatedColumnFormula>
    </tableColumn>
    <tableColumn id="3" xr3:uid="{F11F88C7-1374-4024-8044-8D607EC7A648}" name="уЧасове" dataDxfId="601">
      <calculatedColumnFormula>T_КИ_НР[[#This Row],[чУпр]]</calculatedColumnFormula>
    </tableColumn>
  </tableColumns>
  <tableStyleInfo name="TS_Total_Row 2" showFirstColumn="0" showLastColumn="0" showRowStripes="1" showColumnStripes="1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4000000}" name="RakovodnaDl" displayName="RakovodnaDl" ref="A81:C87" totalsRowShown="0" headerRowDxfId="1688" dataDxfId="1686" headerRowBorderDxfId="1687" tableBorderDxfId="1685" totalsRowBorderDxfId="1684">
  <autoFilter ref="A81:C87" xr:uid="{00000000-0009-0000-0100-000011000000}"/>
  <tableColumns count="3">
    <tableColumn id="1" xr3:uid="{00000000-0010-0000-0400-000001000000}" name="Ръководна длъжност" dataDxfId="1683"/>
    <tableColumn id="2" xr3:uid="{00000000-0010-0000-0400-000002000000}" name="%" dataDxfId="1682"/>
    <tableColumn id="3" xr3:uid="{00000000-0010-0000-0400-000003000000}" name="%2" dataDxfId="1681"/>
  </tableColumns>
  <tableStyleInfo name="TableStyleLight8" showFirstColumn="0" showLastColumn="0" showRowStripes="0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F000000}" name="Подготовка_курс" displayName="Подготовка_курс" ref="B26:AC37" headerRowDxfId="600" dataDxfId="599" totalsRowBorderDxfId="598">
  <tableColumns count="28">
    <tableColumn id="1" xr3:uid="{00000000-0010-0000-1F00-000001000000}" name="Дейност" totalsRowLabel="Total" dataDxfId="597"/>
    <tableColumn id="2" xr3:uid="{00000000-0010-0000-1F00-000002000000}" name="Екип" dataDxfId="596"/>
    <tableColumn id="3" xr3:uid="{00000000-0010-0000-1F00-000003000000}" name="Дисциплина/Наименование на курс" dataDxfId="595"/>
    <tableColumn id="4" xr3:uid="{00000000-0010-0000-1F00-000004000000}" name="ОКС" dataDxfId="594"/>
    <tableColumn id="5" xr3:uid="{00000000-0010-0000-1F00-000005000000}" name="Специалност/Магистърска програма" dataDxfId="593"/>
    <tableColumn id="6" xr3:uid="{00000000-0010-0000-1F00-000006000000}" name="Факултет" dataDxfId="592"/>
    <tableColumn id="7" xr3:uid="{00000000-0010-0000-1F00-000007000000}" name="Вид" dataDxfId="591"/>
    <tableColumn id="8" xr3:uid="{00000000-0010-0000-1F00-000008000000}" name="ФормаОб" dataDxfId="590"/>
    <tableColumn id="9" xr3:uid="{00000000-0010-0000-1F00-000009000000}" name="Език" dataDxfId="589"/>
    <tableColumn id="11" xr3:uid="{00000000-0010-0000-1F00-00000B000000}" name="Лекции" dataDxfId="588"/>
    <tableColumn id="12" xr3:uid="{00000000-0010-0000-1F00-00000C000000}" name="Упражнения" dataDxfId="587"/>
    <tableColumn id="10" xr3:uid="{00000000-0010-0000-1F00-00000A000000}" name="Семестър" dataDxfId="586"/>
    <tableColumn id="13" xr3:uid="{00000000-0010-0000-1F00-00000D000000}" name="пДейност" dataDxfId="585">
      <calculatedColumnFormula>Подготовка_курс[[#This Row],[пПразни]]*(LEN(Подготовка_курс[[#This Row],[Дейност]])=0)</calculatedColumnFormula>
    </tableColumn>
    <tableColumn id="26" xr3:uid="{00000000-0010-0000-1F00-00001A000000}" name="пЕкип" dataDxfId="584">
      <calculatedColumnFormula>Подготовка_курс[[#This Row],[пПразни]]*(LEN(Подготовка_курс[[#This Row],[Екип]])=0)</calculatedColumnFormula>
    </tableColumn>
    <tableColumn id="14" xr3:uid="{00000000-0010-0000-1F00-00000E000000}" name="пОКС" dataDxfId="583">
      <calculatedColumnFormula>Подготовка_курс[[#This Row],[пПразни]]*(LEN(Подготовка_курс[[#This Row],[ОКС]])=0)</calculatedColumnFormula>
    </tableColumn>
    <tableColumn id="15" xr3:uid="{00000000-0010-0000-1F00-00000F000000}" name="пФормаОб" dataDxfId="582">
      <calculatedColumnFormula>Подготовка_курс[[#This Row],[пПразни]]*(LEN(Подготовка_курс[[#This Row],[ФормаОб]])=0)</calculatedColumnFormula>
    </tableColumn>
    <tableColumn id="27" xr3:uid="{E42AF34C-18C0-44F2-855C-7A62D1DF7D42}" name="пСеместър" dataDxfId="581">
      <calculatedColumnFormula>Подготовка_курс[[#This Row],[пПразни]]*(LEN(Подготовка_курс[[#This Row],[Семестър]])=0)</calculatedColumnFormula>
    </tableColumn>
    <tableColumn id="40" xr3:uid="{0A5E1F08-7944-459B-B06E-E5C1E318919E}" name="пЛ_У" dataDxfId="580">
      <calculatedColumnFormula>Подготовка_курс[[#This Row],[пПразни]]*(SUM(Подготовка_курс[[#This Row],[Лекции]:[Упражнения]])=0)</calculatedColumnFormula>
    </tableColumn>
    <tableColumn id="38" xr3:uid="{AA210C27-EC80-4397-8625-321F45E8B7B9}" name="пПразни" dataDxfId="579">
      <calculatedColumnFormula>((12-COUNTBLANK(Подготовка_курс[[#This Row],[Дейност]:[Семестър]]))&gt;1)*1</calculatedColumnFormula>
    </tableColumn>
    <tableColumn id="31" xr3:uid="{859E2041-6286-4435-A196-F551E4B7939D}" name="кДейност" dataDxfId="578">
      <calculatedColumnFormula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calculatedColumnFormula>
    </tableColumn>
    <tableColumn id="34" xr3:uid="{16E0D3A2-1034-4687-B5AD-13A986A440E3}" name="кЧасове" dataDxfId="577">
      <calculatedColumnFormula>IFERROR(SUM(Подготовка_курс[[#This Row],[Лекции]:[Упражнения]])*Подготовка_курс[[#This Row],[кДейност]]/Подготовка_курс[[#This Row],[Екип]],0)</calculatedColumnFormula>
    </tableColumn>
    <tableColumn id="35" xr3:uid="{CD06E6F6-7F42-4FC8-A282-749A2F7997D3}" name="Бакалавър" dataDxfId="576">
      <calculatedColumnFormula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calculatedColumnFormula>
    </tableColumn>
    <tableColumn id="36" xr3:uid="{5A15F475-B6FC-46E7-B32B-EADADB7A7C0E}" name="Магистър" dataDxfId="575">
      <calculatedColumnFormula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calculatedColumnFormula>
    </tableColumn>
    <tableColumn id="20" xr3:uid="{FAFBBC5E-C24A-458E-A4B2-4B47B57FD815}" name="СпециалностМП" dataDxfId="574">
      <calculatedColumnFormula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calculatedColumnFormula>
    </tableColumn>
    <tableColumn id="19" xr3:uid="{C644096C-BF23-41B0-8D83-A8899C2E5371}" name="нацид|монСпециалностМП" dataDxfId="573">
      <calculatedColumnFormula>IFERROR(VLOOKUP(Подготовка_курс[[#This Row],[СпециалностМП]],EducPlans_кодНАЦИД_Спец[[кодСпецДР]:[кодНАЦИД]],3,0),"")</calculatedColumnFormula>
    </tableColumn>
    <tableColumn id="16" xr3:uid="{A94E6637-750F-4796-ADBB-B55A5733B118}" name="|" dataDxfId="572">
      <calculatedColumnFormula>N(OFFSET(Подготовка_курс[[#This Row],[|]],-1,0))+1</calculatedColumnFormula>
    </tableColumn>
    <tableColumn id="17" xr3:uid="{6D12E0D1-E52D-4F59-9AE9-DFD32F6DD9EB}" name="о.нацид|монСпециалностМП" dataDxfId="571">
      <calculatedColumnFormula>IF(Подготовка_курс[[#This Row],[уЧасове]],Подготовка_курс[[#This Row],[нацид|монСпециалностМП]],"")</calculatedColumnFormula>
    </tableColumn>
    <tableColumn id="18" xr3:uid="{1F881E6E-38F4-4D14-99FE-7F23F9982AAC}" name="уЧасове" dataDxfId="570">
      <calculatedColumnFormula>IF(OR(Подготовка_курс[[#This Row],[Семестър]]="зимен",Подготовка_курс[[#This Row],[Семестър]]="летен"),Подготовка_курс[[#This Row],[кЧасове]],0)</calculatedColumnFormula>
    </tableColumn>
  </tableColumns>
  <tableStyleInfo name="TS_Total_Row 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BEFEF7FD-E616-4A34-9F28-98E1CA2E0770}" name="тДоговор" displayName="тДоговор" ref="B6:L27" totalsRowShown="0" dataDxfId="569">
  <autoFilter ref="B6:L27" xr:uid="{BEFEF7FD-E616-4A34-9F28-98E1CA2E0770}"/>
  <tableColumns count="11">
    <tableColumn id="3" xr3:uid="{C0208515-0297-4B7D-9654-9A69790CD2DF}" name="Факултет" dataDxfId="568"/>
    <tableColumn id="4" xr3:uid="{09B70F08-F537-4199-AA4D-CC0BEF692D80}" name="Преподавател" dataDxfId="567"/>
    <tableColumn id="5" xr3:uid="{84AE11C9-84D9-4843-A598-F89A8658FD82}" name="Сист. № на договор" dataDxfId="566"/>
    <tableColumn id="6" xr3:uid="{9D155373-45AD-4D4E-AEDC-208642D567EE}" name="Рег. № на договор" dataDxfId="565"/>
    <tableColumn id="7" xr3:uid="{4E649DB5-194D-4E6F-AB4C-F9A50ACE47A4}" name="от Дата" dataDxfId="564"/>
    <tableColumn id="8" xr3:uid="{F5B1F16A-711C-4F8A-A7DA-A147C4EBEAF0}" name="до Дата" dataDxfId="563"/>
    <tableColumn id="9" xr3:uid="{D1F9F76E-ED67-4BF1-A00A-C8F64817C117}" name="№" dataDxfId="562"/>
    <tableColumn id="10" xr3:uid="{864EDE5E-FC11-4F76-B152-712B2D096743}" name="Дисциплина" dataDxfId="561"/>
    <tableColumn id="11" xr3:uid="{0350FB89-397F-4098-BDC7-54EDB0AE2103}" name="Лекции" dataDxfId="560"/>
    <tableColumn id="12" xr3:uid="{426A22A4-50D3-4FC7-B898-0E3F53DA455B}" name="Упражнения" dataDxfId="559"/>
    <tableColumn id="13" xr3:uid="{AEBBB154-9BAB-42C8-BEA8-6C814B6599B9}" name="Реални часове" dataDxfId="558"/>
  </tableColumns>
  <tableStyleInfo name="TableStyleLight9" showFirstColumn="0" showLastColumn="0" showRowStripes="1" showColumnStripes="1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2F452D28-93AB-44E2-B56E-00BA871C2259}" name="T_Refresh" displayName="T_Refresh" ref="B6:H12" totalsRowShown="0" headerRowDxfId="557" dataDxfId="556">
  <autoFilter ref="B6:H12" xr:uid="{2F452D28-93AB-44E2-B56E-00BA871C2259}"/>
  <tableColumns count="7">
    <tableColumn id="1" xr3:uid="{5536BCEC-34FE-4F1F-94DF-DC3680AB31B8}" name="№" dataDxfId="555">
      <calculatedColumnFormula>N(OFFSET(T_Refresh[[#This Row],[№]],-1,0))+1</calculatedColumnFormula>
    </tableColumn>
    <tableColumn id="2" xr3:uid="{D22A8399-A2CA-466D-987B-4FDE9188C7EC}" name="Таблица - Power query" dataDxfId="554"/>
    <tableColumn id="3" xr3:uid="{B973B559-FBE7-4E5E-AE1C-FC2BA4633B4C}" name="Show" dataDxfId="553"/>
    <tableColumn id="7" xr3:uid="{D9AF55F8-E341-41F4-A802-F5A74C4ED345}" name="Sheet" dataDxfId="552"/>
    <tableColumn id="4" xr3:uid="{44859B7A-7805-4274-BDB8-697BF5978C72}" name="Ref" dataDxfId="551"/>
    <tableColumn id="5" xr3:uid="{C4A44766-54D9-4F23-BD8C-E1AC01D8EF68}" name="Refresh" dataDxfId="550"/>
    <tableColumn id="6" xr3:uid="{53363B3D-93F6-4C03-8044-4CF126DA3295}" name="Време" dataDxfId="549"/>
  </tableColumns>
  <tableStyleInfo name="TableStyleLight9" showFirstColumn="0" showLastColumn="0" showRowStripes="1" showColumnStripes="1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7B72755D-7491-4899-BAB5-1585F0D3D54E}" name="Table_НАЦИД_Обобщен_отчет" displayName="Table_НАЦИД_Обобщен_отчет" ref="C17:AC18" tableType="queryTable" insertRow="1" totalsRowShown="0" headerRowDxfId="548" dataDxfId="547">
  <autoFilter ref="C17:AC18" xr:uid="{7B72755D-7491-4899-BAB5-1585F0D3D54E}"/>
  <tableColumns count="27">
    <tableColumn id="1" xr3:uid="{DCA591C3-085D-44B9-BD9A-1E253ABAB04B}" uniqueName="1" name="аФакултет" queryTableFieldId="1" dataDxfId="546"/>
    <tableColumn id="2" xr3:uid="{AC4A9121-1DB3-4CA2-89E2-762AFCB42271}" uniqueName="2" name="упрЧасове" queryTableFieldId="2" dataDxfId="545"/>
    <tableColumn id="3" xr3:uid="{E0427447-8AD2-4A7C-87D2-04FFDADB8DA9}" uniqueName="3" name="кодНАЦИД.Спец" queryTableFieldId="3" dataDxfId="544"/>
    <tableColumn id="4" xr3:uid="{C7961D0B-0C79-4AA5-87F0-A4CA31286EB8}" uniqueName="4" name="нацидСпециалност" queryTableFieldId="4" dataDxfId="543"/>
    <tableColumn id="5" xr3:uid="{FEE59DBE-7129-4EF2-895F-3DDF7599EF86}" uniqueName="5" name="&lt;|&gt;" queryTableFieldId="5" dataDxfId="542"/>
    <tableColumn id="6" xr3:uid="{47A18D66-8D0E-4D15-B758-1CA657425AC4}" uniqueName="6" name="TeacherLotNumber:" queryTableFieldId="6" dataDxfId="541"/>
    <tableColumn id="7" xr3:uid="{2A46947F-A77B-4EC6-AC47-687232919793}" uniqueName="7" name="пПреподавател:" queryTableFieldId="7" dataDxfId="540"/>
    <tableColumn id="8" xr3:uid="{F5F5A18A-4074-4B5A-86C0-130597F3B301}" uniqueName="8" name="аЕГН:" queryTableFieldId="8" dataDxfId="539"/>
    <tableColumn id="9" xr3:uid="{6990DCE3-4AC8-420D-8798-79E4F123E8EC}" uniqueName="9" name="&lt;|&gt;.1" queryTableFieldId="9" dataDxfId="538"/>
    <tableColumn id="10" xr3:uid="{24120520-70C7-4364-AE32-0F619CB70E91}" uniqueName="10" name="аУчебна година:" queryTableFieldId="10" dataDxfId="537"/>
    <tableColumn id="11" xr3:uid="{0BE8411E-3DCC-4949-B4FE-6FA8BCE10EAA}" uniqueName="11" name="аСeместър:" queryTableFieldId="11" dataDxfId="536"/>
    <tableColumn id="12" xr3:uid="{BC6610FF-05BE-48FC-9EB1-7F0B6D49C1B6}" uniqueName="12" name="пФакултет:" queryTableFieldId="12" dataDxfId="535"/>
    <tableColumn id="13" xr3:uid="{17D6BC7B-E29B-4301-9400-F771558C372C}" uniqueName="13" name="пКатедра:" queryTableFieldId="13" dataDxfId="534"/>
    <tableColumn id="14" xr3:uid="{016B5B06-58F5-472D-A5BE-FD09EFDED790}" uniqueName="14" name="пАкад. длъжност:" queryTableFieldId="14" dataDxfId="533"/>
    <tableColumn id="15" xr3:uid="{0A40BD80-AF65-4DC5-AB58-0CE397D6ACD7}" uniqueName="15" name="пРък. длъжност:" queryTableFieldId="15" dataDxfId="532"/>
    <tableColumn id="16" xr3:uid="{289DC4D8-4F3F-40D6-A54D-A9D67121DD5F}" uniqueName="16" name="бмлОЗ:" queryTableFieldId="16" dataDxfId="531"/>
    <tableColumn id="17" xr3:uid="{DEB8DE98-2C27-4731-B389-C3178A3203B6}" uniqueName="17" name="бмлАЗ:" queryTableFieldId="17" dataDxfId="530"/>
    <tableColumn id="18" xr3:uid="{B73B760C-E709-4AF6-9A5D-C1EFA8F83139}" uniqueName="18" name="бмлдОЗ:" queryTableFieldId="18" dataDxfId="529"/>
    <tableColumn id="19" xr3:uid="{F169198E-B908-4913-A6E8-4D9277352CC8}" uniqueName="19" name="бмлдАЗ:" queryTableFieldId="19" dataDxfId="528"/>
    <tableColumn id="20" xr3:uid="{E00167DC-8609-4E94-8629-2F0F7030CE65}" uniqueName="20" name="бакУЗ:" queryTableFieldId="20" dataDxfId="527"/>
    <tableColumn id="21" xr3:uid="{83EB7317-745B-4510-8931-413CFECC998F}" uniqueName="21" name="бакАз:" queryTableFieldId="21" dataDxfId="526"/>
    <tableColumn id="22" xr3:uid="{3E50FC50-97AB-4894-95CC-6028A9491141}" uniqueName="22" name="магУЗ:" queryTableFieldId="22" dataDxfId="525"/>
    <tableColumn id="23" xr3:uid="{3C6E4A36-95C3-4D2B-9EBA-2A39BBE97F2C}" uniqueName="23" name="магАЗ:" queryTableFieldId="23" dataDxfId="524"/>
    <tableColumn id="24" xr3:uid="{8B0F3974-21EF-4809-AF98-7DF4BEF8BFB5}" uniqueName="24" name="пЗабележка:" queryTableFieldId="24" dataDxfId="523"/>
    <tableColumn id="25" xr3:uid="{9694CC2B-F089-4737-A56D-5ADA5806C338}" uniqueName="25" name="Teacher_ID:" queryTableFieldId="25" dataDxfId="522"/>
    <tableColumn id="26" xr3:uid="{7BF9223B-5C32-42B2-A9A0-A62F762878E3}" uniqueName="26" name="PersonData_ID:" queryTableFieldId="26" dataDxfId="521"/>
    <tableColumn id="27" xr3:uid="{E40EB195-C57D-4CB8-8B7D-7F8BAAAA5456}" uniqueName="27" name="LDAPUserName:" queryTableFieldId="27" dataDxfId="520"/>
  </tableColumns>
  <tableStyleInfo name="TableStyleLight10" showFirstColumn="0" showLastColumn="0" showRowStripes="1" showColumnStripes="1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221312E1-A561-41A2-B2F0-7F43360924E3}" name="dbеФакултет_ОЗ_Спец" displayName="dbеФакултет_ОЗ_Спец" ref="N16:U17" tableType="queryTable" insertRow="1" headerRowDxfId="519" dataDxfId="518" totalsRowDxfId="517">
  <autoFilter ref="N16:U17" xr:uid="{043F811A-1FA2-41FF-868D-DD83E23D9DF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AA5F1A21-55B8-445E-B57D-F6BEF803C04A}" uniqueName="1" name="Факултет" queryTableFieldId="1" dataDxfId="516" totalsRowDxfId="515" dataCellStyle="Normal 2 2"/>
    <tableColumn id="6" xr3:uid="{C2EE7938-0CCF-4BC1-A746-0A39A997D19B}" uniqueName="6" name="фОЗ" queryTableFieldId="39" dataDxfId="514" dataCellStyle="Normal 3"/>
    <tableColumn id="5" xr3:uid="{02088512-F1F6-4D06-BFCB-08C31E07D353}" uniqueName="5" name="Name" queryTableFieldId="37"/>
    <tableColumn id="13" xr3:uid="{33099ABC-B6EF-4313-90E2-237E1529A98E}" uniqueName="13" name="ОЗ." totalsRowFunction="sum" queryTableFieldId="24" dataDxfId="513" totalsRowDxfId="512" dataCellStyle="Normal 3"/>
    <tableColumn id="14" xr3:uid="{2E8A6513-EC70-4B14-B4A9-B693B37B09CB}" uniqueName="14" name="т№" queryTableFieldId="25" dataDxfId="511" dataCellStyle="Normal 3"/>
    <tableColumn id="7" xr3:uid="{84721AB4-2C5E-4637-AB2A-51B06394FC61}" uniqueName="7" name="аСпец" queryTableFieldId="12" dataDxfId="510" dataCellStyle="Normal 3"/>
    <tableColumn id="4" xr3:uid="{70C9CA97-BB9C-44E6-83DC-2DB2D3856CB7}" uniqueName="4" name="код" queryTableFieldId="33"/>
    <tableColumn id="11" xr3:uid="{202CC957-1339-449B-B66C-1AA1A124ACA6}" uniqueName="11" name="CodeSpecialityName" queryTableFieldId="20" dataDxfId="509" dataCellStyle="Normal 3"/>
  </tableColumns>
  <tableStyleInfo name="TableStyleLight14" showFirstColumn="1" showLastColumn="1" showRowStripes="1" showColumnStripes="1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7DCA8995-388E-4EFB-B062-55EF7237D71F}" name="RT_Документация_H_Спр" displayName="RT_Документация_H_Спр" ref="X2:AQ3" tableType="queryTable" totalsRowShown="0" headerRowDxfId="508" dataDxfId="507">
  <autoFilter ref="X2:AQ3" xr:uid="{1609195E-6F88-4E50-9321-93ADDE9702FD}"/>
  <tableColumns count="20">
    <tableColumn id="1" xr3:uid="{C02305E1-3CB2-49E6-8CB5-9B82BCA8BDA7}" uniqueName="1" name="аУчебна година:" queryTableFieldId="1" dataDxfId="506" dataCellStyle="Normal 2 2"/>
    <tableColumn id="2" xr3:uid="{415ADD74-51A7-49B6-A59F-50EE0FAE98EF}" uniqueName="2" name="аСeместър:" queryTableFieldId="2" dataDxfId="505" dataCellStyle="Normal 2 2"/>
    <tableColumn id="29" xr3:uid="{892DCB8F-A398-4C4B-81A2-20EBCDEEC0F9}" uniqueName="29" name="Column2" queryTableFieldId="39" dataDxfId="504" dataCellStyle="Normal 2 2"/>
    <tableColumn id="21" xr3:uid="{5AD4FC22-44BD-4461-8D89-E90273E6ADF8}" uniqueName="21" name="Column1" queryTableFieldId="31" dataDxfId="503" dataCellStyle="Normal 2 2"/>
    <tableColumn id="3" xr3:uid="{6759073D-BD58-42DE-A39D-57910A17D7CF}" uniqueName="3" name="пФакултет:" queryTableFieldId="3" dataDxfId="502" dataCellStyle="Normal 2 2"/>
    <tableColumn id="7" xr3:uid="{C850DFF7-50B3-47FB-A1B1-E68D98BACDAB}" uniqueName="7" name="пКатедра:" queryTableFieldId="7" dataDxfId="501" dataCellStyle="Normal 2 2"/>
    <tableColumn id="8" xr3:uid="{18A47BBB-D311-4930-A116-C77AC23EDA3F}" uniqueName="8" name="пАкад. длъжност:" queryTableFieldId="8" dataDxfId="500" dataCellStyle="Normal 2 2"/>
    <tableColumn id="9" xr3:uid="{02A7BB10-76FA-4590-8C52-FAE297ED4B07}" uniqueName="9" name="пРък. длъжност:" queryTableFieldId="9" dataDxfId="499" dataCellStyle="Normal 2 2"/>
    <tableColumn id="10" xr3:uid="{84C819BC-D9AA-4174-B861-F37DA3BE3011}" uniqueName="10" name="пПреподавател:" queryTableFieldId="10" dataDxfId="498" dataCellStyle="Normal 2 2"/>
    <tableColumn id="11" xr3:uid="{FC623B68-56D5-4EBF-98A8-26D7C14A7824}" uniqueName="11" name="аЕГН:" queryTableFieldId="11" dataDxfId="497" dataCellStyle="Normal 2 2"/>
    <tableColumn id="13" xr3:uid="{BA885209-387E-4DED-A1B1-69A324BD406F}" uniqueName="13" name="бмлОЗ:" queryTableFieldId="13" dataDxfId="496" dataCellStyle="Normal 2 2"/>
    <tableColumn id="14" xr3:uid="{9D895D22-5EB1-48D4-B26C-029419523585}" uniqueName="14" name="бмлАЗ:" queryTableFieldId="14" dataDxfId="495" dataCellStyle="Normal 2 2"/>
    <tableColumn id="15" xr3:uid="{A211D62E-040D-42C5-99E0-FC94DD3E322F}" uniqueName="15" name="бмлдОЗ:" queryTableFieldId="15" dataDxfId="494" dataCellStyle="Normal 2 2"/>
    <tableColumn id="16" xr3:uid="{1157651B-2E94-4C74-AC8E-17EFF594E9D5}" uniqueName="16" name="бмлдАЗ:" queryTableFieldId="16" dataDxfId="493" dataCellStyle="Normal 2 2"/>
    <tableColumn id="12" xr3:uid="{B488BE94-A6FE-4DE8-BF05-ABD424C1BDD8}" uniqueName="12" name="пЗабележка:" queryTableFieldId="12" dataDxfId="492" dataCellStyle="Normal 2 2"/>
    <tableColumn id="4" xr3:uid="{181A8E52-7F19-44E2-BCC6-81BE1547D14A}" uniqueName="4" name="Teacher_ID:" queryTableFieldId="4" dataDxfId="491" dataCellStyle="Normal 2 2"/>
    <tableColumn id="5" xr3:uid="{B12FBADE-6573-47E6-B2EA-A3E6D2C3AB04}" uniqueName="5" name="PersonData_ID:" queryTableFieldId="5" dataDxfId="490" dataCellStyle="Normal 2 2"/>
    <tableColumn id="6" xr3:uid="{412606D6-547B-4161-8687-4F7456946067}" uniqueName="6" name="LDAPUserName:" queryTableFieldId="6" dataDxfId="489" dataCellStyle="Normal 2 2"/>
    <tableColumn id="17" xr3:uid="{A11922EE-B370-4090-86B1-97EF82B2FD59}" uniqueName="17" name="k" queryTableFieldId="40" dataCellStyle="Normal 2 2"/>
    <tableColumn id="18" xr3:uid="{F6A71F62-F517-48BE-A51E-C29177B803C1}" uniqueName="18" name="аФакултет" queryTableFieldId="41" dataDxfId="488"/>
  </tableColumns>
  <tableStyleInfo name="TableStyleMedium7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BB43C4F4-00F1-47F0-BDCC-286EE9CF1F17}" name="dbеФакултет_ОЗ_Спец_ОбщоОЗ" displayName="dbеФакултет_ОЗ_Спец_ОбщоОЗ" ref="C16:D18" tableType="queryTable" insertRow="1" totalsRowCount="1" headerRowDxfId="487" dataDxfId="486" totalsRowDxfId="485" headerRowCellStyle="Normal 2" dataCellStyle="Normal 2">
  <autoFilter ref="C16:D17" xr:uid="{4B224848-6E73-44E2-B58B-EC40980DD94B}">
    <filterColumn colId="0" hiddenButton="1"/>
    <filterColumn colId="1" hiddenButton="1"/>
  </autoFilter>
  <tableColumns count="2">
    <tableColumn id="1" xr3:uid="{4269BF1C-2C1C-4791-B17C-D4954C650899}" uniqueName="1" name="Факултет" totalsRowLabel="Total" queryTableFieldId="1" dataDxfId="484" totalsRowDxfId="483" dataCellStyle="Normal 2 2"/>
    <tableColumn id="2" xr3:uid="{DEBA9E59-0363-4910-BE96-484A2E4E8B88}" uniqueName="2" name="ОЗ" totalsRowFunction="sum" queryTableFieldId="2" dataDxfId="482" totalsRowDxfId="481" dataCellStyle="Normal 3"/>
  </tableColumns>
  <tableStyleInfo name="TableStyleLight10" showFirstColumn="1" showLastColumn="0" showRowStripes="1" showColumnStripes="1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888EE34A-DEE9-42D0-8C76-C0FC57255D32}" name="dbеФакултет_ОЗ_Спец_ОбщоСпец" displayName="dbеФакултет_ОЗ_Спец_ОбщоСпец" ref="F16:L17" tableType="queryTable" insertRow="1" totalsRowShown="0" headerRowDxfId="480" dataDxfId="479" headerRowCellStyle="Normal 2" dataCellStyle="Normal 2">
  <autoFilter ref="F16:L17" xr:uid="{F4C319A7-ED65-423F-BD3B-665B537613B8}">
    <filterColumn colId="0" hiddenButton="1"/>
    <filterColumn colId="3" hiddenButton="1"/>
    <filterColumn colId="4" hiddenButton="1"/>
  </autoFilter>
  <tableColumns count="7">
    <tableColumn id="1" xr3:uid="{6DFFDC30-F4EC-4764-80D1-E556189112B9}" uniqueName="1" name="Факултет" queryTableFieldId="1" dataDxfId="478" dataCellStyle="Normal 2 2"/>
    <tableColumn id="8" xr3:uid="{650C13F5-736F-432C-B4AF-1472D9CC7F41}" uniqueName="8" name="фОЗ" queryTableFieldId="9"/>
    <tableColumn id="3" xr3:uid="{3285429C-7C15-4DA8-9C9E-1056FD56AB04}" uniqueName="3" name="кодНАЦИД-МОН" queryTableFieldId="14"/>
    <tableColumn id="2" xr3:uid="{455842E8-51CC-4100-9FD1-6DF23AAA4E31}" uniqueName="2" name="аСпец" queryTableFieldId="2" dataDxfId="477" dataCellStyle="Normal 2 2"/>
    <tableColumn id="5" xr3:uid="{D380CCD8-F847-4D8C-8AE3-167FC39920B4}" uniqueName="5" name="CodeSpecialityName" queryTableFieldId="5" dataDxfId="476" dataCellStyle="Normal 3"/>
    <tableColumn id="9" xr3:uid="{6C79F6A5-84A8-4C2D-B446-C376800D4B01}" uniqueName="9" name="пПреподавател:" queryTableFieldId="12"/>
    <tableColumn id="10" xr3:uid="{90102C14-D2E7-453F-B00C-5725DE53974C}" uniqueName="10" name="аЕГН:" queryTableFieldId="13"/>
  </tableColumns>
  <tableStyleInfo name="TableStyleLight10" showFirstColumn="0" showLastColumn="0" showRowStripes="1" showColumnStripes="1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189BD6C-A4FE-4501-AECC-C34E86F0D1AD}" name="EducPlans_кодНАЦИД_Спец" displayName="EducPlans_кодНАЦИД_Спец" ref="C6:P1930" tableType="queryTable" totalsRowShown="0" dataDxfId="475">
  <autoFilter ref="C6:P1930" xr:uid="{0189BD6C-A4FE-4501-AECC-C34E86F0D1AD}"/>
  <tableColumns count="14">
    <tableColumn id="1" xr3:uid="{71A0B963-E7A2-4773-880F-5B5ED1AB3C95}" uniqueName="1" name="№" queryTableFieldId="1" dataDxfId="474"/>
    <tableColumn id="11" xr3:uid="{97CFD016-9AE1-41EE-9C2D-E12D6722C533}" uniqueName="11" name="initialPartId" queryTableFieldId="12" dataDxfId="473"/>
    <tableColumn id="2" xr3:uid="{880F7F32-7B6C-4C77-878F-8AC5FAF8C32D}" uniqueName="2" name="Специалност" queryTableFieldId="2" dataDxfId="472"/>
    <tableColumn id="4" xr3:uid="{52A2BA97-1C65-4D50-9D7F-97B945FF9FE2}" uniqueName="4" name="код" queryTableFieldId="4" dataDxfId="471"/>
    <tableColumn id="3" xr3:uid="{F70734B7-B1FC-4BE1-94C3-539FCD3ABDAF}" uniqueName="3" name="аФакултет" queryTableFieldId="3" dataDxfId="470"/>
    <tableColumn id="5" xr3:uid="{7C5ABDE1-4027-4827-ACBD-1949C0884EB0}" uniqueName="5" name="ОКС" queryTableFieldId="5" dataDxfId="469"/>
    <tableColumn id="6" xr3:uid="{0DEB4372-3870-40A5-850C-1736F826A645}" uniqueName="6" name="оФорма" queryTableFieldId="6" dataDxfId="468"/>
    <tableColumn id="7" xr3:uid="{16AE5C6C-7C6C-439C-86D6-56FFDF116274}" uniqueName="7" name="аСпец" queryTableFieldId="7" dataDxfId="467"/>
    <tableColumn id="8" xr3:uid="{9485B313-453B-4D7F-ACA5-EFAABA0D395D}" uniqueName="8" name="Code_MON" queryTableFieldId="8" dataDxfId="466"/>
    <tableColumn id="9" xr3:uid="{DB4A99AE-9020-44AA-8299-167614C141DA}" uniqueName="9" name="аФакСец" queryTableFieldId="9" dataDxfId="465"/>
    <tableColumn id="12" xr3:uid="{15D7A312-E1C5-472C-A10E-0C8179CE90A2}" uniqueName="12" name="кодСпецДР" queryTableFieldId="14" dataDxfId="464"/>
    <tableColumn id="13" xr3:uid="{35AC383A-3F9C-4C1D-9F75-90F406920741}" uniqueName="13" name="кодАСпецДР" queryTableFieldId="15" dataDxfId="463"/>
    <tableColumn id="14" xr3:uid="{66B741F9-8428-47FA-8E3F-5E7D8FEFB890}" uniqueName="14" name="кодНАЦИД" queryTableFieldId="16" dataDxfId="462"/>
    <tableColumn id="10" xr3:uid="{1C37D763-593C-48A7-8C4A-C0F87B7F949D}" uniqueName="10" name="Column1" queryTableFieldId="11" dataDxfId="461">
      <calculatedColumnFormula>COUNTIF(EducPlans_кодНАЦИД_Спец[аФакСец],EducPlans_кодНАЦИД_Спец[[#This Row],[аФакСец]])</calculatedColumnFormula>
    </tableColumn>
  </tableColumns>
  <tableStyleInfo name="TableStyleLight10" showFirstColumn="0" showLastColumn="0" showRowStripes="1" showColumnStripes="1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F5047D2-2A9F-4547-8962-985B9291F530}" name="ТФакултет" displayName="ТФакултет" ref="B4:E24" totalsRowShown="0" headerRowDxfId="460" dataDxfId="459">
  <autoFilter ref="B4:E24" xr:uid="{FF5047D2-2A9F-4547-8962-985B9291F530}"/>
  <sortState xmlns:xlrd2="http://schemas.microsoft.com/office/spreadsheetml/2017/richdata2" ref="C5:E24">
    <sortCondition ref="D1:D21"/>
  </sortState>
  <tableColumns count="4">
    <tableColumn id="4" xr3:uid="{F6B1DA27-4FE6-4392-91E2-E2CA38275FDB}" name="№" dataDxfId="458">
      <calculatedColumnFormula>N(OFFSET(ТФакултет[[#This Row],[№]],-1,0))+1</calculatedColumnFormula>
    </tableColumn>
    <tableColumn id="1" xr3:uid="{0AAC80AB-2A1A-4207-AF63-74A975066C1F}" name="Факултет" dataDxfId="457"/>
    <tableColumn id="2" xr3:uid="{42DA583E-04A1-477C-BA92-0A383C908512}" name="Ранг" dataDxfId="456"/>
    <tableColumn id="3" xr3:uid="{019E5B9E-5AA4-4CB7-B3D8-EC706F8E4534}" name="аФакултет" dataDxfId="455"/>
  </tableColumns>
  <tableStyleInfo name="BlueBlank" showFirstColumn="0" showLastColumn="0" showRowStripes="1" showColumnStripes="1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5000000}" name="TablePN" displayName="TablePN" ref="A100:C139" totalsRowShown="0" headerRowDxfId="1680" dataDxfId="1678" headerRowBorderDxfId="1679" tableBorderDxfId="1677">
  <autoFilter ref="A100:C139" xr:uid="{00000000-0009-0000-0100-000016000000}"/>
  <tableColumns count="3">
    <tableColumn id="1" xr3:uid="{00000000-0010-0000-0500-000001000000}" name="Професионално направление" dataDxfId="1676"/>
    <tableColumn id="2" xr3:uid="{00000000-0010-0000-0500-000002000000}" name="Шифър" dataDxfId="1675"/>
    <tableColumn id="3" xr3:uid="{00000000-0010-0000-0500-000003000000}" name="Column1" dataDxfId="1674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6C35AB44-7C3B-4F7D-8719-B3625A197658}" name="ТобФакултет" displayName="ТобФакултет" ref="N4:O22" totalsRowShown="0" dataDxfId="454">
  <autoFilter ref="N4:O22" xr:uid="{6C35AB44-7C3B-4F7D-8719-B3625A197658}"/>
  <tableColumns count="2">
    <tableColumn id="2" xr3:uid="{046E098B-6084-4A0B-9593-4C8FFE80AFD6}" name="№" dataDxfId="453">
      <calculatedColumnFormula>N(OFFSET(ТобФакултет[[#This Row],[№]],-1,0))+1</calculatedColumnFormula>
    </tableColumn>
    <tableColumn id="1" xr3:uid="{F4A87A91-3669-48BC-87C8-FBBA222C4ACA}" name="обфакултет" dataDxfId="452"/>
  </tableColumns>
  <tableStyleInfo name="BlueBlank" showFirstColumn="0" showLastColumn="0" showRowStripes="1" showColumnStripes="1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13E976C9-6096-4806-A267-070328ACA448}" name="ТкСтуденти" displayName="ТкСтуденти" ref="N41:P48" totalsRowShown="0" headerRowDxfId="451" dataDxfId="450">
  <autoFilter ref="N41:P48" xr:uid="{13E976C9-6096-4806-A267-070328ACA448}"/>
  <sortState xmlns:xlrd2="http://schemas.microsoft.com/office/spreadsheetml/2017/richdata2" ref="O42:P47">
    <sortCondition ref="O41:O47"/>
  </sortState>
  <tableColumns count="3">
    <tableColumn id="3" xr3:uid="{58C4E75F-C183-4349-9E55-CF164419709F}" name="№" dataDxfId="449">
      <calculatedColumnFormula>N(OFFSET(ТкСтуденти[[#This Row],[№]],-1,0))+1</calculatedColumnFormula>
    </tableColumn>
    <tableColumn id="1" xr3:uid="{EB0322F8-439B-4BAD-B0AA-B89460178B46}" name="брСтуденти" dataDxfId="448"/>
    <tableColumn id="2" xr3:uid="{06806C37-BB79-4022-982E-8C0FE658AC5D}" name="Коеф." dataDxfId="447"/>
  </tableColumns>
  <tableStyleInfo name="BlueBlank" showFirstColumn="0" showLastColumn="0" showRowStripes="1" showColumnStripes="1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6BF6CC3-5F3E-4946-AAE3-A25F036BA1AA}" name="ТвидИзпитващ" displayName="ТвидИзпитващ" ref="N66:P68" totalsRowShown="0" dataDxfId="446">
  <autoFilter ref="N66:P68" xr:uid="{D6BF6CC3-5F3E-4946-AAE3-A25F036BA1AA}"/>
  <tableColumns count="3">
    <tableColumn id="1" xr3:uid="{669DCF53-9C81-4033-9262-DEE27EF9ECAC}" name="№" dataDxfId="445">
      <calculatedColumnFormula>N(OFFSET(ТвидИзпитващ[[#This Row],[№]],-1,0))+1</calculatedColumnFormula>
    </tableColumn>
    <tableColumn id="2" xr3:uid="{86B17385-AECB-4A21-818F-FE25A7B86B03}" name="видИзпитващ" dataDxfId="444"/>
    <tableColumn id="3" xr3:uid="{89FBBB1C-2D2A-4BB6-8026-2707A1E82D90}" name="Коеф." dataDxfId="443"/>
  </tableColumns>
  <tableStyleInfo name="BlueBlank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26797EC-44E6-4B8D-99BD-091FCAC26322}" name="ТобФорма" displayName="ТобФорма" ref="N33:O37" totalsRowShown="0">
  <autoFilter ref="N33:O37" xr:uid="{D26797EC-44E6-4B8D-99BD-091FCAC26322}"/>
  <tableColumns count="2">
    <tableColumn id="1" xr3:uid="{EA495C16-E4CF-4509-A2BC-B441871EB681}" name="№" dataDxfId="442">
      <calculatedColumnFormula>N(OFFSET(ТобФорма[[#This Row],[№]],-1,0))+1</calculatedColumnFormula>
    </tableColumn>
    <tableColumn id="2" xr3:uid="{C05E6C90-6A16-435A-A802-532660DA5215}" name="обФорма" dataDxfId="441"/>
  </tableColumns>
  <tableStyleInfo name="BlueBlank" showFirstColumn="0" showLastColumn="0" showRowStripes="1" showColumnStripes="1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60BA7EA4-A776-49A3-AF2E-66C2EBBA28A1}" name="ТръкДлъжност" displayName="ТръкДлъжност" ref="H4:K12" totalsRowShown="0" headerRowDxfId="440" dataDxfId="439">
  <autoFilter ref="H4:K12" xr:uid="{60BA7EA4-A776-49A3-AF2E-66C2EBBA28A1}"/>
  <tableColumns count="4">
    <tableColumn id="4" xr3:uid="{C4F9C2FE-F27A-4BD2-ACB5-D1ABC6AA2E50}" name="№" dataDxfId="438">
      <calculatedColumnFormula>N(OFFSET(ТръкДлъжност[[#This Row],[№]],-1,0))+1</calculatedColumnFormula>
    </tableColumn>
    <tableColumn id="1" xr3:uid="{BE032AB6-0AAB-493C-AC6B-C38F8A0C7A12}" name="Ръководна длъжност" dataDxfId="437"/>
    <tableColumn id="2" xr3:uid="{14A889F6-AD9A-4D1E-8E4B-016A19963BB3}" name="т%" dataDxfId="436"/>
    <tableColumn id="5" xr3:uid="{AE25D534-6898-4101-B749-2AF54B5F4DBB}" name="%" dataDxfId="435"/>
  </tableColumns>
  <tableStyleInfo name="BlueBlank" showFirstColumn="0" showLastColumn="0" showRowStripes="1" showColumnStripes="1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4AEFD41-41F7-46DA-87CE-D04F00B172F0}" name="ТвидДисц" displayName="ТвидДисц" ref="N26:O29" totalsRowShown="0" tableBorderDxfId="434">
  <autoFilter ref="N26:O29" xr:uid="{64AEFD41-41F7-46DA-87CE-D04F00B172F0}"/>
  <tableColumns count="2">
    <tableColumn id="1" xr3:uid="{EAB56821-CFB7-47B2-B55D-14AE1464B04D}" name="№" dataDxfId="433">
      <calculatedColumnFormula>N(OFFSET(ТвидДисц[[#This Row],[№]],-1,0))+1</calculatedColumnFormula>
    </tableColumn>
    <tableColumn id="2" xr3:uid="{324BDCAD-1174-4858-A9C7-3EC994D01460}" name="ВидДисц" dataDxfId="432"/>
  </tableColumns>
  <tableStyleInfo name="BlueBlank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1671B47E-6D20-4606-9AA7-640467765120}" name="ТобЕзик" displayName="ТобЕзик" ref="N52:P55" totalsRowShown="0" headerRowDxfId="431" dataDxfId="430">
  <autoFilter ref="N52:P55" xr:uid="{1671B47E-6D20-4606-9AA7-640467765120}"/>
  <tableColumns count="3">
    <tableColumn id="3" xr3:uid="{94E2DD1B-CDF9-4A01-AFDE-9706A4E8529D}" name="№" dataDxfId="429">
      <calculatedColumnFormula>N(OFFSET(ТобЕзик[[#This Row],[№]],-1,0))+1</calculatedColumnFormula>
    </tableColumn>
    <tableColumn id="1" xr3:uid="{02C8A1C2-F3EC-4C3A-9529-D737ECE91248}" name="обЕзик" dataDxfId="428"/>
    <tableColumn id="2" xr3:uid="{C44ECB74-3365-4AAD-8249-684977652607}" name="Коеф." dataDxfId="427"/>
  </tableColumns>
  <tableStyleInfo name="BlueBlank" showFirstColumn="0" showLastColumn="0" showRowStripes="1" showColumnStripes="1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F92FDB10-08B3-4DA5-968E-A7872C1FEE4E}" name="ТоцФорма" displayName="ТоцФорма" ref="N59:O63" totalsRowShown="0" headerRowDxfId="426" dataDxfId="425">
  <autoFilter ref="N59:O63" xr:uid="{F92FDB10-08B3-4DA5-968E-A7872C1FEE4E}"/>
  <tableColumns count="2">
    <tableColumn id="3" xr3:uid="{F3A195BE-D4FB-4D3C-AAAE-4B2C0EB8F9D1}" name="№" dataDxfId="424">
      <calculatedColumnFormula>N(OFFSET(ТоцФорма[[#This Row],[№]],-1,0))+1</calculatedColumnFormula>
    </tableColumn>
    <tableColumn id="1" xr3:uid="{80D25989-CAEA-4F69-84E9-22419A1CAADC}" name="оцФорма" dataDxfId="423"/>
  </tableColumns>
  <tableStyleInfo name="BlueBlank" showFirstColumn="0" showLastColumn="0" showRowStripes="1" showColumnStripes="1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35FC10AD-DB49-459D-8F07-5AF4D131F807}" name="тПодгКурс" displayName="тПодгКурс" ref="T4:U7" totalsRowShown="0" dataDxfId="422">
  <autoFilter ref="T4:U7" xr:uid="{35FC10AD-DB49-459D-8F07-5AF4D131F807}"/>
  <tableColumns count="2">
    <tableColumn id="1" xr3:uid="{02A2CEF1-8CE1-4680-B06D-0EC67BBC78CA}" name="№" dataDxfId="421">
      <calculatedColumnFormula>N(OFFSET(тПодгКурс[[#This Row],[№]],-1,0))+1</calculatedColumnFormula>
    </tableColumn>
    <tableColumn id="2" xr3:uid="{EF67E633-560B-44EF-9C47-D2EFEFE0FC8F}" name="Подготовка на курс" dataDxfId="420"/>
  </tableColumns>
  <tableStyleInfo name="BlueBlank" showFirstColumn="0" showLastColumn="0" showRowStripes="1" showColumnStripes="1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152E65F2-F66B-4DF5-8D13-CED044DBBDEB}" name="тСеместър" displayName="тСеместър" ref="T11:U13" totalsRowShown="0" headerRowDxfId="419" dataDxfId="418">
  <autoFilter ref="T11:U13" xr:uid="{152E65F2-F66B-4DF5-8D13-CED044DBBDEB}"/>
  <tableColumns count="2">
    <tableColumn id="1" xr3:uid="{51089353-C13E-4959-9B5A-4A2032219079}" name="№" dataDxfId="417">
      <calculatedColumnFormula>N(OFFSET(тСеместър[[#This Row],[№]],-1,0))+1</calculatedColumnFormula>
    </tableColumn>
    <tableColumn id="2" xr3:uid="{1E1A6E7F-A472-4A17-9CE4-FB62445D84FC}" name="Семестър" dataDxfId="416"/>
  </tableColumns>
  <tableStyleInfo name="BlueBlank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7917FA3-21B8-4063-A353-4CFEAC6BD970}" name="RT_Документация" displayName="RT_Документация" ref="L1:N59" totalsRowShown="0" dataDxfId="1672" headerRowBorderDxfId="1673" tableBorderDxfId="1671">
  <autoFilter ref="L1:N59" xr:uid="{07917FA3-21B8-4063-A353-4CFEAC6BD970}"/>
  <tableColumns count="3">
    <tableColumn id="1" xr3:uid="{87878782-E5C6-47ED-A9ED-54746141B586}" name="Категория" dataDxfId="1670"/>
    <tableColumn id="2" xr3:uid="{B9278054-F192-4891-ABFB-31DD2055883F}" name="Въвед. данни от" dataDxfId="1669">
      <calculatedColumnFormula>M1</calculatedColumnFormula>
    </tableColumn>
    <tableColumn id="3" xr3:uid="{9ADA8F2D-4D24-465C-B545-8CE59D37FAA1}" name="Данни" dataDxfId="1668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8DB7432B-46B2-477B-A85F-25F73BC3CD9C}" name="тОКС" displayName="тОКС" ref="T17:U20" totalsRowShown="0" headerRowDxfId="415" dataDxfId="414">
  <autoFilter ref="T17:U20" xr:uid="{8DB7432B-46B2-477B-A85F-25F73BC3CD9C}"/>
  <tableColumns count="2">
    <tableColumn id="1" xr3:uid="{F4356DC8-6C6C-40CC-8A1A-4BCB329C5C6C}" name="№" dataDxfId="413">
      <calculatedColumnFormula>N(OFFSET(тОКС[[#This Row],[№]],-1,0))+1</calculatedColumnFormula>
    </tableColumn>
    <tableColumn id="2" xr3:uid="{DE5BCBF3-9FB0-462E-B472-4791B7C59D43}" name="ОКС" dataDxfId="412"/>
  </tableColumns>
  <tableStyleInfo name="BlueBlank" showFirstColumn="0" showLastColumn="0" showRowStripes="1" showColumnStripes="1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934B941-1348-473C-A27B-DF91DB371270}" name="тПН" displayName="тПН" ref="Y4:AB43" totalsRowShown="0" headerRowDxfId="411" dataDxfId="410">
  <autoFilter ref="Y4:AB43" xr:uid="{1934B941-1348-473C-A27B-DF91DB371270}"/>
  <tableColumns count="4">
    <tableColumn id="4" xr3:uid="{B6AB625E-05CE-42B9-9867-391ACB91D72A}" name="№" dataDxfId="409">
      <calculatedColumnFormula>N(OFFSET(тПН[[#This Row],[№]],-1,0))+1</calculatedColumnFormula>
    </tableColumn>
    <tableColumn id="1" xr3:uid="{ED556D5C-AB34-4A2F-9E52-80DEB1CC4F86}" name="Професионално направление" dataDxfId="408"/>
    <tableColumn id="2" xr3:uid="{78AE43A7-C21E-4F57-8E3B-DD162C3FF612}" name="Шифър" dataDxfId="407"/>
    <tableColumn id="3" xr3:uid="{50D3CC25-BC16-4C37-A745-32D27FE0BCED}" name="Column1" dataDxfId="406"/>
  </tableColumns>
  <tableStyleInfo name="BlueBlank" showFirstColumn="0" showLastColumn="0" showRowStripes="1" showColumnStripes="1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1DF0DE7E-C769-4FBB-8AB8-D011C1709B41}" name="тТО" displayName="тТО" ref="N72:P76" totalsRowShown="0">
  <autoFilter ref="N72:P76" xr:uid="{1DF0DE7E-C769-4FBB-8AB8-D011C1709B41}"/>
  <tableColumns count="3">
    <tableColumn id="1" xr3:uid="{597D63E7-EE3E-452A-9051-8820184DE109}" name="№" dataDxfId="405">
      <calculatedColumnFormula>N(OFFSET(тТО[[#This Row],[№]],-1,0))+1</calculatedColumnFormula>
    </tableColumn>
    <tableColumn id="2" xr3:uid="{1D5D77DA-CD33-438B-B876-12D57E1243D4}" name="обФорма"/>
    <tableColumn id="3" xr3:uid="{34F813EC-EC0D-42AC-9F1B-34DDA8570C29}" name="Коеф."/>
  </tableColumns>
  <tableStyleInfo name="BlueBlank" showFirstColumn="0" showLastColumn="0" showRowStripes="1" showColumnStripes="1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FA5D95B-5112-4270-9FE8-0FED352857D9}" name="T_УчПрактики" displayName="T_УчПрактики" ref="AF4:AM16" totalsRowShown="0" headerRowDxfId="404" dataDxfId="402" headerRowBorderDxfId="403" tableBorderDxfId="401">
  <autoFilter ref="AF4:AM16" xr:uid="{FFA5D95B-5112-4270-9FE8-0FED352857D9}"/>
  <tableColumns count="8">
    <tableColumn id="5" xr3:uid="{0A0E1E38-17EF-4A7D-B009-BFEB01D31985}" name="№" dataDxfId="400">
      <calculatedColumnFormula>N(OFFSET(T_УчПрактики[[#This Row],[№]],-1,0))+1</calculatedColumnFormula>
    </tableColumn>
    <tableColumn id="6" xr3:uid="{99B0046F-2C73-40FD-BF81-75193B0C808A}" name="Практики и курсови работи" dataDxfId="399"/>
    <tableColumn id="1" xr3:uid="{D25748F2-14CF-4094-B03E-5E16F20DD125}" name="Практика и курсова работа" dataDxfId="398"/>
    <tableColumn id="2" xr3:uid="{80005C14-9BB1-4E12-A498-FE8A20318447}" name="Час" dataDxfId="397"/>
    <tableColumn id="7" xr3:uid="{2AE2B025-41E4-4E12-A96B-649E8080477A}" name="Студенти" dataDxfId="396"/>
    <tableColumn id="3" xr3:uid="{C8CD293C-782D-4D86-A8F7-8888E2CF833B}" name="Група" dataDxfId="395"/>
    <tableColumn id="4" xr3:uid="{2592B24E-75DB-494C-9560-B32618AA3A82}" name="Ден" dataDxfId="394"/>
    <tableColumn id="8" xr3:uid="{EF47F685-C94B-41D5-ACF0-9B0E414D5B74}" name="Code" dataDxfId="393">
      <calculatedColumnFormula>IF(T_УчПрактики[[#This Row],[Студенти]],"с","")&amp;IF(T_УчПрактики[[#This Row],[Група]],"г","")&amp;IF(T_УчПрактики[[#This Row],[Ден]],"д","")</calculatedColumnFormula>
    </tableColumn>
  </tableColumns>
  <tableStyleInfo name="TableStyleLight9" showFirstColumn="0" showLastColumn="1" showRowStripes="1" showColumnStripes="1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EADB663-D7D5-4789-9A4E-7039457376D4}" name="тЗащСпециалности" displayName="тЗащСпециалности" ref="AQ3:BC20" totalsRowShown="0" dataDxfId="392">
  <autoFilter ref="AQ3:BC20" xr:uid="{0EADB663-D7D5-4789-9A4E-7039457376D4}"/>
  <sortState xmlns:xlrd2="http://schemas.microsoft.com/office/spreadsheetml/2017/richdata2" ref="AQ4:AZ17">
    <sortCondition descending="1" ref="AR4:AR17"/>
    <sortCondition ref="AW4:AW17"/>
  </sortState>
  <tableColumns count="13">
    <tableColumn id="9" xr3:uid="{682344FC-C9A0-4285-A207-C3B06195C379}" name="№" dataDxfId="391">
      <calculatedColumnFormula>N(OFFSET(тЗащСпециалности[[#This Row],[№]],-1,0))+1</calculatedColumnFormula>
    </tableColumn>
    <tableColumn id="10" xr3:uid="{150D8A1F-4667-4156-AB66-31D8DD4831AF}" name="Факултет" dataDxfId="390"/>
    <tableColumn id="5" xr3:uid="{CB83C526-9002-4F98-980D-E673CED7F960}" name="Code_ПН" dataDxfId="389"/>
    <tableColumn id="6" xr3:uid="{D43A2956-51E2-4F82-B389-8B6F06671F0F}" name="Професионално направление" dataDxfId="388"/>
    <tableColumn id="8" xr3:uid="{FB224AD2-C4D4-4C8D-9C18-13862A25F774}" name="Code_MON" dataDxfId="387"/>
    <tableColumn id="1" xr3:uid="{AAE190CC-C27F-4755-A040-0C282D33D7AD}" name="нСпециалност" dataDxfId="386"/>
    <tableColumn id="3" xr3:uid="{5BF629CC-D1A9-4A6F-808F-F6F0735D6BDF}" name="Спец" dataDxfId="385">
      <calculatedColumnFormula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calculatedColumnFormula>
    </tableColumn>
    <tableColumn id="2" xr3:uid="{EA923506-205B-41CA-87BC-F76A42F8962B}" name="аСпец1" dataDxfId="384"/>
    <tableColumn id="4" xr3:uid="{D274D236-2452-492B-9B02-42A519B4881B}" name="аСпец2" dataDxfId="383">
      <calculatedColumnFormula>LEFT(тЗащСпециалности[[#This Row],[аСпец1]],#REF!)</calculatedColumnFormula>
    </tableColumn>
    <tableColumn id="11" xr3:uid="{E98284C6-AC55-493D-BC65-B8147750BA22}" name="аСпец3" dataDxfId="382">
      <calculatedColumnFormula>LEFT(тЗащСпециалности[[#This Row],[Спец]],#REF!)</calculatedColumnFormula>
    </tableColumn>
    <tableColumn id="13" xr3:uid="{1776F8E0-DCED-49D2-8935-4F2F7258C5F4}" name="аСпец4" dataDxfId="381"/>
    <tableColumn id="7" xr3:uid="{9BDE35F0-C609-4C9F-B7A6-DC9C0E104A33}" name="Бакалавър" dataDxfId="380"/>
    <tableColumn id="12" xr3:uid="{666A47EF-E10D-422A-9E07-6D9C78B1D60F}" name="Магистър" dataDxfId="379"/>
  </tableColumns>
  <tableStyleInfo name="TableStyleLight9" showFirstColumn="0" showLastColumn="0" showRowStripes="1" showColumnStripes="1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4A40FBA-7425-492E-BCB5-D29344C6D9B4}" name="тЗСпец" displayName="тЗСпец" ref="BF3:BL88" tableType="queryTable" totalsRowShown="0" dataDxfId="378">
  <autoFilter ref="BF3:BL88" xr:uid="{04A40FBA-7425-492E-BCB5-D29344C6D9B4}"/>
  <tableColumns count="7">
    <tableColumn id="1" xr3:uid="{411FCEC1-CBF4-4D55-B686-7F1C640601D0}" uniqueName="1" name="Code_ПН" queryTableFieldId="1" dataDxfId="377"/>
    <tableColumn id="2" xr3:uid="{1EED10F2-0337-486A-8E1A-E56B7E19428E}" uniqueName="2" name="Професионално направление" queryTableFieldId="2" dataDxfId="376"/>
    <tableColumn id="3" xr3:uid="{04457EFE-BC31-4E06-94A5-AB631AA0AE99}" uniqueName="3" name="Факултет" queryTableFieldId="3" dataDxfId="375"/>
    <tableColumn id="4" xr3:uid="{7F43A423-862F-4F96-8CD9-CBAF8C96EDFD}" uniqueName="4" name="нСпециалност" queryTableFieldId="4" dataDxfId="374"/>
    <tableColumn id="5" xr3:uid="{FF52A3CF-609A-439A-B0CB-FB7E474331DE}" uniqueName="5" name="Спец" queryTableFieldId="5" dataDxfId="373"/>
    <tableColumn id="6" xr3:uid="{DBC3938E-2378-4934-87D5-E3AD5D5E97D8}" uniqueName="6" name="Бак" queryTableFieldId="6" dataDxfId="372"/>
    <tableColumn id="7" xr3:uid="{5A9CFB49-7529-4BD9-A737-74884AEAD276}" uniqueName="7" name="Маг" queryTableFieldId="7" dataDxfId="371"/>
  </tableColumns>
  <tableStyleInfo name="TableStyleLight11" showFirstColumn="0" showLastColumn="0" showRowStripes="1" showColumnStripes="1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966F407-DC3C-490F-91AB-268070FA8BE9}" name="ТкрДРрецДИ" displayName="ТкрДРрецДИ" ref="Y53:AA57" totalsRowShown="0">
  <autoFilter ref="Y53:AA57" xr:uid="{6966F407-DC3C-490F-91AB-268070FA8BE9}"/>
  <tableColumns count="3">
    <tableColumn id="1" xr3:uid="{1D480C12-C953-48E6-A1F1-0860238C0CF4}" name="№" dataDxfId="370">
      <calculatedColumnFormula>N(OFFSET(ТкрДРрецДИ[[#This Row],[№]],-1,0))+1</calculatedColumnFormula>
    </tableColumn>
    <tableColumn id="2" xr3:uid="{A9A7FEBF-E3F5-48DE-96AD-ACAA0CDF8943}" name="КР_ДР_Рец_ДИ" dataDxfId="369"/>
    <tableColumn id="3" xr3:uid="{87198E0B-9100-4F26-9576-C5C8500FB02B}" name="коеф" dataDxfId="368"/>
  </tableColumns>
  <tableStyleInfo name="BlueBlank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4FAF1D21-47D7-4498-B768-05EEB828A3D1}" name="T_АкадДлъж" displayName="T_АкадДлъж" ref="H15:J25" totalsRowShown="0">
  <autoFilter ref="H15:J25" xr:uid="{4FAF1D21-47D7-4498-B768-05EEB828A3D1}"/>
  <tableColumns count="3">
    <tableColumn id="1" xr3:uid="{8A90C200-E4AA-4AF8-93DC-4361707390BD}" name="№" dataDxfId="367"/>
    <tableColumn id="2" xr3:uid="{72EE58A9-B888-4E35-AA8B-7C6AE88F260A}" name="Академична длъжност в СУ"/>
    <tableColumn id="3" xr3:uid="{8343D886-C8C1-4F79-B7E3-6FC9D99F4393}" name="акад. длъж"/>
  </tableColumns>
  <tableStyleInfo name="TableStyleLight9" showFirstColumn="0" showLastColumn="0" showRowStripes="1" showColumnStripes="1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3395EF3-6B8D-4FF7-A9C8-881D07464AFC}" name="RedukciaDr52" displayName="RedukciaDr52" ref="C84:D87" totalsRowShown="0" headerRowDxfId="366" dataDxfId="364" headerRowBorderDxfId="365" tableBorderDxfId="363" totalsRowBorderDxfId="362">
  <autoFilter ref="C84:D87" xr:uid="{43395EF3-6B8D-4FF7-A9C8-881D07464AFC}"/>
  <tableColumns count="2">
    <tableColumn id="1" xr3:uid="{1D705AA0-DDB5-440D-B9A0-4180B04DAEF2}" name="Редукция малък брой докторанти" dataDxfId="361"/>
    <tableColumn id="2" xr3:uid="{81EB2F37-F98E-4F1A-822B-C7603BAD22C6}" name="Коеф." dataDxfId="360"/>
  </tableColumns>
  <tableStyleInfo name="TableStyleLight1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5E29A010-74B5-4C34-8955-90A5ED9C3AF0}" name="db_code_MON_РЗrows" displayName="db_code_MON_РЗrows" ref="BP3:BV2481" tableType="queryTable" totalsRowShown="0">
  <autoFilter ref="BP3:BV2481" xr:uid="{5E29A010-74B5-4C34-8955-90A5ED9C3AF0}"/>
  <tableColumns count="7">
    <tableColumn id="7" xr3:uid="{97B9F53D-8F4C-4E56-8AAF-5E8117A42DEF}" uniqueName="7" name="NACIDInstitutionalSpecialityId" queryTableFieldId="7"/>
    <tableColumn id="1" xr3:uid="{36D964D2-B5D3-4B2F-AD98-E5C5551D41E8}" uniqueName="1" name="Code_MON" queryTableFieldId="1"/>
    <tableColumn id="2" xr3:uid="{01E5340F-8AA2-4C5B-A296-A478F4AFF271}" uniqueName="2" name="Code_ПН" queryTableFieldId="2" dataDxfId="359"/>
    <tableColumn id="3" xr3:uid="{6B298D9C-9E8C-4894-8A21-D7E2DC2403F4}" uniqueName="3" name="ПН" queryTableFieldId="3" dataDxfId="358"/>
    <tableColumn id="4" xr3:uid="{F3D3851D-7E42-4C18-B849-5C173E2B5543}" uniqueName="4" name="Специалност" queryTableFieldId="4" dataDxfId="357"/>
    <tableColumn id="5" xr3:uid="{6AD34D4B-4D89-48D7-9DF4-040BB90EA679}" uniqueName="5" name="ОКС" queryTableFieldId="5" dataDxfId="356"/>
    <tableColumn id="6" xr3:uid="{E6295955-DD72-42E7-BFE4-64AF90C6D114}" uniqueName="6" name="Форма" queryTableFieldId="6" dataDxfId="355"/>
  </tableColumns>
  <tableStyleInfo name="TableStyleLight10" showFirstColumn="0" showLastColumn="0" showRowStripes="1" showColumnStripes="1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15A9DB7-3276-49E9-B4DB-D0005761CF7E}" name="RT_Документация_H" displayName="RT_Документация_H" ref="T3:BY4" totalsRowShown="0">
  <autoFilter ref="T3:BY4" xr:uid="{015A9DB7-3276-49E9-B4DB-D0005761CF7E}"/>
  <tableColumns count="58">
    <tableColumn id="1" xr3:uid="{85A522E6-4668-4354-BF24-979136AC3B75}" name="аУчебна година:">
      <calculatedColumnFormula>T(INDEX(RT_Документация[Данни],MATCH(T$3,RT_Документация[Категория],0)))</calculatedColumnFormula>
    </tableColumn>
    <tableColumn id="2" xr3:uid="{B2E95D2D-F9E9-4ADC-A261-762F488E824A}" name="аСeместър:">
      <calculatedColumnFormula>T(INDEX(RT_Документация[Данни],MATCH(U$3,RT_Документация[Категория],0)))</calculatedColumnFormula>
    </tableColumn>
    <tableColumn id="3" xr3:uid="{A12173EF-3064-4511-B560-616797B5F58F}" name="аВерсия:">
      <calculatedColumnFormula>T(INDEX(RT_Документация[Данни],MATCH(V$3,RT_Документация[Категория],0)))</calculatedColumnFormula>
    </tableColumn>
    <tableColumn id="4" xr3:uid="{84EE15C0-691C-4931-9134-22EA05A53050}" name="аАдмин:">
      <calculatedColumnFormula>T(INDEX(RT_Документация[Данни],MATCH(W$3,RT_Документация[Категория],0)))</calculatedColumnFormula>
    </tableColumn>
    <tableColumn id="5" xr3:uid="{01C9A069-8577-4624-A232-011CBE6B275C}" name="аАкад. длъжност:">
      <calculatedColumnFormula>T(INDEX(RT_Документация[Данни],MATCH(X$3,RT_Документация[Категория],0)))</calculatedColumnFormula>
    </tableColumn>
    <tableColumn id="6" xr3:uid="{03A9AD27-824F-40E5-985B-64A91A5486EE}" name="аРък. длъжност:">
      <calculatedColumnFormula>T(INDEX(RT_Документация[Данни],MATCH(Y$3,RT_Документация[Категория],0)))</calculatedColumnFormula>
    </tableColumn>
    <tableColumn id="7" xr3:uid="{A0E6E149-FF33-4D05-B14C-993CE6021A47}" name="аПреподавател:">
      <calculatedColumnFormula>T(INDEX(RT_Документация[Данни],MATCH(Z$3,RT_Документация[Категория],0)))</calculatedColumnFormula>
    </tableColumn>
    <tableColumn id="8" xr3:uid="{E3A77B5E-99C8-41B8-BC13-9DE44F6B9219}" name="аЕГН:">
      <calculatedColumnFormula>T(INDEX(RT_Документация[Данни],MATCH(AA$3,RT_Документация[Категория],0)))</calculatedColumnFormula>
    </tableColumn>
    <tableColumn id="44" xr3:uid="{85EF23D2-32E8-40F4-A5DF-8FF8CB9CB891}" name="ЛНЧ:">
      <calculatedColumnFormula>T(INDEX(RT_Документация[Данни],MATCH(AB$3,RT_Документация[Категория],0)))</calculatedColumnFormula>
    </tableColumn>
    <tableColumn id="45" xr3:uid="{171DF842-EB11-426B-A1B7-1AF17BF03221}" name="ЛИН:">
      <calculatedColumnFormula>T(INDEX(RT_Документация[Данни],MATCH(AC$3,RT_Документация[Категория],0)))</calculatedColumnFormula>
    </tableColumn>
    <tableColumn id="46" xr3:uid="{51558DD1-9E2C-403B-8EA1-22094E33D8CF}" name="СлужН:">
      <calculatedColumnFormula>T(INDEX(RT_Документация[Данни],MATCH(AD$3,RT_Документация[Категория],0)))</calculatedColumnFormula>
    </tableColumn>
    <tableColumn id="47" xr3:uid="{041495AF-192E-4848-B955-EEB243E849AC}" name="Teacher_ID:">
      <calculatedColumnFormula>INDEX(RT_Документация[Данни],MATCH(AE$3,RT_Документация[Категория],0))</calculatedColumnFormula>
    </tableColumn>
    <tableColumn id="48" xr3:uid="{43362824-4E3F-4C47-9FDD-5817803CE4CE}" name="PersonData_ID:">
      <calculatedColumnFormula>INDEX(RT_Документация[Данни],MATCH(AF$3,RT_Документация[Категория],0))</calculatedColumnFormula>
    </tableColumn>
    <tableColumn id="49" xr3:uid="{67F0AC47-F1B0-4ECE-BA36-CCB111ACAC69}" name="LDAPUserName:">
      <calculatedColumnFormula>INDEX(RT_Документация[Данни],MATCH(AG$3,RT_Документация[Категория],0))</calculatedColumnFormula>
    </tableColumn>
    <tableColumn id="58" xr3:uid="{BE923C58-1708-47A2-8E8D-F694673468CD}" name="TeacherLotNumber:">
      <calculatedColumnFormula>INDEX(RT_Документация[Данни],MATCH(AH$3,RT_Документация[Категория],0))</calculatedColumnFormula>
    </tableColumn>
    <tableColumn id="9" xr3:uid="{7F312DBA-EC62-469D-B3E1-70ECB593C25C}" name="аФакултет:"/>
    <tableColumn id="10" xr3:uid="{1BE53221-7474-44B7-833C-B1C821AEE683}" name="аКатедра:"/>
    <tableColumn id="11" xr3:uid="{F3DADDB1-8FD5-4553-9AD7-D48095542873}" name="аОтчет - Файл:"/>
    <tableColumn id="12" xr3:uid="{656CC81A-E7C6-4212-9F0C-6D80D669A15E}" name="аПлан - Път:"/>
    <tableColumn id="13" xr3:uid="{F8B3B302-B869-4A23-9B5B-E414FEE7FC3A}" name="пПреподавател:"/>
    <tableColumn id="14" xr3:uid="{ACA76E6D-5212-4CDB-ABB2-48803213C5CE}" name="пФакултет:"/>
    <tableColumn id="15" xr3:uid="{0AAC0F5D-99AF-420C-B96C-F988C66E4035}" name="пКатедра:"/>
    <tableColumn id="16" xr3:uid="{3DB0F60D-93F9-4584-86DA-F6C414C6AFAF}" name="пАкад. длъжност:"/>
    <tableColumn id="17" xr3:uid="{9BE9B9A6-61E2-4E60-93ED-0877857356A2}" name="пРък. длъжност:"/>
    <tableColumn id="19" xr3:uid="{797607B0-6899-4A2C-85AA-BB65579B0674}" name="пЗабележка:"/>
    <tableColumn id="20" xr3:uid="{8A6ADDE0-2334-4602-8D69-6758F33215B1}" name="пЛекторат:"/>
    <tableColumn id="21" xr3:uid="{D6C11492-1C75-43A6-BD51-EBB91267ADFE}" name="пЗаповед №:"/>
    <tableColumn id="22" xr3:uid="{4E772524-65A2-475E-A142-DB0B8F708D4C}" name="пВУЗ:"/>
    <tableColumn id="23" xr3:uid="{D2121C7B-847B-427D-9D9D-B2EA8B2C4FF3}" name="потДата:"/>
    <tableColumn id="24" xr3:uid="{D16482FB-E74F-4BC3-B5B8-4B15E4EDEC03}" name="пдоДата:"/>
    <tableColumn id="25" xr3:uid="{C40AC9BB-0B8F-4962-BC25-E32E7C68A66C}" name="пФайл:"/>
    <tableColumn id="26" xr3:uid="{0B522E79-EB20-4E84-AF5C-6D27D6E8C632}" name="пПът:"/>
    <tableColumn id="28" xr3:uid="{6D1AAE00-E80F-4602-8F4C-30C0746D5DF2}" name="бакУЗ:"/>
    <tableColumn id="29" xr3:uid="{4C2C3037-75B3-42EE-B3A7-E513BB0D246E}" name="бакАз:"/>
    <tableColumn id="30" xr3:uid="{5608FD75-CC14-40E9-B2F9-F338BABBD4C1}" name="магУЗ:"/>
    <tableColumn id="31" xr3:uid="{1FF0DAEA-D3A7-410C-A307-2F0DC92796D8}" name="магАЗ:">
      <calculatedColumnFormula>INDEX(RT_Документация[Данни],MATCH(BC$3,RT_Документация[Категория],0))</calculatedColumnFormula>
    </tableColumn>
    <tableColumn id="18" xr3:uid="{E5D595DE-785F-45D1-8C09-05838E03467C}" name="лекУЗ:">
      <calculatedColumnFormula>INDEX(RT_Документация[Данни],MATCH(BD$3,RT_Документация[Категория],0))</calculatedColumnFormula>
    </tableColumn>
    <tableColumn id="27" xr3:uid="{EAD052A5-D288-47A8-B30E-2E800C086A53}" name="лекАЗ:">
      <calculatedColumnFormula>INDEX(RT_Документация[Данни],MATCH(BE$3,RT_Документация[Категория],0))</calculatedColumnFormula>
    </tableColumn>
    <tableColumn id="50" xr3:uid="{91B18C38-2D5B-4EF8-B095-D038D2D4AB19}" name="лекОт:">
      <calculatedColumnFormula>INDEX(RT_Документация[Данни],MATCH(BF$3,RT_Документация[Категория],0))</calculatedColumnFormula>
    </tableColumn>
    <tableColumn id="51" xr3:uid="{C66CD72A-1FF1-493D-9EC0-17ED390B9C42}" name="лекДо:">
      <calculatedColumnFormula>INDEX(RT_Документация[Данни],MATCH(BG$3,RT_Документация[Категория],0))</calculatedColumnFormula>
    </tableColumn>
    <tableColumn id="32" xr3:uid="{43961534-DDCE-499B-8DC6-3857A1B5DDD3}" name="бмлОЗ:">
      <calculatedColumnFormula>INDEX(RT_Документация[Данни],MATCH(BH$3,RT_Документация[Категория],0))+RT_Документация_H[[#This Row],[деоОЗ]]+RT_Документация_H[[#This Row],[диууОЗ]]</calculatedColumnFormula>
    </tableColumn>
    <tableColumn id="33" xr3:uid="{370EE800-2587-4E3F-912F-DD84C94C7D5B}" name="бмлАЗ:">
      <calculatedColumnFormula>INDEX(RT_Документация[Данни],MATCH(BI$3,RT_Документация[Категория],0))+RT_Документация_H[[#This Row],[деоАЗ]]+RT_Документация_H[[#This Row],[диууАЗ]]</calculatedColumnFormula>
    </tableColumn>
    <tableColumn id="34" xr3:uid="{7673D522-DE08-4875-A13B-A33C9060C616}" name="докУЗ:"/>
    <tableColumn id="35" xr3:uid="{3D174932-A44B-4D8C-84FF-07F7BCE5DA61}" name="докАЗ:"/>
    <tableColumn id="36" xr3:uid="{3B84015E-C748-417C-BA80-BDB666F7F6B8}" name="бмлдОЗ:"/>
    <tableColumn id="37" xr3:uid="{AE6DBB9B-6E93-4527-9849-A6DFCEFD90A5}" name="бмлдАЗ:">
      <calculatedColumnFormula>INDEX(RT_Документация[Данни],MATCH(BM$3,RT_Документация[Категория],0))</calculatedColumnFormula>
    </tableColumn>
    <tableColumn id="38" xr3:uid="{608D9824-CCAD-4AB4-A9C7-FFEDBB200A1E}" name="бакАЗ_рЧасове">
      <calculatedColumnFormula>INDEX(RT_Документация[Данни],MATCH(BN$3,RT_Документация[Категория],0))</calculatedColumnFormula>
    </tableColumn>
    <tableColumn id="39" xr3:uid="{FD7CF68F-C506-4FAD-96CF-DD6629E00CF0}" name="АЗ (Зад. дисц.)_рЧасове">
      <calculatedColumnFormula>INDEX(RT_Документация[Данни],MATCH(BO$3,RT_Документация[Категория],0))</calculatedColumnFormula>
    </tableColumn>
    <tableColumn id="40" xr3:uid="{8CD3AF50-6740-447F-AEFB-883E71BE4CAB}" name="магАЗ_рЧасове">
      <calculatedColumnFormula>INDEX(RT_Документация[Данни],MATCH(BP$3,RT_Документация[Категория],0))</calculatedColumnFormula>
    </tableColumn>
    <tableColumn id="41" xr3:uid="{19B8AFFA-644B-4CB4-B9B0-5555F496DC3E}" name="Маг. - АЗ (Зад. дисц.)_рЧасове">
      <calculatedColumnFormula>INDEX(RT_Документация[Данни],MATCH(BQ$3,RT_Документация[Категория],0))</calculatedColumnFormula>
    </tableColumn>
    <tableColumn id="42" xr3:uid="{5CC65779-E160-44EB-A330-F81AD4BE9AA7}" name="АЗ_рЧасове">
      <calculatedColumnFormula>INDEX(RT_Документация[Данни],MATCH(BR$3,RT_Документация[Категория],0))</calculatedColumnFormula>
    </tableColumn>
    <tableColumn id="43" xr3:uid="{C9F38304-AE29-40C6-9707-DF2D299D01B5}" name="бмАЗ (Зад. дисц.)_рЧасове">
      <calculatedColumnFormula>INDEX(RT_Документация[Данни],MATCH(BS$3,RT_Документация[Категория],0))</calculatedColumnFormula>
    </tableColumn>
    <tableColumn id="52" xr3:uid="{04C3D2D5-DDF1-412E-A1AD-97656F47B773}" name="деоАЗ">
      <calculatedColumnFormula>INDEX(RT_Документация[Данни],MATCH(BT$3,RT_Документация[Категория],0))</calculatedColumnFormula>
    </tableColumn>
    <tableColumn id="53" xr3:uid="{73B717D6-7902-4BA6-A321-E7D3A1A2E335}" name="деоОЗ">
      <calculatedColumnFormula>INDEX(RT_Документация[Данни],MATCH(BU$3,RT_Документация[Категория],0))</calculatedColumnFormula>
    </tableColumn>
    <tableColumn id="54" xr3:uid="{0C6FDBCC-D01F-4DD5-B173-1C5DF530C39A}" name="диууАЗ">
      <calculatedColumnFormula>INDEX(RT_Документация[Данни],MATCH(BV$3,RT_Документация[Категория],0))</calculatedColumnFormula>
    </tableColumn>
    <tableColumn id="55" xr3:uid="{A1870260-2A09-47B9-8E4B-9F8D3139979B}" name="диууОЗ">
      <calculatedColumnFormula>INDEX(RT_Документация[Данни],MATCH(BW$3,RT_Документация[Категория],0))</calculatedColumnFormula>
    </tableColumn>
    <tableColumn id="56" xr3:uid="{73FA528F-7795-42C6-98B5-E9647D76E6A6}" name="АЗ">
      <calculatedColumnFormula>INDEX(RT_Документация[Данни],MATCH(BX$3,RT_Документация[Категория],0))</calculatedColumnFormula>
    </tableColumn>
    <tableColumn id="57" xr3:uid="{D60051D3-6D4B-442A-8649-E21B719CFA86}" name="ОЗ">
      <calculatedColumnFormula>INDEX(RT_Документация[Данни],MATCH(BY$3,RT_Документация[Категория],0))</calculatedColumnFormula>
    </tableColumn>
  </tableColumns>
  <tableStyleInfo name="TableStyleLight8" showFirstColumn="0" showLastColumn="0" showRowStripes="1" showColumnStripes="1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C37BC0EF-E9D4-454B-9B4D-2B2FC4CFD1CB}" name="T_АкадДлъжХ" displayName="T_АкадДлъжХ" ref="H28:J32" totalsRowShown="0">
  <autoFilter ref="H28:J32" xr:uid="{C37BC0EF-E9D4-454B-9B4D-2B2FC4CFD1CB}"/>
  <tableColumns count="3">
    <tableColumn id="1" xr3:uid="{6309AF0F-E90E-40E5-94CB-7B0FC7B8294F}" name="№" dataDxfId="354"/>
    <tableColumn id="2" xr3:uid="{6FEF6CC9-5A48-4B0A-A9FC-15BE791F5178}" name="Академична длъжност в СУ"/>
    <tableColumn id="3" xr3:uid="{29798DA8-F4AB-422B-A3A2-51A5BE00478C}" name="акад. длъж"/>
  </tableColumns>
  <tableStyleInfo name="TableStyleLight9" showFirstColumn="0" showLastColumn="0" showRowStripes="1" showColumnStripes="1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BEA4C7D9-C416-49F1-B5C7-7ABEAC8F73FF}" name="T_АкадДлъжХ_МФ" displayName="T_АкадДлъжХ_МФ" ref="H36:J44" totalsRowShown="0">
  <autoFilter ref="H36:J44" xr:uid="{BEA4C7D9-C416-49F1-B5C7-7ABEAC8F73FF}"/>
  <tableColumns count="3">
    <tableColumn id="1" xr3:uid="{778B091C-A12B-4B7D-97A5-1E587F75E19A}" name="№" dataDxfId="353">
      <calculatedColumnFormula>N(OFFSET(T_АкадДлъжХ_МФ[[#This Row],[№]],-1,0))+1</calculatedColumnFormula>
    </tableColumn>
    <tableColumn id="2" xr3:uid="{8DCA5D7E-02CB-4D70-BD0E-5C468F40D1A5}" name="Академична длъжност в СУ"/>
    <tableColumn id="3" xr3:uid="{499DFF1C-9487-4CB9-8C58-8C1C037DB9B9}" name="акад. длъж"/>
  </tableColumns>
  <tableStyleInfo name="TableStyleLight10" showFirstColumn="0" showLastColumn="0" showRowStripes="1" showColumnStripes="1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069C418-92B4-4E31-B0B2-1AF4B8074731}" name="dbУчДисц" displayName="dbУчДисц" ref="E12:AO88" headerRowDxfId="352" dataDxfId="350" totalsRowDxfId="349" headerRowBorderDxfId="351">
  <tableColumns count="37">
    <tableColumn id="40" xr3:uid="{1B74111F-4222-47B0-A87C-13C23D26E1F1}" name="ОКС" dataDxfId="348" totalsRowDxfId="347"/>
    <tableColumn id="15" xr3:uid="{53EE6AAF-DAD9-429E-AA7F-D438176BCA9F}" name="Семестър" dataDxfId="346" totalsRowDxfId="345"/>
    <tableColumn id="41" xr3:uid="{8C86F0A5-F977-4C3B-AAF1-E4F2BA37DCF4}" name="код" dataDxfId="344" totalsRowDxfId="343"/>
    <tableColumn id="14" xr3:uid="{158F2D9E-F332-445E-BD1C-47BED14133ED}" name="№" dataDxfId="342" totalsRowDxfId="341">
      <calculatedColumnFormula>IF(dbУчДисц[[#This Row],[Семестър]]=OFFSET(dbУчДисц[[#This Row],[Семестър]],-1,0),N(OFFSET(dbУчДисц[[#This Row],[№]],-1,0))+1,1)</calculatedColumnFormula>
    </tableColumn>
    <tableColumn id="1" xr3:uid="{F708692A-A732-40CD-AB79-376558AEEE69}" name="Дисциплина" dataDxfId="340" totalsRowDxfId="339">
      <calculatedColumnFormula>T(INDEX(CHOOSE(dbУчДисц[[#This Row],[код]],BAZZS[Дисциплина],BAZLS[Дисциплина],MAZZS[Дисциплина],MAZLS[Дисциплина]),dbУчДисц[[#This Row],[№]],0))</calculatedColumnFormula>
    </tableColumn>
    <tableColumn id="2" xr3:uid="{CF11E0DC-E87C-420F-A78F-D12474A5766F}" name="Специалност/МагПрогр" dataDxfId="338" totalsRowDxfId="337">
      <calculatedColumnFormula>T(INDEX(CHOOSE(dbУчДисц[[#This Row],[код]],BAZZS[Специалност],BAZLS[Специалност],MAZZS[Магистърска програма],MAZLS[Магистърска програма]),dbУчДисц[[#This Row],[№]],0))</calculatedColumnFormula>
    </tableColumn>
    <tableColumn id="3" xr3:uid="{EFF780ED-120F-4D30-B174-038B6073E8E7}" name="Факултет" dataDxfId="336" totalsRowDxfId="335">
      <calculatedColumnFormula>T(INDEX(CHOOSE(dbУчДисц[[#This Row],[код]],BAZZS[Факултет],BAZLS[Факултет],MAZZS[Факултет],MAZLS[Факултет]),dbУчДисц[[#This Row],[№]],0))</calculatedColumnFormula>
    </tableColumn>
    <tableColumn id="4" xr3:uid="{EA581F7A-DC08-4C19-B635-1B5B04CD8A56}" name="Вид" dataDxfId="334" totalsRowDxfId="333">
      <calculatedColumnFormula>T(INDEX(CHOOSE(dbУчДисц[[#This Row],[код]],BAZZS[Вид],BAZLS[Вид],MAZZS[Вид],MAZLS[Вид]),dbУчДисц[[#This Row],[№]],0))</calculatedColumnFormula>
    </tableColumn>
    <tableColumn id="5" xr3:uid="{58AAAE12-669F-4D80-98E9-6DCE699A5828}" name="Курс" dataDxfId="332" totalsRowDxfId="331">
      <calculatedColumnFormula>T(INDEX(CHOOSE(dbУчДисц[[#This Row],[код]],BAZZS[Курс],BAZLS[Курс],MAZZS[Курс],MAZLS[Курс]),dbУчДисц[[#This Row],[№]],0))</calculatedColumnFormula>
    </tableColumn>
    <tableColumn id="6" xr3:uid="{2F3D0C1C-EA10-42EA-A10D-2BBCD7E96BD7}" name="ФормаОб" dataDxfId="330" totalsRowDxfId="329">
      <calculatedColumnFormula>T(INDEX(CHOOSE(dbУчДисц[[#This Row],[код]],BAZZS[ФормаОб],BAZLS[ФормаОб],MAZZS[ФормаОб],MAZLS[ФормаОб]),dbУчДисц[[#This Row],[№]],0))</calculatedColumnFormula>
    </tableColumn>
    <tableColumn id="7" xr3:uid="{50A6E59D-6DF6-4BF1-84BB-4078AAE84720}" name="Студенти" dataDxfId="328" totalsRowDxfId="327">
      <calculatedColumnFormula array="1">INDEX(CHOOSE(dbУчДисц[[#This Row],[код]],BAZZS[Студенти],BAZLS[Студенти],MAZZS[Студенти],MAZLS[Студенти]),dbУчДисц[[#This Row],[№]],0)</calculatedColumnFormula>
    </tableColumn>
    <tableColumn id="8" xr3:uid="{575E66ED-ADC2-49EB-B36B-8B301661051E}" name="Лекции" dataDxfId="326" totalsRowDxfId="325">
      <calculatedColumnFormula array="1">INDEX(CHOOSE(dbУчДисц[[#This Row],[код]],BAZZS[Лекции],BAZLS[Лекции],MAZZS[Лекции],MAZLS[Лекции]),dbУчДисц[[#This Row],[№]],0)</calculatedColumnFormula>
    </tableColumn>
    <tableColumn id="9" xr3:uid="{51FFC98E-9FE7-4168-9481-B7B9778615FA}" name="Упражнения" dataDxfId="324" totalsRowDxfId="323">
      <calculatedColumnFormula array="1">INDEX(CHOOSE(dbУчДисц[[#This Row],[код]],BAZZS[Упражнения],BAZLS[Упражнения],MAZZS[Упражнения],MAZLS[Упражнения]),dbУчДисц[[#This Row],[№]],0)</calculatedColumnFormula>
    </tableColumn>
    <tableColumn id="10" xr3:uid="{7B9FB00A-5AA7-402A-9BEB-C1954C29C798}" name="Език" dataDxfId="322" totalsRowDxfId="321">
      <calculatedColumnFormula>T(INDEX(CHOOSE(dbУчДисц[[#This Row],[код]],BAZZS[Език],BAZLS[Език],MAZZS[Език],MAZLS[Език]),dbУчДисц[[#This Row],[№]],0))</calculatedColumnFormula>
    </tableColumn>
    <tableColumn id="11" xr3:uid="{7AD5B9D2-4CDD-4C16-81D4-F688AD4337C3}" name="ФормаОц" dataDxfId="320" totalsRowDxfId="319">
      <calculatedColumnFormula>T(INDEX(CHOOSE(dbУчДисц[[#This Row],[код]],BAZZS[ФормаОц],BAZLS[ФормаОц],MAZZS[ФормаОц],MAZLS[ФормаОц]),dbУчДисц[[#This Row],[№]],0))</calculatedColumnFormula>
    </tableColumn>
    <tableColumn id="12" xr3:uid="{15488EE5-20BE-4BB5-BCE5-E581FBF974B0}" name="Изпитващ" dataDxfId="318" totalsRowDxfId="317">
      <calculatedColumnFormula>T(INDEX(CHOOSE(dbУчДисц[[#This Row],[код]],BAZZS[Изпитващ],BAZLS[Изпитващ],MAZZS[Изпитващ],MAZLS[Изпитващ]),dbУчДисц[[#This Row],[№]],0))</calculatedColumnFormula>
    </tableColumn>
    <tableColumn id="13" xr3:uid="{830D33BF-ED9B-4D5F-96CD-ACEE01B9EBEE}" name="Изпитани" dataDxfId="316" totalsRowDxfId="315">
      <calculatedColumnFormula array="1">INDEX(CHOOSE(dbУчДисц[[#This Row],[код]],BAZZS[Изпитани],BAZLS[Изпитани],MAZZS[Изпитани],MAZLS[Изпитани]),dbУчДисц[[#This Row],[№]],0)</calculatedColumnFormula>
    </tableColumn>
    <tableColumn id="22" xr3:uid="{E8AA0941-8E52-4CDC-A255-2056BE154400}" name="ТО" dataDxfId="314" totalsRowDxfId="313">
      <calculatedColumnFormula array="1">INDEX(CHOOSE(dbУчДисц[[#This Row],[код]],BAZZS[ТО],BAZLS[ТО],MAZZS[ТО],MAZLS[ТО]),dbУчДисц[[#This Row],[№]],0)</calculatedColumnFormula>
    </tableColumn>
    <tableColumn id="23" xr3:uid="{BA967987-3134-4924-80C0-5A3D851BF370}" name="КР" totalsRowFunction="sum" dataDxfId="312" totalsRowDxfId="311">
      <calculatedColumnFormula array="1">INDEX(CHOOSE(dbУчДисц[[#This Row],[код]],BAZZS[КР],BAZLS[КР],MAZZS[КР],MAZLS[КР]),dbУчДисц[[#This Row],[№]],0)</calculatedColumnFormula>
    </tableColumn>
    <tableColumn id="16" xr3:uid="{73201138-0889-4068-BB2A-39A4B7EFE351}" name="пВИД" dataDxfId="310" totalsRowDxfId="309">
      <calculatedColumnFormula>AND(LEN(dbУчДисц[[#This Row],[Дисциплина]]&amp;dbУчДисц[[#This Row],[Специалност/МагПрогр]]&amp;dbУчДисц[[#This Row],[Факултет]])&gt;0,LEN(dbУчДисц[[#This Row],[Вид]])=0)*1</calculatedColumnFormula>
    </tableColumn>
    <tableColumn id="17" xr3:uid="{9176CF3B-7449-4177-8EEA-EDBC1A0889EE}" name="пСтуденти" dataDxfId="308" totalsRowDxfId="307">
      <calculatedColumnFormula>IF(AND(dbУчДисц[[#This Row],[Дисциплина]]&lt;&gt;0,OR(dbУчДисц[[#This Row],[Лекции]]&lt;&gt;0,dbУчДисц[[#This Row],[Упражнения]]&lt;&gt;0),dbУчДисц[[#This Row],[Студенти]]=0),1,0)</calculatedColumnFormula>
    </tableColumn>
    <tableColumn id="18" xr3:uid="{E4D108A7-D081-461B-9CDE-7A3FA0B96725}" name="пИзпитани" dataDxfId="306" totalsRowDxfId="305">
      <calculatedColumnFormula>IF(AND(dbУчДисц[[#This Row],[Изпитани]]&lt;&gt;0,dbУчДисц[[#This Row],[Изпитващ]]=0),1,0)</calculatedColumnFormula>
    </tableColumn>
    <tableColumn id="19" xr3:uid="{A18A3152-C04D-40FB-939D-0D922D44ED2E}" name="кЕзик" dataDxfId="304" totalsRowDxfId="303">
      <calculatedColumnFormula>IFERROR(VLOOKUP(dbУчДисц[[#This Row],[Език]],Коефициент_Eзик[],2,0),0)</calculatedColumnFormula>
    </tableColumn>
    <tableColumn id="20" xr3:uid="{E911BB3A-B3AB-4CC9-896B-2011739D5241}" name="кСтуденти" dataDxfId="302" totalsRowDxfId="301">
      <calculatedColumnFormula array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calculatedColumnFormula>
    </tableColumn>
    <tableColumn id="21" xr3:uid="{05244210-2ED8-45F6-91FE-C85E049683E3}" name="кИзпитващ" dataDxfId="300" totalsRowDxfId="299">
      <calculatedColumnFormula>IFERROR(IF(T(dbУчДисц[[#This Row],[Изпитващ]])="",0,IF(AND('1. Планд'!$B$6=list!$A$11,dbУчДисц[[#This Row],[ФормаОц]]=list!$A$66),Coef!$B$8,VLOOKUP(dbУчДисц[[#This Row],[Изпитващ]],Koef.ocenqvane[],2,0))),0)</calculatedColumnFormula>
    </tableColumn>
    <tableColumn id="24" xr3:uid="{F3474CFC-89F4-49EF-AA62-84D43581943C}" name="кTO" dataDxfId="298" totalsRowDxfId="297"/>
    <tableColumn id="42" xr3:uid="{A79B59BE-3609-48EF-A710-4E1EDB7A39B2}" name="кКР" dataDxfId="296" totalsRowDxfId="295"/>
    <tableColumn id="25" xr3:uid="{8D26780C-FA2C-45C8-AE93-FD737184D9AE}" name="чЛекции" dataDxfId="294" totalsRowDxfId="293">
      <calculatedColumnFormula>N(dbУчДисц[[#This Row],[Лекции]])*dbУчДисц[[#This Row],[кЕзик]]*dbУчДисц[[#This Row],[кСтуденти]]*кЛекции</calculatedColumnFormula>
    </tableColumn>
    <tableColumn id="26" xr3:uid="{598FA4C6-FAB3-4E78-A007-DBB2D615C1FA}" name="чУпражнение" dataDxfId="292" totalsRowDxfId="291">
      <calculatedColumnFormula>N(dbУчДисц[[#This Row],[Упражнения]])*dbУчДисц[[#This Row],[кЕзик]]*dbУчДисц[[#This Row],[кСтуденти]]*кУпражнение</calculatedColumnFormula>
    </tableColumn>
    <tableColumn id="38" xr3:uid="{F910EAAE-89EC-412D-AA10-7807F0895F99}" name="чИзпитани" dataDxfId="290" totalsRowDxfId="289">
      <calculatedColumnFormula>N(dbУчДисц[[#This Row],[Изпитани]])*dbУчДисц[[#This Row],[кИзпитващ]]</calculatedColumnFormula>
    </tableColumn>
    <tableColumn id="39" xr3:uid="{F6883E31-B0DD-4BE4-8837-642B719B7D55}" name="чTO" dataDxfId="288" totalsRowDxfId="287">
      <calculatedColumnFormula>dbУчДисц[[#This Row],[ТО]]*dbУчДисц[[#This Row],[кTO]]</calculatedColumnFormula>
    </tableColumn>
    <tableColumn id="43" xr3:uid="{4AB012B9-9273-423F-94D1-118F60EE341D}" name="чКР" dataDxfId="286" totalsRowDxfId="285">
      <calculatedColumnFormula>dbУчДисц[[#This Row],[КР]]*dbУчДисц[[#This Row],[кКР]]</calculatedColumnFormula>
    </tableColumn>
    <tableColumn id="27" xr3:uid="{17439E93-1CCC-4773-AE7C-FA19809DB39D}" name="id_РД" dataDxfId="284" totalsRowDxfId="283">
      <calculatedColumnFormula>N(INDEX(CHOOSE(dbУчДисц[[#This Row],[код]],BAZZS[id_РД],BAZLS[id_РД],MAZZS[id_РД],MAZLS[id_РД]),dbУчДисц[[#This Row],[№]],0))</calculatedColumnFormula>
    </tableColumn>
    <tableColumn id="28" xr3:uid="{C18A2F57-29F1-4A78-9239-90D23762EED5}" name="Дисциплина1" dataDxfId="282" totalsRowDxfId="281">
      <calculatedColumnFormula>T(INDEX(CHOOSE(dbУчДисц[[#This Row],[код]],BAZZS[Дисциплина1],BAZLS[Дисциплина1],MAZZS[Дисциплина1],MAZLS[Дисциплина1]),dbУчДисц[[#This Row],[№]],0))</calculatedColumnFormula>
    </tableColumn>
    <tableColumn id="29" xr3:uid="{8F24C291-9937-4575-8CBC-0CB2A3AC211F}" name="тСпециалностиМП" dataDxfId="280" totalsRowDxfId="279">
      <calculatedColumnFormula>T(INDEX(CHOOSE(dbУчДисц[[#This Row],[код]],BAZZS[тСпециалностиМП],BAZLS[тСпециалностиМП],MAZZS[тСпециалностиМП],MAZLS[тСпециалностиМП]),dbУчДисц[[#This Row],[№]],0))</calculatedColumnFormula>
    </tableColumn>
    <tableColumn id="30" xr3:uid="{1CA14056-1401-47BE-B629-831108F91A3F}" name="Факултет1" dataDxfId="278" totalsRowDxfId="277">
      <calculatedColumnFormula>T(INDEX(CHOOSE(dbУчДисц[[#This Row],[код]],BAZZS[Факултет1],BAZLS[Факултет1],MAZZS[Факултет1],MAZLS[Факултет1]),dbУчДисц[[#This Row],[№]],0))</calculatedColumnFormula>
    </tableColumn>
    <tableColumn id="31" xr3:uid="{9A53E29B-29BC-43B7-B616-B7D99E2474F8}" name="монСпециалностМП" dataDxfId="276" totalsRowDxfId="275">
      <calculatedColumnFormula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calculatedColumnFormula>
    </tableColumn>
  </tableColumns>
  <tableStyleInfo name="TS_Total_Row 2" showFirstColumn="0" showLastColumn="0" showRowStripes="0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2EC2AD4-113B-4B5D-9AEB-69ECDE04CE49}" name="dbУчПрактикиКР" displayName="dbУчПрактикиКР" ref="AS12:CC52" headerRowDxfId="274" dataDxfId="272" totalsRowDxfId="271" headerRowBorderDxfId="273">
  <tableColumns count="37">
    <tableColumn id="13" xr3:uid="{0FC2F38E-9D86-4BB5-84A9-E9BCAFB6DC0E}" name="ОКС" dataDxfId="270" totalsRowDxfId="269"/>
    <tableColumn id="15" xr3:uid="{FD33D177-230C-4C78-BE90-DD62666D73D2}" name="Семестър" totalsRowFunction="sum" dataDxfId="268" totalsRowDxfId="267"/>
    <tableColumn id="17" xr3:uid="{ACF9D40A-0E10-4C51-8EE5-DECFADD55361}" name="код" totalsRowFunction="sum" dataDxfId="266" totalsRowDxfId="265"/>
    <tableColumn id="18" xr3:uid="{CC9CF3B9-5542-4AAD-B37A-B95FDF7FBA51}" name="№" dataDxfId="264" totalsRowDxfId="263">
      <calculatedColumnFormula>IF(dbУчПрактикиКР[[#This Row],[Семестър]]=OFFSET(dbУчПрактикиКР[[#This Row],[Семестър]],-1,0),N(OFFSET(dbУчПрактикиКР[[#This Row],[№]],-1,0))+1,1)</calculatedColumnFormula>
    </tableColumn>
    <tableColumn id="1" xr3:uid="{A010492C-0705-4A0B-8F27-877624D2BF8F}" name="Наименование на практика/курсова работа" dataDxfId="262">
      <calculatedColumnFormula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calculatedColumnFormula>
    </tableColumn>
    <tableColumn id="2" xr3:uid="{E2861A81-3344-49E3-89AC-3E1E074279AE}" name="Специалност" dataDxfId="261">
      <calculatedColumnFormula>T(INDEX(CHOOSE(dbУчПрактикиКР[[#This Row],[код]],BPZS[Специалност],BPLS[Специалност],MPZS[Магистърска програма],MPLS[Магистърска програма]),dbУчПрактикиКР[[#This Row],[№]],0))</calculatedColumnFormula>
    </tableColumn>
    <tableColumn id="3" xr3:uid="{719B6ABC-2641-49BA-AC5A-8B75CB6D676C}" name="Факултет" dataDxfId="260">
      <calculatedColumnFormula>T(INDEX(CHOOSE(dbУчПрактикиКР[[#This Row],[код]],BPZS[Факултет],BPLS[Факултет],MPZS[Факултет],MPLS[Факултет]),dbУчПрактикиКР[[#This Row],[№]],0))</calculatedColumnFormula>
    </tableColumn>
    <tableColumn id="4" xr3:uid="{970A6471-DD14-4C04-BE6E-235D20A95794}" name="Вид" dataDxfId="259">
      <calculatedColumnFormula>T(INDEX(CHOOSE(dbУчПрактикиКР[[#This Row],[код]],BPZS[Вид],BPLS[Вид],MPZS[Вид],MPLS[Вид]),dbУчПрактикиКР[[#This Row],[№]],0))</calculatedColumnFormula>
    </tableColumn>
    <tableColumn id="5" xr3:uid="{7D1A1DA0-AF6C-49EB-B3DB-A939A2D63F1D}" name="Курс" dataDxfId="258">
      <calculatedColumnFormula>T(INDEX(CHOOSE(dbУчПрактикиКР[[#This Row],[код]],BPZS[Курс],BPLS[Курс],MPZS[Курс],MPLS[Курс]),dbУчПрактикиКР[[#This Row],[№]],0))</calculatedColumnFormula>
    </tableColumn>
    <tableColumn id="6" xr3:uid="{F22A465B-83F6-4CE2-B6E3-767D10E6E528}" name="ФормаОб" dataDxfId="257">
      <calculatedColumnFormula>T(INDEX(CHOOSE(dbУчПрактикиКР[[#This Row],[код]],BPZS[ФормаОб],BPLS[ФормаОб],MPZS[ФормаОб],MPLS[ФормаОб]),dbУчПрактикиКР[[#This Row],[№]],0))</calculatedColumnFormula>
    </tableColumn>
    <tableColumn id="7" xr3:uid="{1B8AB55A-F5A0-47E6-8B4F-FC195AB76522}" name="Студенти" dataDxfId="256">
      <calculatedColumnFormula>N(INDEX(CHOOSE(dbУчПрактикиКР[[#This Row],[код]],BPZS[Студенти],BPLS[Студенти],MPZS[Студенти],MPLS[Студенти]),dbУчПрактикиКР[[#This Row],[№]],0))</calculatedColumnFormula>
    </tableColumn>
    <tableColumn id="26" xr3:uid="{463C3330-1DDD-4299-A96E-468F3BD1E823}" name="ВидПрактика" dataDxfId="255">
      <calculatedColumnFormula>T(INDEX(CHOOSE(dbУчПрактикиКР[[#This Row],[код]],BPZS[ВидПрактика],BPLS[ВидПрактика],MPZS[ВидПрактика],MPLS[ВидПрактика]),dbУчПрактикиКР[[#This Row],[№]],0))</calculatedColumnFormula>
    </tableColumn>
    <tableColumn id="27" xr3:uid="{719D984E-B7C2-4B8C-903A-701029286AC7}" name="Група" dataDxfId="254">
      <calculatedColumnFormula>N(INDEX(CHOOSE(dbУчПрактикиКР[[#This Row],[код]],BPZS[Група],BPLS[Група],MPZS[Група],MPLS[Група]),dbУчПрактикиКР[[#This Row],[№]],0))</calculatedColumnFormula>
    </tableColumn>
    <tableColumn id="29" xr3:uid="{84B64D00-00A0-4910-901B-1E0EC07006AA}" name="Ден" dataDxfId="253">
      <calculatedColumnFormula>N(INDEX(CHOOSE(dbУчПрактикиКР[[#This Row],[код]],BPZS[Ден],BPLS[Ден],MPZS[Ден],MPLS[Ден]),dbУчПрактикиКР[[#This Row],[№]],0))</calculatedColumnFormula>
    </tableColumn>
    <tableColumn id="8" xr3:uid="{38F37F98-6D26-4CFE-B760-E208DCB51FD4}" name="ФормаОц" dataDxfId="252">
      <calculatedColumnFormula>T(INDEX(CHOOSE(dbУчПрактикиКР[[#This Row],[код]],BPZS[ФормаОц],BPLS[ФормаОц],MPZS[ФормаОц],MPLS[ФормаОц]),dbУчПрактикиКР[[#This Row],[№]],0))</calculatedColumnFormula>
    </tableColumn>
    <tableColumn id="9" xr3:uid="{2D56B802-0580-48B7-B652-7A76F38DD72D}" name="Изпитващ" dataDxfId="251">
      <calculatedColumnFormula>T(INDEX(CHOOSE(dbУчПрактикиКР[[#This Row],[код]],BPZS[Изпитващ],BPLS[Изпитващ],MPZS[Изпитващ],MPLS[Изпитващ]),dbУчПрактикиКР[[#This Row],[№]],0))</calculatedColumnFormula>
    </tableColumn>
    <tableColumn id="10" xr3:uid="{13B8773A-B702-4226-B6F0-14FEF60DDAB5}" name="Изпитани" dataDxfId="250">
      <calculatedColumnFormula>N(INDEX(CHOOSE(dbУчПрактикиКР[[#This Row],[код]],BPZS[Изпитани],BPLS[Изпитани],MPZS[Изпитани],MPLS[Изпитани]),dbУчПрактикиКР[[#This Row],[№]],0))</calculatedColumnFormula>
    </tableColumn>
    <tableColumn id="11" xr3:uid="{6E01890B-BE3C-41C9-858B-E49D216250E6}" name="ТО" totalsRowFunction="sum" dataDxfId="249">
      <calculatedColumnFormula>N(INDEX(CHOOSE(dbУчПрактикиКР[[#This Row],[код]],BPZS[ТО],BPLS[ТО],MPZS[ТО],MPLS[ТО]),dbУчПрактикиКР[[#This Row],[№]],0))</calculatedColumnFormula>
    </tableColumn>
    <tableColumn id="12" xr3:uid="{14BDA062-E86E-4F92-890C-EC3479A0D41F}" name="КР" totalsRowFunction="sum" dataDxfId="248">
      <calculatedColumnFormula>N(INDEX(CHOOSE(dbУчПрактикиКР[[#This Row],[код]],BPZS[КР],BPLS[КР],MPZS[КР],MPLS[КР]),dbУчПрактикиКР[[#This Row],[№]],0))</calculatedColumnFormula>
    </tableColumn>
    <tableColumn id="20" xr3:uid="{9C7815BF-7665-4A1E-ABF5-7513EACF80C4}" name="пВидПрактика" dataDxfId="247">
      <calculatedColumnFormula>IFERROR(MATCH(dbУчПрактикиКР[[#This Row],[ВидПрактика]],T_Практики[Практика и курсова работа],0),0)</calculatedColumnFormula>
    </tableColumn>
    <tableColumn id="23" xr3:uid="{8642F56C-4B97-4F4D-AFC9-C14BC417E0A6}" name="уфСтуденти" dataDxfId="246">
      <calculatedColumnFormula>IF(dbУчПрактикиКР[[#This Row],[пВидПрактика]],INDEX(T_Практики[Студенти],dbУчПрактикиКР[[#This Row],[пВидПрактика]]),"-")</calculatedColumnFormula>
    </tableColumn>
    <tableColumn id="24" xr3:uid="{12215D9A-E365-408C-8F10-6ECDB0CA40D8}" name="уфГрупа" dataDxfId="245">
      <calculatedColumnFormula>IF(dbУчПрактикиКР[[#This Row],[пВидПрактика]],INDEX(T_Практики[Група],dbУчПрактикиКР[[#This Row],[пВидПрактика]])*2,"-")</calculatedColumnFormula>
    </tableColumn>
    <tableColumn id="25" xr3:uid="{FC576A4B-BECC-48FD-9942-3B6547B122DA}" name="уфДен" dataDxfId="244">
      <calculatedColumnFormula>IF(dbУчПрактикиКР[[#This Row],[пВидПрактика]],INDEX(T_Практики[Ден],dbУчПрактикиКР[[#This Row],[пВидПрактика]])*4,"-")</calculatedColumnFormula>
    </tableColumn>
    <tableColumn id="28" xr3:uid="{D73C2EC5-53C6-459F-BB67-FCF1FD75248F}" name="пФорма" dataDxfId="243">
      <calculatedColumnFormula>IFERROR(AND(dbУчПрактикиКР[[#This Row],[ТО]]&lt;&gt;0,dbУчПрактикиКР[[#This Row],[ФормаОб]]=0)*1,0)</calculatedColumnFormula>
    </tableColumn>
    <tableColumn id="32" xr3:uid="{C58BCBC1-6EF0-4474-8952-9DC4B555DBBB}" name="пИзпитани" dataDxfId="242">
      <calculatedColumnFormula>IFERROR(AND(dbУчПрактикиКР[[#This Row],[Изпитани]]&lt;&gt;0,LEN(dbУчПрактикиКР[[#This Row],[Изпитващ]])=0)*1,0)</calculatedColumnFormula>
    </tableColumn>
    <tableColumn id="33" xr3:uid="{0C1CC9A0-7EA3-4BCD-8DB3-4C59DF63A4A1}" name="кИзпитващ" dataDxfId="241">
      <calculatedColumnFormula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calculatedColumnFormula>
    </tableColumn>
    <tableColumn id="34" xr3:uid="{A4F327A8-E00F-41D6-B587-0B649333116B}" name="кTO" dataDxfId="240">
      <calculatedColumnFormula>IFERROR(IF(dbУчПрактикиКР[[#This Row],[ФормаОб]]=list!$A$55,Coef!$B$10,Coef!$B$9),0)</calculatedColumnFormula>
    </tableColumn>
    <tableColumn id="14" xr3:uid="{5F560772-B311-4ED0-9DB1-F1BB90DE5EF3}" name="кКР" dataDxfId="239"/>
    <tableColumn id="35" xr3:uid="{0C9558DF-3803-4FD1-ABA5-A8521E46100D}" name="чПрактика" dataDxfId="238">
      <calculatedColumnFormula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calculatedColumnFormula>
    </tableColumn>
    <tableColumn id="36" xr3:uid="{4DE66A61-6F5E-44D0-8617-41B158B40623}" name="чИзпитани" dataDxfId="237">
      <calculatedColumnFormula>dbУчПрактикиКР[[#This Row],[кИзпитващ]]*N(dbУчПрактикиКР[[#This Row],[Изпитани]])</calculatedColumnFormula>
    </tableColumn>
    <tableColumn id="37" xr3:uid="{01767123-44DD-4A1C-8219-7E4AEF7BE177}" name="чTO" dataDxfId="236">
      <calculatedColumnFormula>N(dbУчПрактикиКР[[#This Row],[ТО]])*N(dbУчПрактикиКР[[#This Row],[кTO]])</calculatedColumnFormula>
    </tableColumn>
    <tableColumn id="16" xr3:uid="{2F98A18B-40DD-4C1D-AFAA-E07E7E478DC0}" name="чКР" dataDxfId="235">
      <calculatedColumnFormula>N(dbУчПрактикиКР[[#This Row],[КР]])*dbУчПрактикиКР[[#This Row],[кКР]]</calculatedColumnFormula>
    </tableColumn>
    <tableColumn id="19" xr3:uid="{D6DFDD28-BD89-4702-A1D0-F389D0A6A29B}" name="id_РД" dataDxfId="234" totalsRowDxfId="233">
      <calculatedColumnFormula>N(INDEX(CHOOSE(dbУчПрактикиКР[[#This Row],[код]],BPZS[id_РД],BPLS[id_РД],MPZS[id_РД],MPLS[id_РД]),dbУчПрактикиКР[[#This Row],[№]],0))</calculatedColumnFormula>
    </tableColumn>
    <tableColumn id="21" xr3:uid="{0CB16158-E0AF-4490-8E78-113CA9082DFC}" name="Дисциплина1" dataDxfId="232" totalsRowDxfId="231">
      <calculatedColumnFormula>T(INDEX(CHOOSE(dbУчПрактикиКР[[#This Row],[код]],BPZS[Дисциплина1],BPLS[Дисциплина1],MPZS[Дисциплина1],MPLS[Дисциплина1]),dbУчПрактикиКР[[#This Row],[№]],0))</calculatedColumnFormula>
    </tableColumn>
    <tableColumn id="22" xr3:uid="{98D15AA7-1FB0-4792-A90C-AF5F48D307A4}" name="тСпециалностиМП" dataDxfId="230" totalsRowDxfId="229">
      <calculatedColumnFormula>T(INDEX(CHOOSE(dbУчПрактикиКР[[#This Row],[код]],BPZS[тСпециалностиМП],BPLS[тСпециалностиМП],MPZS[тСпециалностиМП],MPLS[тСпециалностиМП]),dbУчПрактикиКР[[#This Row],[№]],0))</calculatedColumnFormula>
    </tableColumn>
    <tableColumn id="30" xr3:uid="{DC979D6E-FF57-47AF-BFBE-9A0067CBB7D0}" name="Факултет1" dataDxfId="228" totalsRowDxfId="227">
      <calculatedColumnFormula>T(INDEX(CHOOSE(dbУчПрактикиКР[[#This Row],[код]],BPZS[Факултет1],BPLS[Факултет1],MPZS[Факултет1],MPLS[Факултет1]),dbУчПрактикиКР[[#This Row],[№]],0))</calculatedColumnFormula>
    </tableColumn>
    <tableColumn id="31" xr3:uid="{C24D7F35-67F3-4C9D-96A1-A7232803D394}" name="монСпециалностМП" dataDxfId="226" totalsRowDxfId="225">
      <calculatedColumnFormula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calculatedColumnFormula>
    </tableColumn>
  </tableColumns>
  <tableStyleInfo name="TS_Total_Row 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99BB48E8-55B4-49BF-9817-6316ED08E51E}" name="dbДипломиране" displayName="dbДипломиране" ref="CG12:CR44" headerRowDxfId="224" dataDxfId="223" totalsRowDxfId="222">
  <tableColumns count="12">
    <tableColumn id="6" xr3:uid="{8769CB1D-7C2C-40E0-9E12-3FDE4F88F073}" name="ОКС" dataDxfId="221" totalsRowDxfId="220"/>
    <tableColumn id="7" xr3:uid="{329DAAE3-245A-4BA0-91BE-97D26C7424F7}" name="Семестър" dataDxfId="219" totalsRowDxfId="218"/>
    <tableColumn id="8" xr3:uid="{39ABD7CD-04B9-4C50-81FC-0DFD48636A1A}" name="код" dataDxfId="217" totalsRowDxfId="216"/>
    <tableColumn id="9" xr3:uid="{05655783-8136-4934-9BDF-A83662B12249}" name="№" dataDxfId="215" totalsRowDxfId="214">
      <calculatedColumnFormula>IF(dbДипломиране[[#This Row],[Семестър]]=OFFSET(dbДипломиране[[#This Row],[Семестър]],-1,0),N(OFFSET(dbДипломиране[[#This Row],[№]],-1,0))+1,1)</calculatedColumnFormula>
    </tableColumn>
    <tableColumn id="1" xr3:uid="{B1D187E0-51B2-4C87-B008-390A1F3272A3}" name="Специалност/МП" dataDxfId="213" totalsRowDxfId="212">
      <calculatedColumnFormula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calculatedColumnFormula>
    </tableColumn>
    <tableColumn id="2" xr3:uid="{4300A291-D879-4AEC-99A3-D97DA6E2E468}" name="Факултет" dataDxfId="211" totalsRowDxfId="210">
      <calculatedColumnFormula>T(INDEX(CHOOSE(dbДипломиране[[#This Row],[код]],BDiplomiraneZS[Факултет],BDiplomiraneLS[Факултет],MDiplomiraneZS[Факултет],MDiplomiraneLS[Факултет]),dbДипломиране[[#This Row],[№]],0))</calculatedColumnFormula>
    </tableColumn>
    <tableColumn id="3" xr3:uid="{50B50EEE-E59D-45FE-A7A4-30EA373E94FA}" name="ДР" totalsRowFunction="sum" dataDxfId="209" totalsRowDxfId="208">
      <calculatedColumnFormula>N(INDEX(CHOOSE(dbДипломиране[[#This Row],[код]],BDiplomiraneZS[ДР],BDiplomiraneLS[ФормаОб],MDiplomiraneZS[ДР],MDiplomiraneLS[ДР]),dbДипломиране[[#This Row],[№]],0))</calculatedColumnFormula>
    </tableColumn>
    <tableColumn id="4" xr3:uid="{2297B0A6-13F2-4523-89C4-13E3E4E268F0}" name="Рецензии" totalsRowFunction="sum" dataDxfId="207" totalsRowDxfId="206">
      <calculatedColumnFormula>N(INDEX(CHOOSE(dbДипломиране[[#This Row],[код]],BDiplomiraneZS[Рецензии],BDiplomiraneLS[ДР],MDiplomiraneZS[Рецензии],MDiplomiraneLS[Рецензии]),dbДипломиране[[#This Row],[№]],0))</calculatedColumnFormula>
    </tableColumn>
    <tableColumn id="5" xr3:uid="{3AA6BC1A-68E7-416A-B3A8-F06290BE4562}" name="И/ДИ/З" totalsRowFunction="sum" dataDxfId="205" totalsRowDxfId="204">
      <calculatedColumnFormula>N(INDEX(CHOOSE(dbДипломиране[[#This Row],[код]],BDiplomiraneZS[И/ДИ/З],BDiplomiraneLS[Рецензии],MDiplomiraneZS[И/ДИ/З],MDiplomiraneLS[И/ДИ/З]),dbДипломиране[[#This Row],[№]],0))</calculatedColumnFormula>
    </tableColumn>
    <tableColumn id="10" xr3:uid="{9F51C9CF-6AD5-4276-9F2B-54260AFAD78C}" name="чДР" dataDxfId="203" totalsRowDxfId="202">
      <calculatedColumnFormula>dbДипломиране[[#This Row],[ДР]]*30</calculatedColumnFormula>
    </tableColumn>
    <tableColumn id="11" xr3:uid="{1C0B6CA7-B3DF-4407-BED9-818A32B192F3}" name="чРецензия" dataDxfId="201" totalsRowDxfId="200">
      <calculatedColumnFormula>dbДипломиране[[#This Row],[Рецензии]]*5</calculatedColumnFormula>
    </tableColumn>
    <tableColumn id="12" xr3:uid="{06999EFE-5848-4AF0-B069-2CEE498CB0C6}" name="чИ/ДИ" dataDxfId="199" totalsRowDxfId="198">
      <calculatedColumnFormula>dbДипломиране[[#This Row],[И/ДИ/З]]*0.8</calculatedColumnFormula>
    </tableColumn>
  </tableColumns>
  <tableStyleInfo name="TS_Total_Row 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D41EFDD6-D46C-42BB-954E-E44CC029A833}" name="DrAZ71" displayName="DrAZ71" ref="DV12:EP18" headerRowDxfId="197" dataDxfId="196" totalsRowDxfId="195" totalsRowBorderDxfId="194">
  <tableColumns count="21">
    <tableColumn id="1" xr3:uid="{238C2298-0AD6-4E91-962F-2E42A61EA423}" name="Докторански курс" dataDxfId="193"/>
    <tableColumn id="2" xr3:uid="{9AF763B1-4640-45E4-92E3-91B73F8A0752}" name="Докторантска програма" dataDxfId="192"/>
    <tableColumn id="3" xr3:uid="{7F03B72C-B608-4257-90C3-A284D97A4315}" name="Професионално направление" dataDxfId="191" totalsRowDxfId="190"/>
    <tableColumn id="14" xr3:uid="{F9D68DC0-DC63-4A2B-850D-9F755E8278E4}" name="Език" dataDxfId="189" totalsRowDxfId="188"/>
    <tableColumn id="4" xr3:uid="{FA7CE826-683D-4A53-A366-B5DF8A7C8938}" name="Докторанти" dataDxfId="187" totalsRowDxfId="186"/>
    <tableColumn id="5" xr3:uid="{462D0BAC-368C-4741-90D1-4C969203B4AA}" name="Лекции" dataDxfId="185" totalsRowDxfId="184"/>
    <tableColumn id="6" xr3:uid="{C279292E-5D47-42D5-A365-DC749EABC662}" name="Упражнения" dataDxfId="183" totalsRowDxfId="182"/>
    <tableColumn id="7" xr3:uid="{B9043804-8223-4D98-A8DF-58CB0ADB49CD}" name="Изпитани" totalsRowFunction="sum" dataDxfId="181" totalsRowDxfId="180"/>
    <tableColumn id="13" xr3:uid="{F1D88356-DA38-40CB-9267-2CA0BDBC0D57}" name="Семестър" dataDxfId="179" totalsRowDxfId="178"/>
    <tableColumn id="8" xr3:uid="{2DB00FE4-B233-4531-9B21-8D5781CEDFF3}" name="пПразни" dataDxfId="177" totalsRowDxfId="176">
      <calculatedColumnFormula>((9-COUNTBLANK(DrAZ71[[#This Row],[Докторански курс]:[Семестър]]))&gt;1)*1</calculatedColumnFormula>
    </tableColumn>
    <tableColumn id="19" xr3:uid="{D0632054-1241-44BD-9688-6452FC19CE11}" name="пДисциплина" dataDxfId="175" totalsRowDxfId="174">
      <calculatedColumnFormula>DrAZ71[[#This Row],[пПразни]]*(3-COUNTBLANK(DrAZ71[[#This Row],[Докторански курс]:[Професионално направление]])&lt;=3)</calculatedColumnFormula>
    </tableColumn>
    <tableColumn id="15" xr3:uid="{1F13D9D3-ECBE-4345-92E0-C17481752EA6}" name="пДокторанти" dataDxfId="173" totalsRowDxfId="172">
      <calculatedColumnFormula>DrAZ71[[#This Row],[пПразни]]*(N(DrAZ71[[#This Row],[Докторанти]])=0)</calculatedColumnFormula>
    </tableColumn>
    <tableColumn id="20" xr3:uid="{BC89BC91-26FB-4FAD-AE4B-2317746BD80F}" name="пЛ_У" dataDxfId="171" totalsRowDxfId="170">
      <calculatedColumnFormula>DrAZ71[[#This Row],[пПразни]]*(SUM(DrAZ71[[#This Row],[Лекции]:[Упражнения]])=0)</calculatedColumnFormula>
    </tableColumn>
    <tableColumn id="18" xr3:uid="{544C6AC8-BA06-4FD2-BF1B-689490ECB69C}" name="пИзпитани" dataDxfId="169" totalsRowDxfId="168">
      <calculatedColumnFormula>DrAZ71[[#This Row],[пПразни]]*(N(DrAZ71[[#This Row],[Изпитани]])=0)</calculatedColumnFormula>
    </tableColumn>
    <tableColumn id="17" xr3:uid="{BC32E672-89DD-47B5-9976-9063B601DCD6}" name="пСеместър" dataDxfId="167" totalsRowDxfId="166">
      <calculatedColumnFormula>DrAZ71[[#This Row],[пПразни]]*(LEN(DrAZ71[[#This Row],[Семестър]])=0)</calculatedColumnFormula>
    </tableColumn>
    <tableColumn id="16" xr3:uid="{06FE3EFC-9AF5-4F23-A9D4-11D7CD9FB266}" name="кСеместър" dataDxfId="165" totalsRowDxfId="164">
      <calculatedColumnFormula>IF(DrAZ71[[#This Row],[пПразни]],DrAZ71[[#This Row],[Семестър]]&amp;"|"&amp;DrAZ71[[#This Row],[Език]],"")</calculatedColumnFormula>
    </tableColumn>
    <tableColumn id="9" xr3:uid="{CD15929D-956D-4E74-99DB-E63D8F6D8183}" name="кРедукция" dataDxfId="163" totalsRowDxfId="162">
      <calculatedColumnFormula>IF(DrAZ71[[#This Row],[Докторанти]]&gt;=3,1,IFERROR(VLOOKUP(DrAZ71[[#This Row],[Докторанти]],RedukciaDr[],2,0),0))</calculatedColumnFormula>
    </tableColumn>
    <tableColumn id="10" xr3:uid="{76EABEA3-CD08-49E5-B132-8B33523E319A}" name="кЕзик" dataDxfId="161" totalsRowDxfId="160">
      <calculatedColumnFormula>IF(DrAZ71[[#This Row],[Език]]="чужд",1.5,1)</calculatedColumnFormula>
    </tableColumn>
    <tableColumn id="11" xr3:uid="{5183F71E-078A-4397-B959-0CE269521137}" name="чЛекции" totalsRowFunction="sum" dataDxfId="159" totalsRowDxfId="158">
      <calculatedColumnFormula>DrAZ71[[#This Row],[Лекции]]*DrAZ71[[#This Row],[кРедукция]]*DrAZ71[[#This Row],[кЕзик]]*кЛекции</calculatedColumnFormula>
    </tableColumn>
    <tableColumn id="12" xr3:uid="{BEEFB7C6-CFE2-4508-9765-B36E7742FFC4}" name="чУпражнения" totalsRowFunction="sum" dataDxfId="157" totalsRowDxfId="156">
      <calculatedColumnFormula>DrAZ71[[#This Row],[Упражнения]]*DrAZ71[[#This Row],[кРедукция]]*DrAZ71[[#This Row],[кЕзик]]*кУпражнение</calculatedColumnFormula>
    </tableColumn>
    <tableColumn id="21" xr3:uid="{1F168A20-2C9E-42EE-9EDC-5382DBCF1C45}" name="чИзпитани" dataDxfId="155" totalsRowDxfId="154">
      <calculatedColumnFormula>DrAZ71[[#This Row],[Изпитани]]*кИзпитаниДок</calculatedColumnFormula>
    </tableColumn>
  </tableColumns>
  <tableStyleInfo name="TS_Total_Row 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CC86B74-842B-492E-B0CB-FC3195918B52}" name="Подготовка_курс72" displayName="Подготовка_курс72" ref="CV12:DR23" headerRowDxfId="153" dataDxfId="152" totalsRowBorderDxfId="151">
  <tableColumns count="23">
    <tableColumn id="1" xr3:uid="{56ECFFEC-65CB-40B1-B6DF-0532215AB700}" name="Дейност" totalsRowLabel="Total" dataDxfId="150"/>
    <tableColumn id="2" xr3:uid="{237B6924-CE31-48D5-B741-BDCAA832931C}" name="Екип" dataDxfId="149"/>
    <tableColumn id="3" xr3:uid="{80BB6271-2F61-40C6-963E-C0FB8E80686C}" name="Дисциплина/Наименование на курс" dataDxfId="148"/>
    <tableColumn id="4" xr3:uid="{01CDA039-E70D-4CB5-9420-E90ADC9970B2}" name="ОКС" dataDxfId="147"/>
    <tableColumn id="5" xr3:uid="{3259BE1C-2D15-42CF-90DD-748D39F41C6F}" name="Специалност/Магистърска програма" dataDxfId="146"/>
    <tableColumn id="6" xr3:uid="{EDF125C0-E58C-4094-B116-43D3E03AED11}" name="Факултет" dataDxfId="145"/>
    <tableColumn id="7" xr3:uid="{34CA47BE-13B6-4518-BFA0-2D7B8B4EB8CF}" name="Вид" dataDxfId="144"/>
    <tableColumn id="8" xr3:uid="{45E88D65-88E5-45B8-93C2-CCE223D0696F}" name="ФормаОб" dataDxfId="143"/>
    <tableColumn id="9" xr3:uid="{C2C7BF83-B9E0-4E0C-8591-FAFFBB6D001E}" name="Език" dataDxfId="142"/>
    <tableColumn id="11" xr3:uid="{3235802F-B870-4770-AF5A-9F3D7439A3DF}" name="Лекции" dataDxfId="141"/>
    <tableColumn id="12" xr3:uid="{2003D244-A618-4CB1-998E-AE291586E497}" name="Упражнения" dataDxfId="140"/>
    <tableColumn id="10" xr3:uid="{3836D3F8-9F81-4934-BCEA-9BD4C0046DA4}" name="Семестър" dataDxfId="139"/>
    <tableColumn id="13" xr3:uid="{73C2458B-0919-4436-ABAC-69F131A17D92}" name="пДейност" dataDxfId="138">
      <calculatedColumnFormula>Подготовка_курс72[[#This Row],[пПразни]]*(LEN(Подготовка_курс72[[#This Row],[Дейност]])=0)</calculatedColumnFormula>
    </tableColumn>
    <tableColumn id="26" xr3:uid="{A29922BE-C708-4D2C-BA29-7979E5508263}" name="пЕкип" dataDxfId="137">
      <calculatedColumnFormula>Подготовка_курс72[[#This Row],[пПразни]]*(LEN(Подготовка_курс72[[#This Row],[Екип]])=0)</calculatedColumnFormula>
    </tableColumn>
    <tableColumn id="14" xr3:uid="{48E29890-6DBA-4F58-921A-D4CF35F9FA4B}" name="пОКС" dataDxfId="136">
      <calculatedColumnFormula>Подготовка_курс72[[#This Row],[пПразни]]*(LEN(Подготовка_курс72[[#This Row],[ОКС]])=0)</calculatedColumnFormula>
    </tableColumn>
    <tableColumn id="15" xr3:uid="{F3C3F8B8-8A5D-40CF-8FBB-D9D8F7318117}" name="пФормаОб" dataDxfId="135">
      <calculatedColumnFormula>Подготовка_курс72[[#This Row],[пПразни]]*(LEN(Подготовка_курс72[[#This Row],[ФормаОб]])=0)</calculatedColumnFormula>
    </tableColumn>
    <tableColumn id="27" xr3:uid="{FEABBF68-57E7-4A93-B1E8-BF39B0426F76}" name="пСеместър" dataDxfId="134">
      <calculatedColumnFormula>Подготовка_курс72[[#This Row],[пПразни]]*(LEN(Подготовка_курс72[[#This Row],[Семестър]])=0)</calculatedColumnFormula>
    </tableColumn>
    <tableColumn id="40" xr3:uid="{AF26A95B-863E-42B0-8CB8-EE59FEC003A9}" name="пЛ_У" dataDxfId="133">
      <calculatedColumnFormula>Подготовка_курс72[[#This Row],[пПразни]]*(SUM(Подготовка_курс72[[#This Row],[Лекции]:[Упражнения]])=0)</calculatedColumnFormula>
    </tableColumn>
    <tableColumn id="38" xr3:uid="{740D2ABE-B6B5-4A0E-8603-EDE5E70838EB}" name="пПразни" dataDxfId="132">
      <calculatedColumnFormula>((12-COUNTBLANK(Подготовка_курс72[[#This Row],[Дейност]:[Семестър]]))&gt;1)*1</calculatedColumnFormula>
    </tableColumn>
    <tableColumn id="31" xr3:uid="{88E304D5-AD2D-4023-8E0D-C8B2EF66AC28}" name="кДейност" dataDxfId="131">
      <calculatedColumnFormula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calculatedColumnFormula>
    </tableColumn>
    <tableColumn id="34" xr3:uid="{FBB4E0A7-EA04-4F1C-80A2-593EDEDE3413}" name="кЧасове" dataDxfId="130">
      <calculatedColumnFormula>IFERROR(SUM(Подготовка_курс72[[#This Row],[Лекции]:[Упражнения]])*Подготовка_курс72[[#This Row],[кДейност]]/Подготовка_курс72[[#This Row],[Екип]],0)</calculatedColumnFormula>
    </tableColumn>
    <tableColumn id="35" xr3:uid="{95CD9841-B7BA-4077-BF0D-A35E65B5D3E0}" name="Бакалавър" dataDxfId="129">
      <calculatedColumnFormula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calculatedColumnFormula>
    </tableColumn>
    <tableColumn id="36" xr3:uid="{C5094C1E-E9A7-4217-A345-3231D7643DC3}" name="Магистър" dataDxfId="128">
      <calculatedColumnFormula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calculatedColumnFormula>
    </tableColumn>
  </tableColumns>
  <tableStyleInfo name="TS_Total_Row 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A0969783-873B-4E07-94E8-2906579754F7}" name="тФакЧасове" displayName="тФакЧасове" ref="B7:AA58" totalsRowShown="0" headerRowDxfId="127">
  <autoFilter ref="B7:AA58" xr:uid="{A0969783-873B-4E07-94E8-2906579754F7}"/>
  <tableColumns count="26">
    <tableColumn id="2" xr3:uid="{50B3D5FB-45A9-4999-8588-D31294F76207}" name="ОКС"/>
    <tableColumn id="1" xr3:uid="{6B6D0CBF-DA91-4AC7-9EF9-5A98FEE45E51}" name="Семестър" dataDxfId="126"/>
    <tableColumn id="3" xr3:uid="{DDC52B5D-FEBB-4BB6-A6CF-9F26A7A1EE87}" name="Таблица"/>
    <tableColumn id="4" xr3:uid="{C15D07FF-F3AC-49D6-B4D4-0EE6AAE8196A}" name="полеФакултет"/>
    <tableColumn id="5" xr3:uid="{A09C021B-DADB-4446-97DF-064B208D1676}" name="полеОТЧЕТ" dataDxfId="125"/>
    <tableColumn id="27" xr3:uid="{B8924AD3-73E3-4486-9E0D-1F3C47DD2D12}" name="№" dataDxfId="124">
      <calculatedColumnFormula>IF(OFFSET(тФакЧасове[[#This Row],[полеФакултет]],-1,0)=тФакЧасове[[#This Row],[полеФакултет]],N(OFFSET(тФакЧасове[[#This Row],[№]],-1,0))+1,1)</calculatedColumnFormula>
    </tableColumn>
    <tableColumn id="6" xr3:uid="{8D1673D5-55F4-4B6D-A446-89EC7F8FAA9B}" name="БсФ" dataDxfId="123">
      <calculatedColumnFormula>SUMIF(INDIRECT($E8),H$7,INDIRECT($F8))</calculatedColumnFormula>
    </tableColumn>
    <tableColumn id="7" xr3:uid="{B1A2AADA-145E-4220-B68B-124E436D992A}" name="БФ" dataDxfId="122"/>
    <tableColumn id="8" xr3:uid="{AD111C00-9E12-492A-B71B-EF29DEDBB3B9}" name="ГГФ" dataDxfId="121"/>
    <tableColumn id="9" xr3:uid="{A7368A38-F9AB-4192-B0C0-8F35EBA46D4E}" name="ИФ" dataDxfId="120"/>
    <tableColumn id="10" xr3:uid="{AB8672E4-1866-4165-AA96-AFC7AF700F62}" name="МФ" dataDxfId="119"/>
    <tableColumn id="11" xr3:uid="{7E5F3B82-D6E0-4DCC-8F23-50CE3C0E9BB3}" name="СтФ" dataDxfId="118"/>
    <tableColumn id="12" xr3:uid="{ED2786F2-CD6B-4EA5-AD7B-9DC923668EFC}" name="ФЖМК" dataDxfId="117"/>
    <tableColumn id="13" xr3:uid="{55B1018A-5A1C-4361-A731-A4FE038B4A32}" name="ФзФ" dataDxfId="116"/>
    <tableColumn id="14" xr3:uid="{AB86C639-EB42-4282-A54E-946B74F12EBA}" name="ФКНФ" dataDxfId="115"/>
    <tableColumn id="15" xr3:uid="{006F2767-2656-49B8-BBB1-8AADCC2944D6}" name="ФМИ" dataDxfId="114"/>
    <tableColumn id="16" xr3:uid="{471956FC-359B-4906-8BD0-BB93B2E521C0}" name="ФНОИ" dataDxfId="113"/>
    <tableColumn id="17" xr3:uid="{43011802-4BEF-4B20-BCCE-D3D1EBFB609C}" name="ФП" dataDxfId="112"/>
    <tableColumn id="18" xr3:uid="{10C40578-C91E-434E-A65A-E4705729D4D7}" name="ФСлФ" dataDxfId="111"/>
    <tableColumn id="19" xr3:uid="{6D58B9A8-5CEC-4E15-951B-372027EAF91F}" name="ФФ" dataDxfId="110"/>
    <tableColumn id="20" xr3:uid="{9B68BAC0-2ACC-4770-AED1-7F67C233E57D}" name="ФХФ" dataDxfId="109"/>
    <tableColumn id="21" xr3:uid="{EF9C886A-FF16-45E1-89AA-90886B62651F}" name="ЮФ" dataDxfId="108"/>
    <tableColumn id="22" xr3:uid="{A0CD439D-8ED2-451B-8351-080D27AECC07}" name="ДС" dataDxfId="107"/>
    <tableColumn id="23" xr3:uid="{AC995C09-D465-4BEA-AA4D-85F5B78BFA83}" name="ДИУУ" dataDxfId="106"/>
    <tableColumn id="24" xr3:uid="{6674545D-DE66-426A-8EC8-6EAD17BAE5D8}" name="ДЕО" dataDxfId="105"/>
    <tableColumn id="25" xr3:uid="{7527820F-0FDB-4526-873C-CA5431B7FD2C}" name="ЦСВП" dataDxfId="104"/>
  </tableColumns>
  <tableStyleInfo name="TableStyleLight12 2" showFirstColumn="0" showLastColumn="0" showRowStripes="1" showColumnStripes="1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21682F75-E624-4258-BF32-21682B438469}" name="db_EducationPlans_МОН_List" displayName="db_EducationPlans_МОН_List" ref="A10:I189" tableType="queryTable" totalsRowShown="0">
  <autoFilter ref="A10:I189" xr:uid="{FCD5648C-9CAA-4424-868E-98113B5ED20E}"/>
  <tableColumns count="9">
    <tableColumn id="3" xr3:uid="{AAE908C9-6417-45FF-8AE9-F4C0D8CFB2F4}" uniqueName="3" name="er.Факултет" queryTableFieldId="3" dataDxfId="103" dataCellStyle="Normal 2"/>
    <tableColumn id="1" xr3:uid="{E8BFC184-A1F4-44C4-A2FF-3037EA906F37}" uniqueName="1" name="код" queryTableFieldId="7" dataDxfId="102" dataCellStyle="Normal 2"/>
    <tableColumn id="5" xr3:uid="{183293A2-11B5-4B47-8A42-69A3DD215EB1}" uniqueName="5" name="CodeSpecialityName" queryTableFieldId="5" dataDxfId="101" dataCellStyle="Normal 2"/>
    <tableColumn id="6" xr3:uid="{435259BF-6F6C-4F8F-9045-B90F4F2B90CE}" uniqueName="6" name="аСпец" queryTableFieldId="6" dataDxfId="100" dataCellStyle="Normal 2"/>
    <tableColumn id="9" xr3:uid="{8188694B-7C1B-47E6-8B07-8C39A5F753FC}" uniqueName="9" name="initialPartId" queryTableFieldId="11" dataDxfId="99" dataCellStyle="Normal 2"/>
    <tableColumn id="2" xr3:uid="{8CB80622-2B6F-4CB4-80EB-F84A07F39610}" uniqueName="2" name="entityname" queryTableFieldId="2" dataDxfId="98" dataCellStyle="Normal 2"/>
    <tableColumn id="4" xr3:uid="{16655AB0-86EA-4F8B-B592-DD61564FC966}" uniqueName="4" name="Code_MON" queryTableFieldId="8" dataDxfId="97" dataCellStyle="Normal 2"/>
    <tableColumn id="7" xr3:uid="{9FEA8D06-8C7C-4D2F-9AC4-3467E6E23D1F}" uniqueName="7" name="EducationalFormName" queryTableFieldId="9" dataDxfId="96" dataCellStyle="Normal 2"/>
    <tableColumn id="8" xr3:uid="{517DAF22-569B-493E-B983-C475EDCD5BC6}" uniqueName="8" name="EducationalDegreeNameMON" queryTableFieldId="10" dataDxfId="95" dataCellStyle="Normal 2"/>
  </tableColumns>
  <tableStyleInfo name="TableStyleLight10" showFirstColumn="0" showLastColumn="0" showRowStripes="1" showColumnStripes="1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271160E-D041-4202-AAED-EB57003C3CC3}" name="тИндидОТЧЕТ" displayName="тИндидОТЧЕТ" ref="CB5:DC36" totalsRowShown="0" dataDxfId="1667">
  <autoFilter ref="CB5:DC36" xr:uid="{3271160E-D041-4202-AAED-EB57003C3CC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6" xr3:uid="{6C2E24D4-60D6-4D07-A220-ADCD1926F49B}" name="№" dataDxfId="1666">
      <calculatedColumnFormula>N(OFFSET(тИндидОТЧЕТ[[#This Row],[№]],-1,0))+1</calculatedColumnFormula>
    </tableColumn>
    <tableColumn id="23" xr3:uid="{24A083CA-B583-4050-8A8A-BEF963FCEC76}" name="аФакултет" dataDxfId="1665">
      <calculatedColumnFormula>T($N$17)</calculatedColumnFormula>
    </tableColumn>
    <tableColumn id="24" xr3:uid="{DBD411C3-E30D-4204-B077-5B4A973B96F7}" name="аКатедра" dataDxfId="1664">
      <calculatedColumnFormula>T($N$19)</calculatedColumnFormula>
    </tableColumn>
    <tableColumn id="25" xr3:uid="{2C4B35BB-8E89-43F7-95C0-A632664F428F}" name="аАкадДлъжност" dataDxfId="1663">
      <calculatedColumnFormula>T($N$6)</calculatedColumnFormula>
    </tableColumn>
    <tableColumn id="26" xr3:uid="{7884A47F-3DF2-4A46-903F-2AA05B290EE6}" name="аРъкДлъжност" dataDxfId="1662">
      <calculatedColumnFormula>T($N$7)</calculatedColumnFormula>
    </tableColumn>
    <tableColumn id="27" xr3:uid="{38FC0398-C41A-4AE4-AA7B-31BCF3720135}" name="аПреподавател" dataDxfId="1661">
      <calculatedColumnFormula>T($N$8)</calculatedColumnFormula>
    </tableColumn>
    <tableColumn id="22" xr3:uid="{D5327D3E-7F3E-44A3-BB70-4565A0F56820}" name="аЕГН" dataDxfId="1660">
      <calculatedColumnFormula>T($N$9)</calculatedColumnFormula>
    </tableColumn>
    <tableColumn id="28" xr3:uid="{FA5816E6-0683-4031-9293-7305864E74A4}" name="Контрол" dataDxfId="1659">
      <calculatedColumnFormula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calculatedColumnFormula>
    </tableColumn>
    <tableColumn id="1" xr3:uid="{C30DC784-EB1B-4B70-9D2F-0B9C028B42B8}" name="Факултет" dataDxfId="1658"/>
    <tableColumn id="2" xr3:uid="{91232DC7-7B1A-4AC9-BADA-EA0FD57AA97E}" name="Катедра" dataDxfId="1657"/>
    <tableColumn id="3" xr3:uid="{8B847576-5FC7-4234-9A5C-B99C4DF9EF5B}" name="акадДлъжност" dataDxfId="1656"/>
    <tableColumn id="4" xr3:uid="{4D342B88-5865-4C20-BD30-A44337928609}" name="ръкДлъжност" dataDxfId="1655"/>
    <tableColumn id="5" xr3:uid="{A6452E57-1E77-4CEF-B55E-6B8E2A2D3D5E}" name="Преподавател" dataDxfId="1654"/>
    <tableColumn id="6" xr3:uid="{2810A7A1-8745-4D30-BEA3-4DD5D39322DD}" name="Забележка" dataDxfId="1653"/>
    <tableColumn id="7" xr3:uid="{E1C50D0D-6863-4B7B-9FE3-A6F41CAB58C3}" name="уГодина" dataDxfId="1652">
      <calculatedColumnFormula>T(Учебна_година)</calculatedColumnFormula>
    </tableColumn>
    <tableColumn id="8" xr3:uid="{661582FF-0B54-4F3B-96B7-70EEE9272B1F}" name="Семестър" dataDxfId="1651">
      <calculatedColumnFormula>T(Семестър)</calculatedColumnFormula>
    </tableColumn>
    <tableColumn id="9" xr3:uid="{0B9FC1D8-6EBE-4943-A46E-44295802B70A}" name="Заетост" dataDxfId="1650"/>
    <tableColumn id="10" xr3:uid="{E5780C2C-3CAD-4895-B536-76477A576B1B}" name="Дейности" dataDxfId="1649"/>
    <tableColumn id="11" xr3:uid="{4CE1BC33-AC6C-4F45-A5B1-366601245BF5}" name="зБакалавър" dataDxfId="1648"/>
    <tableColumn id="12" xr3:uid="{341104E9-7D51-4D69-A2B4-90FA7B19A4D8}" name="лБакалавър" dataDxfId="1647"/>
    <tableColumn id="13" xr3:uid="{366047BA-93B5-44A2-A873-E809A529747C}" name="зМагистър" dataDxfId="1646"/>
    <tableColumn id="14" xr3:uid="{C827D361-33FC-4E66-BDA1-9AE30D458F08}" name="лМагистър" dataDxfId="1645"/>
    <tableColumn id="15" xr3:uid="{DEEE71F2-07DD-49F1-BF0F-303BE56BF101}" name="Доктор" dataDxfId="1644"/>
    <tableColumn id="17" xr3:uid="{C1ACF021-9C8D-46BB-BD07-46F3E6F8137B}" name="ОЗ" dataDxfId="1643">
      <calculatedColumnFormula>$CT$33</calculatedColumnFormula>
    </tableColumn>
    <tableColumn id="18" xr3:uid="{AB3EA14B-7962-4FB4-B355-BA1ABD5B2CD7}" name="АЗ" dataDxfId="1642">
      <calculatedColumnFormula>$CT$34</calculatedColumnFormula>
    </tableColumn>
    <tableColumn id="19" xr3:uid="{ADF03488-217E-418E-8233-32D01AF56511}" name="рЧасове" dataDxfId="1641">
      <calculatedColumnFormula>$CX$35</calculatedColumnFormula>
    </tableColumn>
    <tableColumn id="20" xr3:uid="{58442EC3-6E38-429E-B5FC-118C4B5320E9}" name="дОЗ" dataDxfId="1640">
      <calculatedColumnFormula>$CX$33</calculatedColumnFormula>
    </tableColumn>
    <tableColumn id="21" xr3:uid="{3E94A286-3BD7-490F-9DDC-5FC4C6AD8727}" name="дАЗ" dataDxfId="1639">
      <calculatedColumnFormula>$CX$34</calculatedColumnFormula>
    </tableColumn>
  </tableColumns>
  <tableStyleInfo name="TableStyleLight8" showFirstColumn="0" showLastColumn="0" showRowStripes="1" showColumnStripes="1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.xml"/><Relationship Id="rId13" Type="http://schemas.openxmlformats.org/officeDocument/2006/relationships/table" Target="../tables/table35.xml"/><Relationship Id="rId3" Type="http://schemas.openxmlformats.org/officeDocument/2006/relationships/drawing" Target="../drawings/drawing5.xml"/><Relationship Id="rId7" Type="http://schemas.openxmlformats.org/officeDocument/2006/relationships/table" Target="../tables/table29.xml"/><Relationship Id="rId12" Type="http://schemas.openxmlformats.org/officeDocument/2006/relationships/table" Target="../tables/table3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6" Type="http://schemas.openxmlformats.org/officeDocument/2006/relationships/table" Target="../tables/table28.xml"/><Relationship Id="rId11" Type="http://schemas.openxmlformats.org/officeDocument/2006/relationships/table" Target="../tables/table33.xml"/><Relationship Id="rId5" Type="http://schemas.openxmlformats.org/officeDocument/2006/relationships/table" Target="../tables/table27.xml"/><Relationship Id="rId10" Type="http://schemas.openxmlformats.org/officeDocument/2006/relationships/table" Target="../tables/table32.xml"/><Relationship Id="rId4" Type="http://schemas.openxmlformats.org/officeDocument/2006/relationships/table" Target="../tables/table26.xml"/><Relationship Id="rId9" Type="http://schemas.openxmlformats.org/officeDocument/2006/relationships/table" Target="../tables/table3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13" Type="http://schemas.openxmlformats.org/officeDocument/2006/relationships/table" Target="../tables/table45.xml"/><Relationship Id="rId3" Type="http://schemas.openxmlformats.org/officeDocument/2006/relationships/drawing" Target="../drawings/drawing6.xml"/><Relationship Id="rId7" Type="http://schemas.openxmlformats.org/officeDocument/2006/relationships/table" Target="../tables/table39.xml"/><Relationship Id="rId12" Type="http://schemas.openxmlformats.org/officeDocument/2006/relationships/table" Target="../tables/table44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6" Type="http://schemas.openxmlformats.org/officeDocument/2006/relationships/table" Target="../tables/table38.xml"/><Relationship Id="rId11" Type="http://schemas.openxmlformats.org/officeDocument/2006/relationships/table" Target="../tables/table43.xml"/><Relationship Id="rId5" Type="http://schemas.openxmlformats.org/officeDocument/2006/relationships/table" Target="../tables/table37.xml"/><Relationship Id="rId10" Type="http://schemas.openxmlformats.org/officeDocument/2006/relationships/table" Target="../tables/table42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7" Type="http://schemas.openxmlformats.org/officeDocument/2006/relationships/table" Target="../tables/table4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ipio@uni-sofia.bg?subject=&#1042;&#1098;&#1087;&#1088;&#1086;&#1089;%20-%20&#1087;&#1086;&#1087;&#1098;&#1083;&#1074;&#1072;&#1085;&#1077;%20&#1085;&#1072;%20&#1077;&#1083;&#1077;&#1082;&#1090;&#1088;&#1086;&#1085;&#1077;&#1085;%20&#1092;&#1086;&#1088;&#1084;&#1091;&#1083;&#1103;&#1088;" TargetMode="External"/><Relationship Id="rId6" Type="http://schemas.openxmlformats.org/officeDocument/2006/relationships/table" Target="../tables/table48.xml"/><Relationship Id="rId5" Type="http://schemas.openxmlformats.org/officeDocument/2006/relationships/table" Target="../tables/table47.xml"/><Relationship Id="rId4" Type="http://schemas.openxmlformats.org/officeDocument/2006/relationships/table" Target="../tables/table4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ipio@uni-sofia.bg?subject=&#1042;&#1098;&#1087;&#1088;&#1086;&#1089;%20-%20&#1087;&#1086;&#1087;&#1098;&#1083;&#1074;&#1072;&#1085;&#1077;%20&#1085;&#1072;%20&#1077;&#1083;&#1077;&#1082;&#1090;&#1088;&#1086;&#1085;&#1077;&#1085;%20&#1092;&#1086;&#1088;&#1084;&#1091;&#1083;&#1103;&#1088;" TargetMode="External"/><Relationship Id="rId4" Type="http://schemas.openxmlformats.org/officeDocument/2006/relationships/table" Target="../tables/table5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table" Target="../tables/table54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57.xml"/><Relationship Id="rId4" Type="http://schemas.openxmlformats.org/officeDocument/2006/relationships/table" Target="../tables/table5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.xml"/><Relationship Id="rId3" Type="http://schemas.openxmlformats.org/officeDocument/2006/relationships/table" Target="../tables/table12.xml"/><Relationship Id="rId7" Type="http://schemas.openxmlformats.org/officeDocument/2006/relationships/table" Target="../tables/table16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5.xml"/><Relationship Id="rId5" Type="http://schemas.openxmlformats.org/officeDocument/2006/relationships/table" Target="../tables/table14.xml"/><Relationship Id="rId4" Type="http://schemas.openxmlformats.org/officeDocument/2006/relationships/table" Target="../tables/table13.xml"/><Relationship Id="rId9" Type="http://schemas.openxmlformats.org/officeDocument/2006/relationships/table" Target="../tables/table18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5.xml"/><Relationship Id="rId13" Type="http://schemas.openxmlformats.org/officeDocument/2006/relationships/table" Target="../tables/table70.xml"/><Relationship Id="rId18" Type="http://schemas.openxmlformats.org/officeDocument/2006/relationships/table" Target="../tables/table75.xml"/><Relationship Id="rId3" Type="http://schemas.openxmlformats.org/officeDocument/2006/relationships/table" Target="../tables/table60.xml"/><Relationship Id="rId21" Type="http://schemas.openxmlformats.org/officeDocument/2006/relationships/table" Target="../tables/table78.xml"/><Relationship Id="rId7" Type="http://schemas.openxmlformats.org/officeDocument/2006/relationships/table" Target="../tables/table64.xml"/><Relationship Id="rId12" Type="http://schemas.openxmlformats.org/officeDocument/2006/relationships/table" Target="../tables/table69.xml"/><Relationship Id="rId17" Type="http://schemas.openxmlformats.org/officeDocument/2006/relationships/table" Target="../tables/table74.xml"/><Relationship Id="rId2" Type="http://schemas.openxmlformats.org/officeDocument/2006/relationships/table" Target="../tables/table59.xml"/><Relationship Id="rId16" Type="http://schemas.openxmlformats.org/officeDocument/2006/relationships/table" Target="../tables/table73.xml"/><Relationship Id="rId20" Type="http://schemas.openxmlformats.org/officeDocument/2006/relationships/table" Target="../tables/table77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63.xml"/><Relationship Id="rId11" Type="http://schemas.openxmlformats.org/officeDocument/2006/relationships/table" Target="../tables/table68.xml"/><Relationship Id="rId24" Type="http://schemas.openxmlformats.org/officeDocument/2006/relationships/table" Target="../tables/table81.xml"/><Relationship Id="rId5" Type="http://schemas.openxmlformats.org/officeDocument/2006/relationships/table" Target="../tables/table62.xml"/><Relationship Id="rId15" Type="http://schemas.openxmlformats.org/officeDocument/2006/relationships/table" Target="../tables/table72.xml"/><Relationship Id="rId23" Type="http://schemas.openxmlformats.org/officeDocument/2006/relationships/table" Target="../tables/table80.xml"/><Relationship Id="rId10" Type="http://schemas.openxmlformats.org/officeDocument/2006/relationships/table" Target="../tables/table67.xml"/><Relationship Id="rId19" Type="http://schemas.openxmlformats.org/officeDocument/2006/relationships/table" Target="../tables/table76.xml"/><Relationship Id="rId4" Type="http://schemas.openxmlformats.org/officeDocument/2006/relationships/table" Target="../tables/table61.xml"/><Relationship Id="rId9" Type="http://schemas.openxmlformats.org/officeDocument/2006/relationships/table" Target="../tables/table66.xml"/><Relationship Id="rId14" Type="http://schemas.openxmlformats.org/officeDocument/2006/relationships/table" Target="../tables/table71.xml"/><Relationship Id="rId22" Type="http://schemas.openxmlformats.org/officeDocument/2006/relationships/table" Target="../tables/table7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table" Target="../tables/table82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86.xml"/><Relationship Id="rId5" Type="http://schemas.openxmlformats.org/officeDocument/2006/relationships/table" Target="../tables/table85.xml"/><Relationship Id="rId4" Type="http://schemas.openxmlformats.org/officeDocument/2006/relationships/table" Target="../tables/table8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1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6" Type="http://schemas.openxmlformats.org/officeDocument/2006/relationships/ctrlProp" Target="../ctrlProps/ctrlProp4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2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1.xml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6" Type="http://schemas.openxmlformats.org/officeDocument/2006/relationships/table" Target="../tables/table24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1" Type="http://schemas.openxmlformats.org/officeDocument/2006/relationships/hyperlink" Target="mailto:ipio@uni-sofia.bg?subject=&#1042;&#1098;&#1087;&#1088;&#1086;&#1089;%20-%20&#1087;&#1086;&#1087;&#1098;&#1083;&#1074;&#1072;&#1085;&#1077;%20&#1077;&#1083;&#1077;&#1082;&#1090;&#1088;&#1086;&#1085;&#1077;&#1085;%20&#1092;&#1086;&#1088;&#1084;&#1091;&#1083;&#1103;&#1088;" TargetMode="External"/><Relationship Id="rId6" Type="http://schemas.openxmlformats.org/officeDocument/2006/relationships/ctrlProp" Target="../ctrlProps/ctrlProp3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5050"/>
  </sheetPr>
  <dimension ref="A1:DC139"/>
  <sheetViews>
    <sheetView workbookViewId="0">
      <selection activeCell="N58" sqref="N58"/>
    </sheetView>
  </sheetViews>
  <sheetFormatPr defaultRowHeight="15" x14ac:dyDescent="0.25"/>
  <cols>
    <col min="1" max="1" width="64.42578125" bestFit="1" customWidth="1"/>
    <col min="2" max="2" width="17.5703125" customWidth="1"/>
    <col min="3" max="3" width="11.7109375" customWidth="1"/>
    <col min="4" max="9" width="3.5703125" customWidth="1"/>
    <col min="10" max="10" width="6.7109375" customWidth="1"/>
    <col min="11" max="11" width="3.140625" bestFit="1" customWidth="1"/>
    <col min="12" max="12" width="29.42578125" bestFit="1" customWidth="1"/>
    <col min="13" max="13" width="18.28515625" bestFit="1" customWidth="1"/>
    <col min="14" max="14" width="92.85546875" bestFit="1" customWidth="1"/>
    <col min="17" max="17" width="49.42578125" customWidth="1"/>
    <col min="18" max="19" width="65.42578125" bestFit="1" customWidth="1"/>
    <col min="20" max="20" width="18.42578125" bestFit="1" customWidth="1"/>
    <col min="21" max="21" width="13.85546875" bestFit="1" customWidth="1"/>
    <col min="22" max="23" width="11.28515625" bestFit="1" customWidth="1"/>
    <col min="24" max="24" width="19.85546875" bestFit="1" customWidth="1"/>
    <col min="25" max="25" width="18.42578125" bestFit="1" customWidth="1"/>
    <col min="26" max="26" width="18.28515625" bestFit="1" customWidth="1"/>
    <col min="27" max="27" width="8" bestFit="1" customWidth="1"/>
    <col min="28" max="28" width="13.42578125" bestFit="1" customWidth="1"/>
    <col min="29" max="29" width="12.42578125" bestFit="1" customWidth="1"/>
    <col min="30" max="30" width="16.7109375" bestFit="1" customWidth="1"/>
    <col min="31" max="31" width="14.28515625" bestFit="1" customWidth="1"/>
    <col min="32" max="32" width="24.42578125" bestFit="1" customWidth="1"/>
    <col min="33" max="33" width="24.7109375" bestFit="1" customWidth="1"/>
    <col min="34" max="34" width="24.7109375" customWidth="1"/>
    <col min="35" max="35" width="12.5703125" bestFit="1" customWidth="1"/>
    <col min="36" max="36" width="20" bestFit="1" customWidth="1"/>
    <col min="37" max="37" width="18.5703125" bestFit="1" customWidth="1"/>
    <col min="38" max="38" width="15.140625" bestFit="1" customWidth="1"/>
    <col min="39" max="39" width="13.42578125" bestFit="1" customWidth="1"/>
    <col min="40" max="40" width="15.5703125" bestFit="1" customWidth="1"/>
    <col min="41" max="41" width="14.42578125" bestFit="1" customWidth="1"/>
    <col min="42" max="42" width="20" bestFit="1" customWidth="1"/>
    <col min="43" max="43" width="11.7109375" bestFit="1" customWidth="1"/>
    <col min="44" max="44" width="51.140625" bestFit="1" customWidth="1"/>
    <col min="45" max="45" width="13.42578125" bestFit="1" customWidth="1"/>
    <col min="46" max="46" width="15.5703125" bestFit="1" customWidth="1"/>
    <col min="47" max="47" width="8.7109375" bestFit="1" customWidth="1"/>
    <col min="48" max="48" width="11.42578125" bestFit="1" customWidth="1"/>
    <col min="49" max="49" width="9.42578125" bestFit="1" customWidth="1"/>
    <col min="50" max="50" width="19.85546875" customWidth="1"/>
    <col min="51" max="51" width="31.28515625" customWidth="1"/>
    <col min="52" max="52" width="10.28515625" bestFit="1" customWidth="1"/>
    <col min="53" max="53" width="10" bestFit="1" customWidth="1"/>
    <col min="54" max="55" width="9.7109375" bestFit="1" customWidth="1"/>
    <col min="56" max="56" width="11.42578125" bestFit="1" customWidth="1"/>
    <col min="57" max="57" width="11.28515625" bestFit="1" customWidth="1"/>
    <col min="58" max="59" width="11.28515625" customWidth="1"/>
    <col min="60" max="60" width="17.42578125" bestFit="1" customWidth="1"/>
    <col min="61" max="61" width="25.7109375" bestFit="1" customWidth="1"/>
    <col min="62" max="62" width="17.5703125" bestFit="1" customWidth="1"/>
    <col min="63" max="63" width="9.7109375" bestFit="1" customWidth="1"/>
    <col min="64" max="64" width="14.140625" bestFit="1" customWidth="1"/>
    <col min="65" max="65" width="28.5703125" bestFit="1" customWidth="1"/>
    <col min="66" max="68" width="28.5703125" customWidth="1"/>
    <col min="69" max="70" width="31.5703125" customWidth="1"/>
    <col min="71" max="71" width="28.5703125" bestFit="1" customWidth="1"/>
    <col min="73" max="73" width="9.28515625" bestFit="1" customWidth="1"/>
    <col min="74" max="74" width="10" bestFit="1" customWidth="1"/>
    <col min="75" max="75" width="10.140625" bestFit="1" customWidth="1"/>
    <col min="76" max="77" width="10.140625" customWidth="1"/>
    <col min="80" max="80" width="5.5703125" bestFit="1" customWidth="1"/>
    <col min="81" max="81" width="12.85546875" bestFit="1" customWidth="1"/>
    <col min="82" max="82" width="11.85546875" bestFit="1" customWidth="1"/>
    <col min="83" max="83" width="18.28515625" bestFit="1" customWidth="1"/>
    <col min="84" max="84" width="17" bestFit="1" customWidth="1"/>
    <col min="85" max="85" width="17.7109375" bestFit="1" customWidth="1"/>
    <col min="86" max="86" width="12.5703125" customWidth="1"/>
    <col min="87" max="87" width="11.85546875" customWidth="1"/>
    <col min="88" max="88" width="24.7109375" bestFit="1" customWidth="1"/>
    <col min="89" max="89" width="10.85546875" bestFit="1" customWidth="1"/>
    <col min="90" max="90" width="17" bestFit="1" customWidth="1"/>
    <col min="91" max="91" width="16" bestFit="1" customWidth="1"/>
    <col min="92" max="92" width="24.42578125" bestFit="1" customWidth="1"/>
    <col min="93" max="93" width="31.7109375" customWidth="1"/>
    <col min="94" max="94" width="9.85546875" bestFit="1" customWidth="1"/>
    <col min="95" max="95" width="10" bestFit="1" customWidth="1"/>
    <col min="96" max="96" width="7.85546875" bestFit="1" customWidth="1"/>
    <col min="97" max="97" width="37" customWidth="1"/>
    <col min="103" max="107" width="9.140625" style="614"/>
  </cols>
  <sheetData>
    <row r="1" spans="1:107" ht="15.75" thickBot="1" x14ac:dyDescent="0.3">
      <c r="A1" s="13" t="s">
        <v>18</v>
      </c>
      <c r="B1" s="611" t="s">
        <v>23</v>
      </c>
      <c r="C1" s="14" t="s">
        <v>24</v>
      </c>
      <c r="K1" s="63" t="s">
        <v>573</v>
      </c>
      <c r="L1" s="433" t="s">
        <v>792</v>
      </c>
      <c r="M1" s="434" t="s">
        <v>625</v>
      </c>
      <c r="N1" s="435" t="s">
        <v>623</v>
      </c>
    </row>
    <row r="2" spans="1:107" ht="15" customHeight="1" thickBot="1" x14ac:dyDescent="0.3">
      <c r="A2" s="6" t="s">
        <v>36</v>
      </c>
      <c r="B2" s="7">
        <v>1</v>
      </c>
      <c r="C2" s="1927" t="s">
        <v>2788</v>
      </c>
      <c r="J2" s="1949" t="s">
        <v>793</v>
      </c>
      <c r="K2" s="713">
        <v>1</v>
      </c>
      <c r="L2" s="716" t="s">
        <v>794</v>
      </c>
      <c r="M2" s="1151" t="s">
        <v>649</v>
      </c>
      <c r="N2" s="1568" t="str">
        <f>Учебна_година</f>
        <v>2024/2025</v>
      </c>
      <c r="T2" s="15">
        <v>1</v>
      </c>
      <c r="U2" s="15">
        <f t="shared" ref="U2:BS2" si="0">T2+1</f>
        <v>2</v>
      </c>
      <c r="V2" s="15">
        <f t="shared" si="0"/>
        <v>3</v>
      </c>
      <c r="W2" s="15">
        <f t="shared" si="0"/>
        <v>4</v>
      </c>
      <c r="X2" s="15">
        <f t="shared" si="0"/>
        <v>5</v>
      </c>
      <c r="Y2" s="15">
        <f t="shared" si="0"/>
        <v>6</v>
      </c>
      <c r="Z2" s="15">
        <f t="shared" si="0"/>
        <v>7</v>
      </c>
      <c r="AA2" s="15">
        <f t="shared" si="0"/>
        <v>8</v>
      </c>
      <c r="AB2" s="15">
        <f t="shared" si="0"/>
        <v>9</v>
      </c>
      <c r="AC2" s="15">
        <f t="shared" si="0"/>
        <v>10</v>
      </c>
      <c r="AD2" s="15">
        <f t="shared" si="0"/>
        <v>11</v>
      </c>
      <c r="AE2" s="15">
        <f t="shared" si="0"/>
        <v>12</v>
      </c>
      <c r="AF2" s="15">
        <f t="shared" si="0"/>
        <v>13</v>
      </c>
      <c r="AG2" s="15">
        <f t="shared" si="0"/>
        <v>14</v>
      </c>
      <c r="AH2" s="15">
        <f t="shared" si="0"/>
        <v>15</v>
      </c>
      <c r="AI2" s="15">
        <f>AH2+1</f>
        <v>16</v>
      </c>
      <c r="AJ2" s="15">
        <f t="shared" si="0"/>
        <v>17</v>
      </c>
      <c r="AK2" s="15">
        <f t="shared" si="0"/>
        <v>18</v>
      </c>
      <c r="AL2" s="15">
        <f t="shared" si="0"/>
        <v>19</v>
      </c>
      <c r="AM2" s="15">
        <f t="shared" si="0"/>
        <v>20</v>
      </c>
      <c r="AN2" s="15">
        <f t="shared" si="0"/>
        <v>21</v>
      </c>
      <c r="AO2" s="15">
        <f t="shared" si="0"/>
        <v>22</v>
      </c>
      <c r="AP2" s="15">
        <f t="shared" si="0"/>
        <v>23</v>
      </c>
      <c r="AQ2" s="15">
        <f t="shared" si="0"/>
        <v>24</v>
      </c>
      <c r="AR2" s="15">
        <f t="shared" si="0"/>
        <v>25</v>
      </c>
      <c r="AS2" s="15">
        <f t="shared" si="0"/>
        <v>26</v>
      </c>
      <c r="AT2" s="15">
        <f t="shared" si="0"/>
        <v>27</v>
      </c>
      <c r="AU2" s="15">
        <f t="shared" si="0"/>
        <v>28</v>
      </c>
      <c r="AV2" s="15">
        <f t="shared" si="0"/>
        <v>29</v>
      </c>
      <c r="AW2" s="15">
        <f t="shared" si="0"/>
        <v>30</v>
      </c>
      <c r="AX2" s="15">
        <f t="shared" si="0"/>
        <v>31</v>
      </c>
      <c r="AY2" s="15">
        <f t="shared" si="0"/>
        <v>32</v>
      </c>
      <c r="AZ2" s="15">
        <f t="shared" si="0"/>
        <v>33</v>
      </c>
      <c r="BA2" s="15">
        <f t="shared" si="0"/>
        <v>34</v>
      </c>
      <c r="BB2" s="15">
        <f t="shared" si="0"/>
        <v>35</v>
      </c>
      <c r="BC2" s="15">
        <f t="shared" si="0"/>
        <v>36</v>
      </c>
      <c r="BD2" s="15">
        <f t="shared" si="0"/>
        <v>37</v>
      </c>
      <c r="BE2" s="15">
        <f t="shared" ref="BE2:BI2" si="1">BD2+1</f>
        <v>38</v>
      </c>
      <c r="BF2" s="15">
        <f t="shared" si="1"/>
        <v>39</v>
      </c>
      <c r="BG2" s="15">
        <f t="shared" si="1"/>
        <v>40</v>
      </c>
      <c r="BH2" s="15">
        <f t="shared" si="1"/>
        <v>41</v>
      </c>
      <c r="BI2" s="15">
        <f t="shared" si="1"/>
        <v>42</v>
      </c>
      <c r="BJ2" s="15">
        <f t="shared" si="0"/>
        <v>43</v>
      </c>
      <c r="BK2" s="15">
        <f t="shared" si="0"/>
        <v>44</v>
      </c>
      <c r="BL2" s="15">
        <f t="shared" si="0"/>
        <v>45</v>
      </c>
      <c r="BM2" s="15">
        <f t="shared" si="0"/>
        <v>46</v>
      </c>
      <c r="BN2" s="15">
        <f t="shared" si="0"/>
        <v>47</v>
      </c>
      <c r="BO2" s="15">
        <f t="shared" si="0"/>
        <v>48</v>
      </c>
      <c r="BP2" s="15">
        <f t="shared" si="0"/>
        <v>49</v>
      </c>
      <c r="BQ2" s="15">
        <f t="shared" si="0"/>
        <v>50</v>
      </c>
      <c r="BR2" s="15">
        <f t="shared" si="0"/>
        <v>51</v>
      </c>
      <c r="BS2">
        <f t="shared" si="0"/>
        <v>52</v>
      </c>
      <c r="BT2">
        <f t="shared" ref="BT2" si="2">BS2+1</f>
        <v>53</v>
      </c>
      <c r="BU2">
        <f t="shared" ref="BU2" si="3">BT2+1</f>
        <v>54</v>
      </c>
      <c r="BV2">
        <f t="shared" ref="BV2" si="4">BU2+1</f>
        <v>55</v>
      </c>
      <c r="BW2">
        <f t="shared" ref="BW2" si="5">BV2+1</f>
        <v>56</v>
      </c>
      <c r="BX2">
        <f t="shared" ref="BX2" si="6">BW2+1</f>
        <v>57</v>
      </c>
      <c r="BY2">
        <f t="shared" ref="BY2" si="7">BX2+1</f>
        <v>58</v>
      </c>
    </row>
    <row r="3" spans="1:107" ht="15" customHeight="1" thickBot="1" x14ac:dyDescent="0.4">
      <c r="A3" s="6" t="s">
        <v>30</v>
      </c>
      <c r="B3" s="7">
        <v>2</v>
      </c>
      <c r="C3" s="525" t="s">
        <v>31</v>
      </c>
      <c r="J3" s="1950"/>
      <c r="K3" s="1146">
        <f t="shared" ref="K3:K49" si="8">K2+1</f>
        <v>2</v>
      </c>
      <c r="L3" s="717" t="s">
        <v>795</v>
      </c>
      <c r="M3" s="1152" t="s">
        <v>649</v>
      </c>
      <c r="N3" s="1569" t="str">
        <f>Семестър</f>
        <v>Септември</v>
      </c>
      <c r="T3" t="s">
        <v>794</v>
      </c>
      <c r="U3" t="s">
        <v>795</v>
      </c>
      <c r="V3" t="s">
        <v>796</v>
      </c>
      <c r="W3" t="s">
        <v>797</v>
      </c>
      <c r="X3" t="s">
        <v>798</v>
      </c>
      <c r="Y3" t="s">
        <v>799</v>
      </c>
      <c r="Z3" t="s">
        <v>800</v>
      </c>
      <c r="AA3" t="s">
        <v>801</v>
      </c>
      <c r="AB3" t="s">
        <v>1138</v>
      </c>
      <c r="AC3" t="s">
        <v>1139</v>
      </c>
      <c r="AD3" t="s">
        <v>1140</v>
      </c>
      <c r="AE3" t="s">
        <v>1116</v>
      </c>
      <c r="AF3" t="s">
        <v>1117</v>
      </c>
      <c r="AG3" t="s">
        <v>1118</v>
      </c>
      <c r="AH3" t="s">
        <v>4565</v>
      </c>
      <c r="AI3" t="s">
        <v>802</v>
      </c>
      <c r="AJ3" t="s">
        <v>803</v>
      </c>
      <c r="AK3" t="s">
        <v>804</v>
      </c>
      <c r="AL3" t="s">
        <v>805</v>
      </c>
      <c r="AM3" t="s">
        <v>806</v>
      </c>
      <c r="AN3" t="s">
        <v>807</v>
      </c>
      <c r="AO3" t="s">
        <v>808</v>
      </c>
      <c r="AP3" t="s">
        <v>809</v>
      </c>
      <c r="AQ3" t="s">
        <v>810</v>
      </c>
      <c r="AR3" t="s">
        <v>811</v>
      </c>
      <c r="AS3" t="s">
        <v>812</v>
      </c>
      <c r="AT3" t="s">
        <v>813</v>
      </c>
      <c r="AU3" t="s">
        <v>814</v>
      </c>
      <c r="AV3" t="s">
        <v>815</v>
      </c>
      <c r="AW3" t="s">
        <v>816</v>
      </c>
      <c r="AX3" t="s">
        <v>817</v>
      </c>
      <c r="AY3" t="s">
        <v>818</v>
      </c>
      <c r="AZ3" t="s">
        <v>819</v>
      </c>
      <c r="BA3" t="s">
        <v>820</v>
      </c>
      <c r="BB3" t="s">
        <v>822</v>
      </c>
      <c r="BC3" t="s">
        <v>823</v>
      </c>
      <c r="BD3" t="s">
        <v>1104</v>
      </c>
      <c r="BE3" t="s">
        <v>1105</v>
      </c>
      <c r="BF3" t="s">
        <v>2801</v>
      </c>
      <c r="BG3" t="s">
        <v>2802</v>
      </c>
      <c r="BH3" t="s">
        <v>1106</v>
      </c>
      <c r="BI3" t="s">
        <v>1107</v>
      </c>
      <c r="BJ3" t="s">
        <v>824</v>
      </c>
      <c r="BK3" t="s">
        <v>825</v>
      </c>
      <c r="BL3" t="s">
        <v>1109</v>
      </c>
      <c r="BM3" t="s">
        <v>1110</v>
      </c>
      <c r="BN3" t="s">
        <v>826</v>
      </c>
      <c r="BO3" t="s">
        <v>827</v>
      </c>
      <c r="BP3" t="s">
        <v>828</v>
      </c>
      <c r="BQ3" t="s">
        <v>829</v>
      </c>
      <c r="BR3" t="s">
        <v>1113</v>
      </c>
      <c r="BS3" t="s">
        <v>1115</v>
      </c>
      <c r="BT3" t="s">
        <v>4559</v>
      </c>
      <c r="BU3" t="s">
        <v>4558</v>
      </c>
      <c r="BV3" t="s">
        <v>4562</v>
      </c>
      <c r="BW3" t="s">
        <v>4563</v>
      </c>
      <c r="BX3" t="s">
        <v>854</v>
      </c>
      <c r="BY3" t="s">
        <v>853</v>
      </c>
      <c r="CB3" s="1941" t="s">
        <v>830</v>
      </c>
      <c r="CC3" s="1942"/>
      <c r="CD3" s="1942"/>
      <c r="CE3" s="1942"/>
      <c r="CF3" s="1942"/>
      <c r="CG3" s="1942"/>
      <c r="CH3" s="1943"/>
      <c r="CI3" s="1947" t="s">
        <v>831</v>
      </c>
      <c r="CJ3" s="1941" t="s">
        <v>832</v>
      </c>
      <c r="CK3" s="1942"/>
      <c r="CL3" s="1942"/>
      <c r="CM3" s="1942"/>
      <c r="CN3" s="1942"/>
      <c r="CO3" s="1943"/>
      <c r="CP3" s="1941" t="s">
        <v>833</v>
      </c>
      <c r="CQ3" s="1942"/>
      <c r="CR3" s="1942"/>
      <c r="CS3" s="1954" t="s">
        <v>834</v>
      </c>
      <c r="CT3" s="1955"/>
      <c r="CU3" s="1955"/>
      <c r="CV3" s="1955"/>
      <c r="CW3" s="1955"/>
      <c r="CX3" s="1955"/>
      <c r="CY3" s="1955"/>
      <c r="CZ3" s="1955"/>
      <c r="DA3" s="1955"/>
      <c r="DB3" s="1955"/>
      <c r="DC3" s="1956"/>
    </row>
    <row r="4" spans="1:107" ht="19.5" customHeight="1" thickBot="1" x14ac:dyDescent="0.35">
      <c r="A4" s="6" t="s">
        <v>49</v>
      </c>
      <c r="B4" s="7">
        <v>3</v>
      </c>
      <c r="C4" s="525" t="s">
        <v>50</v>
      </c>
      <c r="J4" s="1951"/>
      <c r="K4" s="713">
        <f t="shared" si="8"/>
        <v>3</v>
      </c>
      <c r="L4" s="1575" t="s">
        <v>796</v>
      </c>
      <c r="M4" s="1576" t="s">
        <v>649</v>
      </c>
      <c r="N4" s="1577" t="s">
        <v>14139</v>
      </c>
      <c r="T4" t="str">
        <f>T(INDEX(RT_Документация[Данни],MATCH(T$3,RT_Документация[Категория],0)))</f>
        <v>2024/2025</v>
      </c>
      <c r="U4" t="str">
        <f>T(INDEX(RT_Документация[Данни],MATCH(U$3,RT_Документация[Категория],0)))</f>
        <v>Септември</v>
      </c>
      <c r="V4" t="str">
        <f>T(INDEX(RT_Документация[Данни],MATCH(V$3,RT_Документация[Категория],0)))</f>
        <v>2022/2023-Септември–31.08.2025-10:57:56</v>
      </c>
      <c r="W4" t="str">
        <f>T(INDEX(RT_Документация[Данни],MATCH(W$3,RT_Документация[Категория],0)))</f>
        <v>еФормуляр</v>
      </c>
      <c r="X4" t="str">
        <f>T(INDEX(RT_Документация[Данни],MATCH(X$3,RT_Документация[Категория],0)))</f>
        <v/>
      </c>
      <c r="Y4" t="str">
        <f>T(INDEX(RT_Документация[Данни],MATCH(Y$3,RT_Документация[Категория],0)))</f>
        <v/>
      </c>
      <c r="Z4" t="str">
        <f>T(INDEX(RT_Документация[Данни],MATCH(Z$3,RT_Документация[Категория],0)))</f>
        <v/>
      </c>
      <c r="AA4" t="str">
        <f>T(INDEX(RT_Документация[Данни],MATCH(AA$3,RT_Документация[Категория],0)))</f>
        <v/>
      </c>
      <c r="AB4" t="str">
        <f>T(INDEX(RT_Документация[Данни],MATCH(AB$3,RT_Документация[Категория],0)))</f>
        <v/>
      </c>
      <c r="AC4" t="str">
        <f>T(INDEX(RT_Документация[Данни],MATCH(AC$3,RT_Документация[Категория],0)))</f>
        <v/>
      </c>
      <c r="AD4" t="str">
        <f>T(INDEX(RT_Документация[Данни],MATCH(AD$3,RT_Документация[Категория],0)))</f>
        <v/>
      </c>
      <c r="AE4">
        <f>INDEX(RT_Документация[Данни],MATCH(AE$3,RT_Документация[Категория],0))</f>
        <v>0</v>
      </c>
      <c r="AF4">
        <f>INDEX(RT_Документация[Данни],MATCH(AF$3,RT_Документация[Категория],0))</f>
        <v>0</v>
      </c>
      <c r="AG4">
        <f>INDEX(RT_Документация[Данни],MATCH(AG$3,RT_Документация[Категория],0))</f>
        <v>0</v>
      </c>
      <c r="AH4">
        <f>INDEX(RT_Документация[Данни],MATCH(AH$3,RT_Документация[Категория],0))</f>
        <v>0</v>
      </c>
      <c r="AI4">
        <f>INDEX(RT_Документация[Данни],MATCH(AI$3,RT_Документация[Категория],0))</f>
        <v>0</v>
      </c>
      <c r="AJ4">
        <f>INDEX(RT_Документация[Данни],MATCH(AJ$3,RT_Документация[Категория],0))</f>
        <v>0</v>
      </c>
      <c r="AK4">
        <f>INDEX(RT_Документация[Данни],MATCH(AK$3,RT_Документация[Категория],0))</f>
        <v>0</v>
      </c>
      <c r="AL4">
        <f>INDEX(RT_Документация[Данни],MATCH(AL$3,RT_Документация[Категория],0))</f>
        <v>0</v>
      </c>
      <c r="AM4" t="str">
        <f>INDEX(RT_Документация[Данни],MATCH(AM$3,RT_Документация[Категория],0))</f>
        <v/>
      </c>
      <c r="AN4" t="str">
        <f>INDEX(RT_Документация[Данни],MATCH(AN$3,RT_Документация[Категория],0))</f>
        <v/>
      </c>
      <c r="AO4" t="str">
        <f>INDEX(RT_Документация[Данни],MATCH(AO$3,RT_Документация[Категория],0))</f>
        <v/>
      </c>
      <c r="AP4" t="str">
        <f>INDEX(RT_Документация[Данни],MATCH(AP$3,RT_Документация[Категория],0))</f>
        <v/>
      </c>
      <c r="AQ4" t="str">
        <f>INDEX(RT_Документация[Данни],MATCH(AQ$3,RT_Документация[Категория],0))</f>
        <v>Не</v>
      </c>
      <c r="AR4">
        <f>INDEX(RT_Документация[Данни],MATCH(AR$3,RT_Документация[Категория],0))</f>
        <v>0</v>
      </c>
      <c r="AS4">
        <f>INDEX(RT_Документация[Данни],MATCH(AS$3,RT_Документация[Категория],0))</f>
        <v>0</v>
      </c>
      <c r="AT4">
        <f>INDEX(RT_Документация[Данни],MATCH(AT$3,RT_Документация[Категория],0))</f>
        <v>0</v>
      </c>
      <c r="AU4">
        <f>INDEX(RT_Документация[Данни],MATCH(AU$3,RT_Документация[Категория],0))</f>
        <v>0</v>
      </c>
      <c r="AV4">
        <f>INDEX(RT_Документация[Данни],MATCH(AV$3,RT_Документация[Категория],0))</f>
        <v>0</v>
      </c>
      <c r="AW4">
        <f>INDEX(RT_Документация[Данни],MATCH(AW$3,RT_Документация[Категория],0))</f>
        <v>0</v>
      </c>
      <c r="AX4" t="str">
        <f ca="1">INDEX(RT_Документация[Данни],MATCH(AX$3,RT_Документация[Категория],0))</f>
        <v>Бланка-2024-2025-IO-3-SU-Индивидуален отчет.xlsx</v>
      </c>
      <c r="AY4" t="str">
        <f ca="1">INDEX(RT_Документация[Данни],MATCH(AY$3,RT_Документация[Категория],0))</f>
        <v>A:\0_IPO\2024-2025\Септември\Gen\[Бланка-2024-2025-IO-3-SU-Индивидуален отчет.xlsx]1. Отчет</v>
      </c>
      <c r="AZ4">
        <f>INDEX(RT_Документация[Данни],MATCH(AZ$3,RT_Документация[Категория],0))</f>
        <v>0</v>
      </c>
      <c r="BA4">
        <f>INDEX(RT_Документация[Данни],MATCH(BA$3,RT_Документация[Категория],0))</f>
        <v>0</v>
      </c>
      <c r="BB4">
        <f>INDEX(RT_Документация[Данни],MATCH(BB$3,RT_Документация[Категория],0))</f>
        <v>0</v>
      </c>
      <c r="BC4">
        <f>INDEX(RT_Документация[Данни],MATCH(BC$3,RT_Документация[Категория],0))</f>
        <v>0</v>
      </c>
      <c r="BD4">
        <f>INDEX(RT_Документация[Данни],MATCH(BD$3,RT_Документация[Категория],0))</f>
        <v>0</v>
      </c>
      <c r="BE4">
        <f>INDEX(RT_Документация[Данни],MATCH(BE$3,RT_Документация[Категория],0))</f>
        <v>0</v>
      </c>
      <c r="BF4">
        <f>INDEX(RT_Документация[Данни],MATCH(BF$3,RT_Документация[Категория],0))</f>
        <v>0</v>
      </c>
      <c r="BG4">
        <f>INDEX(RT_Документация[Данни],MATCH(BG$3,RT_Документация[Категория],0))</f>
        <v>0</v>
      </c>
      <c r="BH4">
        <f>INDEX(RT_Документация[Данни],MATCH(BH$3,RT_Документация[Категория],0))+RT_Документация_H[[#This Row],[деоОЗ]]+RT_Документация_H[[#This Row],[диууОЗ]]</f>
        <v>0</v>
      </c>
      <c r="BI4">
        <f>INDEX(RT_Документация[Данни],MATCH(BI$3,RT_Документация[Категория],0))+RT_Документация_H[[#This Row],[деоАЗ]]+RT_Документация_H[[#This Row],[диууАЗ]]</f>
        <v>0</v>
      </c>
      <c r="BJ4">
        <f>INDEX(RT_Документация[Данни],MATCH(BJ$3,RT_Документация[Категория],0))</f>
        <v>0</v>
      </c>
      <c r="BK4">
        <f>INDEX(RT_Документация[Данни],MATCH(BK$3,RT_Документация[Категория],0))</f>
        <v>0</v>
      </c>
      <c r="BL4">
        <f>INDEX(RT_Документация[Данни],MATCH(BL$3,RT_Документация[Категория],0))</f>
        <v>0</v>
      </c>
      <c r="BM4">
        <f>INDEX(RT_Документация[Данни],MATCH(BM$3,RT_Документация[Категория],0))</f>
        <v>0</v>
      </c>
      <c r="BN4">
        <f>INDEX(RT_Документация[Данни],MATCH(BN$3,RT_Документация[Категория],0))</f>
        <v>0</v>
      </c>
      <c r="BO4">
        <f>INDEX(RT_Документация[Данни],MATCH(BO$3,RT_Документация[Категория],0))</f>
        <v>0</v>
      </c>
      <c r="BP4">
        <f>INDEX(RT_Документация[Данни],MATCH(BP$3,RT_Документация[Категория],0))</f>
        <v>0</v>
      </c>
      <c r="BQ4">
        <f>INDEX(RT_Документация[Данни],MATCH(BQ$3,RT_Документация[Категория],0))</f>
        <v>0</v>
      </c>
      <c r="BR4">
        <f>INDEX(RT_Документация[Данни],MATCH(BR$3,RT_Документация[Категория],0))</f>
        <v>0</v>
      </c>
      <c r="BS4">
        <f>INDEX(RT_Документация[Данни],MATCH(BS$3,RT_Документация[Категория],0))</f>
        <v>0</v>
      </c>
      <c r="BT4">
        <f>INDEX(RT_Документация[Данни],MATCH(BT$3,RT_Документация[Категория],0))</f>
        <v>0</v>
      </c>
      <c r="BU4">
        <f>INDEX(RT_Документация[Данни],MATCH(BU$3,RT_Документация[Категория],0))</f>
        <v>0</v>
      </c>
      <c r="BV4">
        <f>INDEX(RT_Документация[Данни],MATCH(BV$3,RT_Документация[Категория],0))</f>
        <v>0</v>
      </c>
      <c r="BW4">
        <f>INDEX(RT_Документация[Данни],MATCH(BW$3,RT_Документация[Категория],0))</f>
        <v>0</v>
      </c>
      <c r="BX4">
        <f>INDEX(RT_Документация[Данни],MATCH(BX$3,RT_Документация[Категория],0))</f>
        <v>0</v>
      </c>
      <c r="BY4">
        <f>INDEX(RT_Документация[Данни],MATCH(BY$3,RT_Документация[Категория],0))</f>
        <v>0</v>
      </c>
      <c r="CB4" s="1944"/>
      <c r="CC4" s="1945"/>
      <c r="CD4" s="1945"/>
      <c r="CE4" s="1945"/>
      <c r="CF4" s="1945"/>
      <c r="CG4" s="1945"/>
      <c r="CH4" s="1946"/>
      <c r="CI4" s="1948"/>
      <c r="CJ4" s="1944"/>
      <c r="CK4" s="1945"/>
      <c r="CL4" s="1945"/>
      <c r="CM4" s="1945"/>
      <c r="CN4" s="1945"/>
      <c r="CO4" s="1946"/>
      <c r="CP4" s="1944"/>
      <c r="CQ4" s="1945"/>
      <c r="CR4" s="1945"/>
      <c r="CS4" s="1957" t="s">
        <v>835</v>
      </c>
      <c r="CT4" s="1958"/>
      <c r="CU4" s="1958"/>
      <c r="CV4" s="1958"/>
      <c r="CW4" s="1958"/>
      <c r="CX4" s="1959"/>
      <c r="CY4" s="1960" t="s">
        <v>836</v>
      </c>
      <c r="CZ4" s="1961"/>
      <c r="DA4" s="1961"/>
      <c r="DB4" s="1961"/>
      <c r="DC4" s="1962"/>
    </row>
    <row r="5" spans="1:107" ht="15.75" thickBot="1" x14ac:dyDescent="0.3">
      <c r="A5" s="6" t="s">
        <v>47</v>
      </c>
      <c r="B5" s="7">
        <v>4</v>
      </c>
      <c r="C5" s="525" t="s">
        <v>48</v>
      </c>
      <c r="J5" s="1951"/>
      <c r="K5" s="1561">
        <f t="shared" si="8"/>
        <v>4</v>
      </c>
      <c r="L5" s="1578" t="s">
        <v>797</v>
      </c>
      <c r="M5" s="1579" t="s">
        <v>649</v>
      </c>
      <c r="N5" s="1580" t="s">
        <v>1114</v>
      </c>
      <c r="CB5" t="s">
        <v>573</v>
      </c>
      <c r="CC5" t="s">
        <v>837</v>
      </c>
      <c r="CD5" t="s">
        <v>838</v>
      </c>
      <c r="CE5" t="s">
        <v>839</v>
      </c>
      <c r="CF5" t="s">
        <v>840</v>
      </c>
      <c r="CG5" t="s">
        <v>841</v>
      </c>
      <c r="CH5" t="s">
        <v>842</v>
      </c>
      <c r="CI5" t="s">
        <v>831</v>
      </c>
      <c r="CJ5" t="s">
        <v>18</v>
      </c>
      <c r="CK5" t="s">
        <v>439</v>
      </c>
      <c r="CL5" t="s">
        <v>843</v>
      </c>
      <c r="CM5" t="s">
        <v>844</v>
      </c>
      <c r="CN5" t="s">
        <v>440</v>
      </c>
      <c r="CO5" t="s">
        <v>845</v>
      </c>
      <c r="CP5" t="s">
        <v>846</v>
      </c>
      <c r="CQ5" t="s">
        <v>135</v>
      </c>
      <c r="CR5" t="s">
        <v>847</v>
      </c>
      <c r="CS5" t="s">
        <v>848</v>
      </c>
      <c r="CT5" t="s">
        <v>849</v>
      </c>
      <c r="CU5" t="s">
        <v>850</v>
      </c>
      <c r="CV5" t="s">
        <v>851</v>
      </c>
      <c r="CW5" t="s">
        <v>852</v>
      </c>
      <c r="CX5" t="s">
        <v>683</v>
      </c>
      <c r="CY5" s="614" t="s">
        <v>853</v>
      </c>
      <c r="CZ5" s="614" t="s">
        <v>854</v>
      </c>
      <c r="DA5" s="614" t="s">
        <v>855</v>
      </c>
      <c r="DB5" s="614" t="s">
        <v>856</v>
      </c>
      <c r="DC5" s="614" t="s">
        <v>857</v>
      </c>
    </row>
    <row r="6" spans="1:107" ht="15.75" thickTop="1" x14ac:dyDescent="0.25">
      <c r="A6" s="6" t="s">
        <v>45</v>
      </c>
      <c r="B6" s="7">
        <v>5</v>
      </c>
      <c r="C6" s="525" t="s">
        <v>46</v>
      </c>
      <c r="J6" s="1951"/>
      <c r="K6" s="1182">
        <f t="shared" si="8"/>
        <v>5</v>
      </c>
      <c r="L6" s="1581" t="s">
        <v>798</v>
      </c>
      <c r="M6" s="1582" t="s">
        <v>649</v>
      </c>
      <c r="N6" s="1583"/>
      <c r="CB6" s="1177">
        <f ca="1">N(OFFSET(тИндидОТЧЕТ[[#This Row],[№]],-1,0))+1</f>
        <v>1</v>
      </c>
      <c r="CC6" s="720" t="str">
        <f>T($N$17)</f>
        <v/>
      </c>
      <c r="CD6" s="721" t="str">
        <f>T($N$19)</f>
        <v/>
      </c>
      <c r="CE6" s="722" t="str">
        <f>T($N$6)</f>
        <v/>
      </c>
      <c r="CF6" s="722" t="str">
        <f>T($N$7)</f>
        <v/>
      </c>
      <c r="CG6" s="722" t="str">
        <f>T($N$8)</f>
        <v/>
      </c>
      <c r="CH6" s="723" t="str">
        <f>T($N$9)</f>
        <v/>
      </c>
      <c r="CI6" s="724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6" s="725" t="str">
        <f>T('1. Планд'!$B$6)</f>
        <v/>
      </c>
      <c r="CK6" s="725" t="str">
        <f>T('1. Планд'!$B$8)</f>
        <v/>
      </c>
      <c r="CL6" s="726" t="str">
        <f>T('1. Планд'!$B$13)</f>
        <v/>
      </c>
      <c r="CM6" s="725" t="str">
        <f>IF(T('1. Планд'!$E$18)="Не","",T('1. Планд'!$E$18))</f>
        <v/>
      </c>
      <c r="CN6" s="725" t="str">
        <f>T('1. Планд'!$F$13)</f>
        <v/>
      </c>
      <c r="CO6" s="590" t="str">
        <f>T('1. Планд'!$E$16)</f>
        <v/>
      </c>
      <c r="CP6" s="727" t="str">
        <f t="shared" ref="CP6:CP36" si="9">T(Учебна_година)</f>
        <v>2024/2025</v>
      </c>
      <c r="CQ6" s="728" t="str">
        <f t="shared" ref="CQ6:CQ36" si="10">T(Семестър)</f>
        <v>Септември</v>
      </c>
      <c r="CR6" s="729" t="s">
        <v>854</v>
      </c>
      <c r="CS6" s="730" t="s">
        <v>858</v>
      </c>
      <c r="CT6" s="731">
        <f>N('1. Планд'!H26)</f>
        <v>0</v>
      </c>
      <c r="CU6" s="732">
        <f>N('1. Планд'!I26)</f>
        <v>0</v>
      </c>
      <c r="CV6" s="731">
        <f>N('1. Планд'!J26)</f>
        <v>0</v>
      </c>
      <c r="CW6" s="732">
        <f>N('1. Планд'!K26)</f>
        <v>0</v>
      </c>
      <c r="CX6" s="731">
        <f>N('1. Планд'!L26)</f>
        <v>0</v>
      </c>
      <c r="CY6" s="785">
        <f t="shared" ref="CY6:CY36" si="11">$CT$33</f>
        <v>0</v>
      </c>
      <c r="CZ6" s="786">
        <f t="shared" ref="CZ6:CZ36" si="12">$CT$34</f>
        <v>0</v>
      </c>
      <c r="DA6" s="787">
        <f>SUM(CT35,CV35)</f>
        <v>0</v>
      </c>
      <c r="DB6" s="785">
        <f t="shared" ref="DB6:DB36" si="13">$CX$33</f>
        <v>0</v>
      </c>
      <c r="DC6" s="786">
        <f t="shared" ref="DC6:DC36" si="14">$CX$34</f>
        <v>0</v>
      </c>
    </row>
    <row r="7" spans="1:107" x14ac:dyDescent="0.25">
      <c r="A7" s="6" t="s">
        <v>40</v>
      </c>
      <c r="B7" s="7">
        <v>6</v>
      </c>
      <c r="C7" s="525" t="s">
        <v>626</v>
      </c>
      <c r="J7" s="1951"/>
      <c r="K7" s="714">
        <f t="shared" si="8"/>
        <v>6</v>
      </c>
      <c r="L7" s="1584" t="s">
        <v>799</v>
      </c>
      <c r="M7" s="1585" t="str">
        <f>M6</f>
        <v>Админ.</v>
      </c>
      <c r="N7" s="1586"/>
      <c r="BQ7" s="394"/>
      <c r="BR7" s="394"/>
      <c r="CB7" s="1180">
        <f ca="1">N(OFFSET(тИндидОТЧЕТ[[#This Row],[№]],-1,0))+1</f>
        <v>2</v>
      </c>
      <c r="CC7" s="733" t="str">
        <f t="shared" ref="CC7:CC36" si="15">CC6</f>
        <v/>
      </c>
      <c r="CD7" s="734" t="str">
        <f t="shared" ref="CD7:CD36" si="16">CD6</f>
        <v/>
      </c>
      <c r="CE7" s="735" t="str">
        <f t="shared" ref="CE7:CE36" si="17">CE6</f>
        <v/>
      </c>
      <c r="CF7" s="735" t="str">
        <f t="shared" ref="CF7:CF36" si="18">CF6</f>
        <v/>
      </c>
      <c r="CG7" s="735" t="str">
        <f t="shared" ref="CG7:CG36" si="19">CG6</f>
        <v/>
      </c>
      <c r="CH7" s="736" t="str">
        <f t="shared" ref="CH7:CH36" si="20">CH6</f>
        <v/>
      </c>
      <c r="CI7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7" s="738" t="str">
        <f t="shared" ref="CJ7:CO22" si="21">CJ6</f>
        <v/>
      </c>
      <c r="CK7" s="738" t="str">
        <f t="shared" si="21"/>
        <v/>
      </c>
      <c r="CL7" s="739" t="str">
        <f t="shared" si="21"/>
        <v/>
      </c>
      <c r="CM7" s="738" t="str">
        <f t="shared" si="21"/>
        <v/>
      </c>
      <c r="CN7" s="738" t="str">
        <f t="shared" si="21"/>
        <v/>
      </c>
      <c r="CO7" s="740" t="str">
        <f t="shared" si="21"/>
        <v/>
      </c>
      <c r="CP7" s="741" t="str">
        <f t="shared" si="9"/>
        <v>2024/2025</v>
      </c>
      <c r="CQ7" s="353" t="str">
        <f t="shared" si="10"/>
        <v>Септември</v>
      </c>
      <c r="CR7" s="742" t="s">
        <v>854</v>
      </c>
      <c r="CS7" s="743" t="s">
        <v>859</v>
      </c>
      <c r="CT7" s="744">
        <f>N('1. Планд'!H27)</f>
        <v>0</v>
      </c>
      <c r="CU7" s="745">
        <f>N('1. Планд'!I27)</f>
        <v>0</v>
      </c>
      <c r="CV7" s="744">
        <f>N('1. Планд'!J27)</f>
        <v>0</v>
      </c>
      <c r="CW7" s="745">
        <f>N('1. Планд'!K27)</f>
        <v>0</v>
      </c>
      <c r="CX7" s="744">
        <f>N('1. Планд'!L27)</f>
        <v>0</v>
      </c>
      <c r="CY7" s="788">
        <f t="shared" si="11"/>
        <v>0</v>
      </c>
      <c r="CZ7" s="789">
        <f t="shared" si="12"/>
        <v>0</v>
      </c>
      <c r="DA7" s="790">
        <f t="shared" ref="DA7:DA36" si="22">$DA$6</f>
        <v>0</v>
      </c>
      <c r="DB7" s="788">
        <f t="shared" si="13"/>
        <v>0</v>
      </c>
      <c r="DC7" s="789">
        <f t="shared" si="14"/>
        <v>0</v>
      </c>
    </row>
    <row r="8" spans="1:107" ht="15.75" thickBot="1" x14ac:dyDescent="0.3">
      <c r="A8" s="6" t="s">
        <v>41</v>
      </c>
      <c r="B8" s="7">
        <v>7</v>
      </c>
      <c r="C8" s="525" t="s">
        <v>42</v>
      </c>
      <c r="J8" s="1951"/>
      <c r="K8" s="1561">
        <f t="shared" si="8"/>
        <v>7</v>
      </c>
      <c r="L8" s="1578" t="s">
        <v>800</v>
      </c>
      <c r="M8" s="1579" t="s">
        <v>649</v>
      </c>
      <c r="N8" s="1587"/>
      <c r="CB8" s="1178">
        <f ca="1">N(OFFSET(тИндидОТЧЕТ[[#This Row],[№]],-1,0))+1</f>
        <v>3</v>
      </c>
      <c r="CC8" s="733" t="str">
        <f t="shared" si="15"/>
        <v/>
      </c>
      <c r="CD8" s="734" t="str">
        <f t="shared" si="16"/>
        <v/>
      </c>
      <c r="CE8" s="735" t="str">
        <f t="shared" si="17"/>
        <v/>
      </c>
      <c r="CF8" s="735" t="str">
        <f t="shared" si="18"/>
        <v/>
      </c>
      <c r="CG8" s="735" t="str">
        <f t="shared" si="19"/>
        <v/>
      </c>
      <c r="CH8" s="736" t="str">
        <f t="shared" si="20"/>
        <v/>
      </c>
      <c r="CI8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8" s="738" t="str">
        <f t="shared" si="21"/>
        <v/>
      </c>
      <c r="CK8" s="738" t="str">
        <f t="shared" si="21"/>
        <v/>
      </c>
      <c r="CL8" s="739" t="str">
        <f t="shared" si="21"/>
        <v/>
      </c>
      <c r="CM8" s="738" t="str">
        <f t="shared" si="21"/>
        <v/>
      </c>
      <c r="CN8" s="738" t="str">
        <f t="shared" si="21"/>
        <v/>
      </c>
      <c r="CO8" s="740" t="str">
        <f t="shared" si="21"/>
        <v/>
      </c>
      <c r="CP8" s="741" t="str">
        <f t="shared" si="9"/>
        <v>2024/2025</v>
      </c>
      <c r="CQ8" s="353" t="str">
        <f t="shared" si="10"/>
        <v>Септември</v>
      </c>
      <c r="CR8" s="742" t="s">
        <v>854</v>
      </c>
      <c r="CS8" s="743" t="s">
        <v>860</v>
      </c>
      <c r="CT8" s="744">
        <f>N('1. Планд'!H28)</f>
        <v>0</v>
      </c>
      <c r="CU8" s="745">
        <f>N('1. Планд'!I28)</f>
        <v>0</v>
      </c>
      <c r="CV8" s="744">
        <f>N('1. Планд'!J28)</f>
        <v>0</v>
      </c>
      <c r="CW8" s="745">
        <f>N('1. Планд'!K28)</f>
        <v>0</v>
      </c>
      <c r="CX8" s="744">
        <f>N('1. Планд'!L28)</f>
        <v>0</v>
      </c>
      <c r="CY8" s="788">
        <f t="shared" si="11"/>
        <v>0</v>
      </c>
      <c r="CZ8" s="789">
        <f t="shared" si="12"/>
        <v>0</v>
      </c>
      <c r="DA8" s="790">
        <f t="shared" si="22"/>
        <v>0</v>
      </c>
      <c r="DB8" s="788">
        <f t="shared" si="13"/>
        <v>0</v>
      </c>
      <c r="DC8" s="789">
        <f t="shared" si="14"/>
        <v>0</v>
      </c>
    </row>
    <row r="9" spans="1:107" ht="16.5" thickTop="1" thickBot="1" x14ac:dyDescent="0.3">
      <c r="A9" s="6" t="s">
        <v>27</v>
      </c>
      <c r="B9" s="7">
        <v>8</v>
      </c>
      <c r="C9" s="525" t="s">
        <v>628</v>
      </c>
      <c r="J9" s="1951"/>
      <c r="K9" s="1182">
        <f t="shared" si="8"/>
        <v>8</v>
      </c>
      <c r="L9" s="1581" t="s">
        <v>801</v>
      </c>
      <c r="M9" s="1588" t="s">
        <v>649</v>
      </c>
      <c r="N9" s="1589"/>
      <c r="CB9" s="1178">
        <f ca="1">N(OFFSET(тИндидОТЧЕТ[[#This Row],[№]],-1,0))+1</f>
        <v>4</v>
      </c>
      <c r="CC9" s="733" t="str">
        <f t="shared" si="15"/>
        <v/>
      </c>
      <c r="CD9" s="734" t="str">
        <f t="shared" si="16"/>
        <v/>
      </c>
      <c r="CE9" s="735" t="str">
        <f t="shared" si="17"/>
        <v/>
      </c>
      <c r="CF9" s="735" t="str">
        <f t="shared" si="18"/>
        <v/>
      </c>
      <c r="CG9" s="735" t="str">
        <f t="shared" si="19"/>
        <v/>
      </c>
      <c r="CH9" s="736" t="str">
        <f t="shared" si="20"/>
        <v/>
      </c>
      <c r="CI9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9" s="738" t="str">
        <f t="shared" si="21"/>
        <v/>
      </c>
      <c r="CK9" s="738" t="str">
        <f t="shared" si="21"/>
        <v/>
      </c>
      <c r="CL9" s="739" t="str">
        <f t="shared" si="21"/>
        <v/>
      </c>
      <c r="CM9" s="738" t="str">
        <f t="shared" si="21"/>
        <v/>
      </c>
      <c r="CN9" s="738" t="str">
        <f t="shared" si="21"/>
        <v/>
      </c>
      <c r="CO9" s="740" t="str">
        <f t="shared" si="21"/>
        <v/>
      </c>
      <c r="CP9" s="741" t="str">
        <f t="shared" si="9"/>
        <v>2024/2025</v>
      </c>
      <c r="CQ9" s="353" t="str">
        <f t="shared" si="10"/>
        <v>Септември</v>
      </c>
      <c r="CR9" s="746" t="s">
        <v>854</v>
      </c>
      <c r="CS9" s="747" t="s">
        <v>861</v>
      </c>
      <c r="CT9" s="748">
        <f>N('1. Планд'!H29)</f>
        <v>0</v>
      </c>
      <c r="CU9" s="749">
        <f>N('1. Планд'!I29)</f>
        <v>0</v>
      </c>
      <c r="CV9" s="748">
        <f>N('1. Планд'!J29)</f>
        <v>0</v>
      </c>
      <c r="CW9" s="749">
        <f>N('1. Планд'!K29)</f>
        <v>0</v>
      </c>
      <c r="CX9" s="748">
        <f>N('1. Планд'!L29)</f>
        <v>0</v>
      </c>
      <c r="CY9" s="788">
        <f t="shared" si="11"/>
        <v>0</v>
      </c>
      <c r="CZ9" s="789">
        <f t="shared" si="12"/>
        <v>0</v>
      </c>
      <c r="DA9" s="790">
        <f t="shared" si="22"/>
        <v>0</v>
      </c>
      <c r="DB9" s="788">
        <f t="shared" si="13"/>
        <v>0</v>
      </c>
      <c r="DC9" s="789">
        <f t="shared" si="14"/>
        <v>0</v>
      </c>
    </row>
    <row r="10" spans="1:107" ht="15.75" thickBot="1" x14ac:dyDescent="0.3">
      <c r="A10" s="6" t="s">
        <v>32</v>
      </c>
      <c r="B10" s="7">
        <v>9</v>
      </c>
      <c r="C10" s="525" t="s">
        <v>33</v>
      </c>
      <c r="J10" s="1951"/>
      <c r="K10" s="714">
        <f t="shared" si="8"/>
        <v>9</v>
      </c>
      <c r="L10" s="1590" t="s">
        <v>1138</v>
      </c>
      <c r="M10" s="1591" t="s">
        <v>649</v>
      </c>
      <c r="N10" s="1592"/>
      <c r="CB10" s="1178">
        <f ca="1">N(OFFSET(тИндидОТЧЕТ[[#This Row],[№]],-1,0))+1</f>
        <v>5</v>
      </c>
      <c r="CC10" s="733" t="str">
        <f t="shared" si="15"/>
        <v/>
      </c>
      <c r="CD10" s="734" t="str">
        <f t="shared" si="16"/>
        <v/>
      </c>
      <c r="CE10" s="735" t="str">
        <f t="shared" si="17"/>
        <v/>
      </c>
      <c r="CF10" s="735" t="str">
        <f t="shared" si="18"/>
        <v/>
      </c>
      <c r="CG10" s="735" t="str">
        <f t="shared" si="19"/>
        <v/>
      </c>
      <c r="CH10" s="736" t="str">
        <f t="shared" si="20"/>
        <v/>
      </c>
      <c r="CI10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0" s="738" t="str">
        <f t="shared" si="21"/>
        <v/>
      </c>
      <c r="CK10" s="738" t="str">
        <f t="shared" si="21"/>
        <v/>
      </c>
      <c r="CL10" s="739" t="str">
        <f t="shared" si="21"/>
        <v/>
      </c>
      <c r="CM10" s="738" t="str">
        <f t="shared" si="21"/>
        <v/>
      </c>
      <c r="CN10" s="738" t="str">
        <f t="shared" si="21"/>
        <v/>
      </c>
      <c r="CO10" s="740" t="str">
        <f t="shared" si="21"/>
        <v/>
      </c>
      <c r="CP10" s="741" t="str">
        <f t="shared" si="9"/>
        <v>2024/2025</v>
      </c>
      <c r="CQ10" s="353" t="str">
        <f t="shared" si="10"/>
        <v>Септември</v>
      </c>
      <c r="CR10" s="729" t="s">
        <v>862</v>
      </c>
      <c r="CS10" s="750" t="s">
        <v>863</v>
      </c>
      <c r="CT10" s="731">
        <f>'1. Планд'!H31</f>
        <v>0</v>
      </c>
      <c r="CU10" s="732">
        <f>'1. Планд'!I31</f>
        <v>0</v>
      </c>
      <c r="CV10" s="731">
        <f>'1. Планд'!J31</f>
        <v>0</v>
      </c>
      <c r="CW10" s="732">
        <f>'1. Планд'!K31</f>
        <v>0</v>
      </c>
      <c r="CX10" s="751"/>
      <c r="CY10" s="788">
        <f t="shared" si="11"/>
        <v>0</v>
      </c>
      <c r="CZ10" s="789">
        <f t="shared" si="12"/>
        <v>0</v>
      </c>
      <c r="DA10" s="790">
        <f t="shared" si="22"/>
        <v>0</v>
      </c>
      <c r="DB10" s="788">
        <f t="shared" si="13"/>
        <v>0</v>
      </c>
      <c r="DC10" s="789">
        <f t="shared" si="14"/>
        <v>0</v>
      </c>
    </row>
    <row r="11" spans="1:107" ht="15.75" thickTop="1" x14ac:dyDescent="0.25">
      <c r="A11" s="6" t="s">
        <v>25</v>
      </c>
      <c r="B11" s="7">
        <v>10</v>
      </c>
      <c r="C11" s="525" t="s">
        <v>26</v>
      </c>
      <c r="J11" s="1951"/>
      <c r="K11" s="714">
        <f t="shared" si="8"/>
        <v>10</v>
      </c>
      <c r="L11" s="1590" t="s">
        <v>1139</v>
      </c>
      <c r="M11" s="1591" t="s">
        <v>649</v>
      </c>
      <c r="N11" s="1592"/>
      <c r="CB11" s="1178">
        <f ca="1">N(OFFSET(тИндидОТЧЕТ[[#This Row],[№]],-1,0))+1</f>
        <v>6</v>
      </c>
      <c r="CC11" s="733" t="str">
        <f t="shared" si="15"/>
        <v/>
      </c>
      <c r="CD11" s="734" t="str">
        <f t="shared" si="16"/>
        <v/>
      </c>
      <c r="CE11" s="735" t="str">
        <f t="shared" si="17"/>
        <v/>
      </c>
      <c r="CF11" s="735" t="str">
        <f t="shared" si="18"/>
        <v/>
      </c>
      <c r="CG11" s="735" t="str">
        <f t="shared" si="19"/>
        <v/>
      </c>
      <c r="CH11" s="736" t="str">
        <f t="shared" si="20"/>
        <v/>
      </c>
      <c r="CI11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1" s="738" t="str">
        <f t="shared" si="21"/>
        <v/>
      </c>
      <c r="CK11" s="738" t="str">
        <f t="shared" si="21"/>
        <v/>
      </c>
      <c r="CL11" s="739" t="str">
        <f t="shared" si="21"/>
        <v/>
      </c>
      <c r="CM11" s="738" t="str">
        <f t="shared" si="21"/>
        <v/>
      </c>
      <c r="CN11" s="738" t="str">
        <f t="shared" si="21"/>
        <v/>
      </c>
      <c r="CO11" s="740" t="str">
        <f t="shared" si="21"/>
        <v/>
      </c>
      <c r="CP11" s="741" t="str">
        <f t="shared" si="9"/>
        <v>2024/2025</v>
      </c>
      <c r="CQ11" s="353" t="str">
        <f t="shared" si="10"/>
        <v>Септември</v>
      </c>
      <c r="CR11" s="742" t="s">
        <v>862</v>
      </c>
      <c r="CS11" s="752" t="s">
        <v>864</v>
      </c>
      <c r="CT11" s="753">
        <f>'1. Планд'!H32</f>
        <v>0</v>
      </c>
      <c r="CU11" s="754">
        <f>'1. Планд'!I32</f>
        <v>0</v>
      </c>
      <c r="CV11" s="753">
        <f>'1. Планд'!J32</f>
        <v>0</v>
      </c>
      <c r="CW11" s="754">
        <f>'1. Планд'!K32</f>
        <v>0</v>
      </c>
      <c r="CX11" s="755"/>
      <c r="CY11" s="788">
        <f t="shared" si="11"/>
        <v>0</v>
      </c>
      <c r="CZ11" s="789">
        <f t="shared" si="12"/>
        <v>0</v>
      </c>
      <c r="DA11" s="790">
        <f t="shared" si="22"/>
        <v>0</v>
      </c>
      <c r="DB11" s="788">
        <f t="shared" si="13"/>
        <v>0</v>
      </c>
      <c r="DC11" s="789">
        <f t="shared" si="14"/>
        <v>0</v>
      </c>
    </row>
    <row r="12" spans="1:107" ht="15" customHeight="1" thickBot="1" x14ac:dyDescent="0.3">
      <c r="A12" s="6" t="s">
        <v>295</v>
      </c>
      <c r="B12" s="7">
        <v>11</v>
      </c>
      <c r="C12" s="525" t="s">
        <v>296</v>
      </c>
      <c r="J12" s="1951"/>
      <c r="K12" s="1561">
        <f t="shared" si="8"/>
        <v>11</v>
      </c>
      <c r="L12" s="1593" t="s">
        <v>1140</v>
      </c>
      <c r="M12" s="1594" t="s">
        <v>649</v>
      </c>
      <c r="N12" s="1595"/>
      <c r="CB12" s="1178">
        <f ca="1">N(OFFSET(тИндидОТЧЕТ[[#This Row],[№]],-1,0))+1</f>
        <v>7</v>
      </c>
      <c r="CC12" s="733" t="str">
        <f t="shared" si="15"/>
        <v/>
      </c>
      <c r="CD12" s="734" t="str">
        <f t="shared" si="16"/>
        <v/>
      </c>
      <c r="CE12" s="735" t="str">
        <f t="shared" si="17"/>
        <v/>
      </c>
      <c r="CF12" s="735" t="str">
        <f t="shared" si="18"/>
        <v/>
      </c>
      <c r="CG12" s="735" t="str">
        <f t="shared" si="19"/>
        <v/>
      </c>
      <c r="CH12" s="736" t="str">
        <f t="shared" si="20"/>
        <v/>
      </c>
      <c r="CI12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2" s="738" t="str">
        <f t="shared" si="21"/>
        <v/>
      </c>
      <c r="CK12" s="738" t="str">
        <f t="shared" si="21"/>
        <v/>
      </c>
      <c r="CL12" s="739" t="str">
        <f t="shared" si="21"/>
        <v/>
      </c>
      <c r="CM12" s="738" t="str">
        <f t="shared" si="21"/>
        <v/>
      </c>
      <c r="CN12" s="738" t="str">
        <f t="shared" si="21"/>
        <v/>
      </c>
      <c r="CO12" s="740" t="str">
        <f t="shared" si="21"/>
        <v/>
      </c>
      <c r="CP12" s="741" t="str">
        <f t="shared" si="9"/>
        <v>2024/2025</v>
      </c>
      <c r="CQ12" s="353" t="str">
        <f t="shared" si="10"/>
        <v>Септември</v>
      </c>
      <c r="CR12" s="742" t="s">
        <v>862</v>
      </c>
      <c r="CS12" s="756" t="s">
        <v>865</v>
      </c>
      <c r="CT12" s="757">
        <f>'1. Планд'!H33</f>
        <v>0</v>
      </c>
      <c r="CU12" s="758">
        <f>'1. Планд'!I33</f>
        <v>0</v>
      </c>
      <c r="CV12" s="757">
        <f>'1. Планд'!J33</f>
        <v>0</v>
      </c>
      <c r="CW12" s="758">
        <f>'1. Планд'!K33</f>
        <v>0</v>
      </c>
      <c r="CX12" s="759"/>
      <c r="CY12" s="788">
        <f t="shared" si="11"/>
        <v>0</v>
      </c>
      <c r="CZ12" s="789">
        <f t="shared" si="12"/>
        <v>0</v>
      </c>
      <c r="DA12" s="790">
        <f t="shared" si="22"/>
        <v>0</v>
      </c>
      <c r="DB12" s="788">
        <f t="shared" si="13"/>
        <v>0</v>
      </c>
      <c r="DC12" s="789">
        <f t="shared" si="14"/>
        <v>0</v>
      </c>
    </row>
    <row r="13" spans="1:107" ht="15" customHeight="1" thickTop="1" x14ac:dyDescent="0.25">
      <c r="A13" s="6" t="s">
        <v>38</v>
      </c>
      <c r="B13" s="7">
        <v>12</v>
      </c>
      <c r="C13" s="525" t="s">
        <v>39</v>
      </c>
      <c r="J13" s="1951"/>
      <c r="K13" s="1182">
        <f t="shared" si="8"/>
        <v>12</v>
      </c>
      <c r="L13" s="1596" t="s">
        <v>1116</v>
      </c>
      <c r="M13" s="1597" t="s">
        <v>649</v>
      </c>
      <c r="N13" s="1583"/>
      <c r="CB13" s="1178">
        <f ca="1">N(OFFSET(тИндидОТЧЕТ[[#This Row],[№]],-1,0))+1</f>
        <v>8</v>
      </c>
      <c r="CC13" s="733" t="str">
        <f t="shared" si="15"/>
        <v/>
      </c>
      <c r="CD13" s="734" t="str">
        <f t="shared" si="16"/>
        <v/>
      </c>
      <c r="CE13" s="735" t="str">
        <f t="shared" si="17"/>
        <v/>
      </c>
      <c r="CF13" s="735" t="str">
        <f t="shared" si="18"/>
        <v/>
      </c>
      <c r="CG13" s="735" t="str">
        <f t="shared" si="19"/>
        <v/>
      </c>
      <c r="CH13" s="736" t="str">
        <f t="shared" si="20"/>
        <v/>
      </c>
      <c r="CI13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3" s="738" t="str">
        <f t="shared" si="21"/>
        <v/>
      </c>
      <c r="CK13" s="738" t="str">
        <f t="shared" si="21"/>
        <v/>
      </c>
      <c r="CL13" s="739" t="str">
        <f t="shared" si="21"/>
        <v/>
      </c>
      <c r="CM13" s="738" t="str">
        <f t="shared" si="21"/>
        <v/>
      </c>
      <c r="CN13" s="738" t="str">
        <f t="shared" si="21"/>
        <v/>
      </c>
      <c r="CO13" s="740" t="str">
        <f t="shared" si="21"/>
        <v/>
      </c>
      <c r="CP13" s="741" t="str">
        <f t="shared" si="9"/>
        <v>2024/2025</v>
      </c>
      <c r="CQ13" s="353" t="str">
        <f t="shared" si="10"/>
        <v>Септември</v>
      </c>
      <c r="CR13" s="742" t="s">
        <v>862</v>
      </c>
      <c r="CS13" s="760" t="s">
        <v>866</v>
      </c>
      <c r="CT13" s="744">
        <f>'1. Планд'!H39</f>
        <v>0</v>
      </c>
      <c r="CU13" s="745">
        <f>'1. Планд'!I39</f>
        <v>0</v>
      </c>
      <c r="CV13" s="744">
        <f>'1. Планд'!J39</f>
        <v>0</v>
      </c>
      <c r="CW13" s="745">
        <f>'1. Планд'!K39</f>
        <v>0</v>
      </c>
      <c r="CX13" s="761"/>
      <c r="CY13" s="788">
        <f t="shared" si="11"/>
        <v>0</v>
      </c>
      <c r="CZ13" s="789">
        <f t="shared" si="12"/>
        <v>0</v>
      </c>
      <c r="DA13" s="790">
        <f t="shared" si="22"/>
        <v>0</v>
      </c>
      <c r="DB13" s="788">
        <f t="shared" si="13"/>
        <v>0</v>
      </c>
      <c r="DC13" s="789">
        <f t="shared" si="14"/>
        <v>0</v>
      </c>
    </row>
    <row r="14" spans="1:107" ht="15" customHeight="1" x14ac:dyDescent="0.25">
      <c r="A14" s="6" t="s">
        <v>37</v>
      </c>
      <c r="B14" s="7">
        <v>13</v>
      </c>
      <c r="C14" s="525" t="s">
        <v>647</v>
      </c>
      <c r="J14" s="1951"/>
      <c r="K14" s="714">
        <f t="shared" si="8"/>
        <v>13</v>
      </c>
      <c r="L14" s="1598" t="s">
        <v>1117</v>
      </c>
      <c r="M14" s="1599" t="s">
        <v>649</v>
      </c>
      <c r="N14" s="1586"/>
      <c r="CB14" s="1178">
        <f ca="1">N(OFFSET(тИндидОТЧЕТ[[#This Row],[№]],-1,0))+1</f>
        <v>9</v>
      </c>
      <c r="CC14" s="733" t="str">
        <f t="shared" si="15"/>
        <v/>
      </c>
      <c r="CD14" s="734" t="str">
        <f t="shared" si="16"/>
        <v/>
      </c>
      <c r="CE14" s="735" t="str">
        <f t="shared" si="17"/>
        <v/>
      </c>
      <c r="CF14" s="735" t="str">
        <f t="shared" si="18"/>
        <v/>
      </c>
      <c r="CG14" s="735" t="str">
        <f t="shared" si="19"/>
        <v/>
      </c>
      <c r="CH14" s="736" t="str">
        <f t="shared" si="20"/>
        <v/>
      </c>
      <c r="CI14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4" s="738" t="str">
        <f t="shared" si="21"/>
        <v/>
      </c>
      <c r="CK14" s="738" t="str">
        <f t="shared" si="21"/>
        <v/>
      </c>
      <c r="CL14" s="739" t="str">
        <f t="shared" si="21"/>
        <v/>
      </c>
      <c r="CM14" s="738" t="str">
        <f t="shared" si="21"/>
        <v/>
      </c>
      <c r="CN14" s="738" t="str">
        <f t="shared" si="21"/>
        <v/>
      </c>
      <c r="CO14" s="740" t="str">
        <f t="shared" si="21"/>
        <v/>
      </c>
      <c r="CP14" s="741" t="str">
        <f t="shared" si="9"/>
        <v>2024/2025</v>
      </c>
      <c r="CQ14" s="353" t="str">
        <f t="shared" si="10"/>
        <v>Септември</v>
      </c>
      <c r="CR14" s="742" t="s">
        <v>862</v>
      </c>
      <c r="CS14" s="760" t="s">
        <v>867</v>
      </c>
      <c r="CT14" s="744">
        <f>'1. Планд'!H40</f>
        <v>0</v>
      </c>
      <c r="CU14" s="745">
        <f>'1. Планд'!I40</f>
        <v>0</v>
      </c>
      <c r="CV14" s="744">
        <f>'1. Планд'!J40</f>
        <v>0</v>
      </c>
      <c r="CW14" s="745">
        <f>'1. Планд'!K40</f>
        <v>0</v>
      </c>
      <c r="CX14" s="761"/>
      <c r="CY14" s="788">
        <f t="shared" si="11"/>
        <v>0</v>
      </c>
      <c r="CZ14" s="789">
        <f t="shared" si="12"/>
        <v>0</v>
      </c>
      <c r="DA14" s="790">
        <f t="shared" si="22"/>
        <v>0</v>
      </c>
      <c r="DB14" s="788">
        <f t="shared" si="13"/>
        <v>0</v>
      </c>
      <c r="DC14" s="789">
        <f t="shared" si="14"/>
        <v>0</v>
      </c>
    </row>
    <row r="15" spans="1:107" x14ac:dyDescent="0.25">
      <c r="A15" s="6" t="s">
        <v>34</v>
      </c>
      <c r="B15" s="7">
        <v>14</v>
      </c>
      <c r="C15" s="525" t="s">
        <v>35</v>
      </c>
      <c r="J15" s="1951"/>
      <c r="K15" s="714">
        <f t="shared" si="8"/>
        <v>14</v>
      </c>
      <c r="L15" s="1598" t="s">
        <v>1118</v>
      </c>
      <c r="M15" s="1599" t="s">
        <v>649</v>
      </c>
      <c r="N15" s="1586"/>
      <c r="CB15" s="1178">
        <f ca="1">N(OFFSET(тИндидОТЧЕТ[[#This Row],[№]],-1,0))+1</f>
        <v>10</v>
      </c>
      <c r="CC15" s="733" t="str">
        <f t="shared" si="15"/>
        <v/>
      </c>
      <c r="CD15" s="734" t="str">
        <f t="shared" si="16"/>
        <v/>
      </c>
      <c r="CE15" s="735" t="str">
        <f t="shared" si="17"/>
        <v/>
      </c>
      <c r="CF15" s="735" t="str">
        <f t="shared" si="18"/>
        <v/>
      </c>
      <c r="CG15" s="735" t="str">
        <f t="shared" si="19"/>
        <v/>
      </c>
      <c r="CH15" s="736" t="str">
        <f t="shared" si="20"/>
        <v/>
      </c>
      <c r="CI15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5" s="738" t="str">
        <f t="shared" si="21"/>
        <v/>
      </c>
      <c r="CK15" s="738" t="str">
        <f t="shared" si="21"/>
        <v/>
      </c>
      <c r="CL15" s="739" t="str">
        <f t="shared" si="21"/>
        <v/>
      </c>
      <c r="CM15" s="738" t="str">
        <f t="shared" si="21"/>
        <v/>
      </c>
      <c r="CN15" s="738" t="str">
        <f t="shared" si="21"/>
        <v/>
      </c>
      <c r="CO15" s="740" t="str">
        <f t="shared" si="21"/>
        <v/>
      </c>
      <c r="CP15" s="741" t="str">
        <f t="shared" si="9"/>
        <v>2024/2025</v>
      </c>
      <c r="CQ15" s="353" t="str">
        <f t="shared" si="10"/>
        <v>Септември</v>
      </c>
      <c r="CR15" s="742" t="s">
        <v>862</v>
      </c>
      <c r="CS15" s="760" t="s">
        <v>868</v>
      </c>
      <c r="CT15" s="744">
        <f>'1. Планд'!H41</f>
        <v>0</v>
      </c>
      <c r="CU15" s="745">
        <f>'1. Планд'!I41</f>
        <v>0</v>
      </c>
      <c r="CV15" s="744">
        <f>'1. Планд'!J41</f>
        <v>0</v>
      </c>
      <c r="CW15" s="745">
        <f>'1. Планд'!K41</f>
        <v>0</v>
      </c>
      <c r="CX15" s="761"/>
      <c r="CY15" s="788">
        <f t="shared" si="11"/>
        <v>0</v>
      </c>
      <c r="CZ15" s="789">
        <f t="shared" si="12"/>
        <v>0</v>
      </c>
      <c r="DA15" s="790">
        <f t="shared" si="22"/>
        <v>0</v>
      </c>
      <c r="DB15" s="788">
        <f t="shared" si="13"/>
        <v>0</v>
      </c>
      <c r="DC15" s="789">
        <f t="shared" si="14"/>
        <v>0</v>
      </c>
    </row>
    <row r="16" spans="1:107" ht="15.75" thickBot="1" x14ac:dyDescent="0.3">
      <c r="A16" s="6" t="s">
        <v>28</v>
      </c>
      <c r="B16" s="7">
        <v>15</v>
      </c>
      <c r="C16" s="525" t="s">
        <v>29</v>
      </c>
      <c r="J16" s="1951"/>
      <c r="K16" s="1561">
        <f t="shared" si="8"/>
        <v>15</v>
      </c>
      <c r="L16" s="1600" t="s">
        <v>4565</v>
      </c>
      <c r="M16" s="1601" t="str">
        <f>M15</f>
        <v>Админ.</v>
      </c>
      <c r="N16" s="1602"/>
      <c r="CB16" s="1178">
        <f ca="1">N(OFFSET(тИндидОТЧЕТ[[#This Row],[№]],-1,0))+1</f>
        <v>11</v>
      </c>
      <c r="CC16" s="733" t="str">
        <f t="shared" si="15"/>
        <v/>
      </c>
      <c r="CD16" s="734" t="str">
        <f t="shared" si="16"/>
        <v/>
      </c>
      <c r="CE16" s="735" t="str">
        <f t="shared" si="17"/>
        <v/>
      </c>
      <c r="CF16" s="735" t="str">
        <f t="shared" si="18"/>
        <v/>
      </c>
      <c r="CG16" s="735" t="str">
        <f t="shared" si="19"/>
        <v/>
      </c>
      <c r="CH16" s="736" t="str">
        <f t="shared" si="20"/>
        <v/>
      </c>
      <c r="CI16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6" s="738" t="str">
        <f t="shared" si="21"/>
        <v/>
      </c>
      <c r="CK16" s="738" t="str">
        <f t="shared" si="21"/>
        <v/>
      </c>
      <c r="CL16" s="739" t="str">
        <f t="shared" si="21"/>
        <v/>
      </c>
      <c r="CM16" s="738" t="str">
        <f t="shared" si="21"/>
        <v/>
      </c>
      <c r="CN16" s="738" t="str">
        <f t="shared" si="21"/>
        <v/>
      </c>
      <c r="CO16" s="740" t="str">
        <f t="shared" si="21"/>
        <v/>
      </c>
      <c r="CP16" s="741" t="str">
        <f t="shared" si="9"/>
        <v>2024/2025</v>
      </c>
      <c r="CQ16" s="353" t="str">
        <f t="shared" si="10"/>
        <v>Септември</v>
      </c>
      <c r="CR16" s="742" t="s">
        <v>862</v>
      </c>
      <c r="CS16" s="760" t="s">
        <v>869</v>
      </c>
      <c r="CT16" s="744">
        <f>'1. Планд'!H42</f>
        <v>0</v>
      </c>
      <c r="CU16" s="745">
        <f>'1. Планд'!I42</f>
        <v>0</v>
      </c>
      <c r="CV16" s="744">
        <f>'1. Планд'!J42</f>
        <v>0</v>
      </c>
      <c r="CW16" s="745">
        <f>'1. Планд'!K42</f>
        <v>0</v>
      </c>
      <c r="CX16" s="761"/>
      <c r="CY16" s="788">
        <f t="shared" si="11"/>
        <v>0</v>
      </c>
      <c r="CZ16" s="789">
        <f t="shared" si="12"/>
        <v>0</v>
      </c>
      <c r="DA16" s="790">
        <f t="shared" si="22"/>
        <v>0</v>
      </c>
      <c r="DB16" s="788">
        <f t="shared" si="13"/>
        <v>0</v>
      </c>
      <c r="DC16" s="789">
        <f t="shared" si="14"/>
        <v>0</v>
      </c>
    </row>
    <row r="17" spans="1:107" ht="16.5" thickTop="1" thickBot="1" x14ac:dyDescent="0.3">
      <c r="A17" s="6" t="s">
        <v>43</v>
      </c>
      <c r="B17" s="7">
        <v>16</v>
      </c>
      <c r="C17" s="525" t="s">
        <v>44</v>
      </c>
      <c r="J17" s="1951"/>
      <c r="K17" s="1182">
        <f t="shared" si="8"/>
        <v>16</v>
      </c>
      <c r="L17" s="1581" t="s">
        <v>802</v>
      </c>
      <c r="M17" s="1582" t="s">
        <v>649</v>
      </c>
      <c r="N17" s="1583"/>
      <c r="CB17" s="1178">
        <f ca="1">N(OFFSET(тИндидОТЧЕТ[[#This Row],[№]],-1,0))+1</f>
        <v>12</v>
      </c>
      <c r="CC17" s="733" t="str">
        <f t="shared" si="15"/>
        <v/>
      </c>
      <c r="CD17" s="734" t="str">
        <f t="shared" si="16"/>
        <v/>
      </c>
      <c r="CE17" s="735" t="str">
        <f t="shared" si="17"/>
        <v/>
      </c>
      <c r="CF17" s="735" t="str">
        <f t="shared" si="18"/>
        <v/>
      </c>
      <c r="CG17" s="735" t="str">
        <f t="shared" si="19"/>
        <v/>
      </c>
      <c r="CH17" s="736" t="str">
        <f t="shared" si="20"/>
        <v/>
      </c>
      <c r="CI17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7" s="738" t="str">
        <f t="shared" si="21"/>
        <v/>
      </c>
      <c r="CK17" s="738" t="str">
        <f t="shared" si="21"/>
        <v/>
      </c>
      <c r="CL17" s="739" t="str">
        <f t="shared" si="21"/>
        <v/>
      </c>
      <c r="CM17" s="738" t="str">
        <f t="shared" si="21"/>
        <v/>
      </c>
      <c r="CN17" s="738" t="str">
        <f t="shared" si="21"/>
        <v/>
      </c>
      <c r="CO17" s="740" t="str">
        <f t="shared" si="21"/>
        <v/>
      </c>
      <c r="CP17" s="741" t="str">
        <f t="shared" si="9"/>
        <v>2024/2025</v>
      </c>
      <c r="CQ17" s="353" t="str">
        <f t="shared" si="10"/>
        <v>Септември</v>
      </c>
      <c r="CR17" s="742" t="s">
        <v>862</v>
      </c>
      <c r="CS17" s="762" t="s">
        <v>870</v>
      </c>
      <c r="CT17" s="763">
        <f>'1. Планд'!H43</f>
        <v>0</v>
      </c>
      <c r="CU17" s="764">
        <f>'1. Планд'!I43</f>
        <v>0</v>
      </c>
      <c r="CV17" s="763">
        <f>'1. Планд'!J43</f>
        <v>0</v>
      </c>
      <c r="CW17" s="764">
        <f>'1. Планд'!K43</f>
        <v>0</v>
      </c>
      <c r="CX17" s="765"/>
      <c r="CY17" s="788">
        <f t="shared" si="11"/>
        <v>0</v>
      </c>
      <c r="CZ17" s="789">
        <f t="shared" si="12"/>
        <v>0</v>
      </c>
      <c r="DA17" s="790">
        <f t="shared" si="22"/>
        <v>0</v>
      </c>
      <c r="DB17" s="788">
        <f t="shared" si="13"/>
        <v>0</v>
      </c>
      <c r="DC17" s="789">
        <f t="shared" si="14"/>
        <v>0</v>
      </c>
    </row>
    <row r="18" spans="1:107" ht="15.75" thickTop="1" x14ac:dyDescent="0.25">
      <c r="A18" s="9" t="s">
        <v>741</v>
      </c>
      <c r="B18" s="10">
        <v>17</v>
      </c>
      <c r="C18" s="526" t="s">
        <v>627</v>
      </c>
      <c r="J18" s="1951"/>
      <c r="K18" s="714">
        <f t="shared" si="8"/>
        <v>17</v>
      </c>
      <c r="L18" s="1584" t="s">
        <v>803</v>
      </c>
      <c r="M18" s="1603" t="s">
        <v>649</v>
      </c>
      <c r="N18" s="1586"/>
      <c r="CB18" s="1178">
        <f ca="1">N(OFFSET(тИндидОТЧЕТ[[#This Row],[№]],-1,0))+1</f>
        <v>13</v>
      </c>
      <c r="CC18" s="733" t="str">
        <f t="shared" si="15"/>
        <v/>
      </c>
      <c r="CD18" s="734" t="str">
        <f t="shared" si="16"/>
        <v/>
      </c>
      <c r="CE18" s="735" t="str">
        <f t="shared" si="17"/>
        <v/>
      </c>
      <c r="CF18" s="735" t="str">
        <f t="shared" si="18"/>
        <v/>
      </c>
      <c r="CG18" s="735" t="str">
        <f t="shared" si="19"/>
        <v/>
      </c>
      <c r="CH18" s="736" t="str">
        <f t="shared" si="20"/>
        <v/>
      </c>
      <c r="CI18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8" s="738" t="str">
        <f t="shared" si="21"/>
        <v/>
      </c>
      <c r="CK18" s="738" t="str">
        <f t="shared" si="21"/>
        <v/>
      </c>
      <c r="CL18" s="739" t="str">
        <f t="shared" si="21"/>
        <v/>
      </c>
      <c r="CM18" s="738" t="str">
        <f t="shared" si="21"/>
        <v/>
      </c>
      <c r="CN18" s="738" t="str">
        <f t="shared" si="21"/>
        <v/>
      </c>
      <c r="CO18" s="740" t="str">
        <f t="shared" si="21"/>
        <v/>
      </c>
      <c r="CP18" s="741" t="str">
        <f t="shared" si="9"/>
        <v>2024/2025</v>
      </c>
      <c r="CQ18" s="353" t="str">
        <f t="shared" si="10"/>
        <v>Септември</v>
      </c>
      <c r="CR18" s="742" t="s">
        <v>862</v>
      </c>
      <c r="CS18" s="743" t="s">
        <v>871</v>
      </c>
      <c r="CT18" s="744">
        <f>'1. Планд'!H44</f>
        <v>0</v>
      </c>
      <c r="CU18" s="745">
        <f>'1. Планд'!I44</f>
        <v>0</v>
      </c>
      <c r="CV18" s="744">
        <f>'1. Планд'!J44</f>
        <v>0</v>
      </c>
      <c r="CW18" s="745">
        <f>'1. Планд'!K44</f>
        <v>0</v>
      </c>
      <c r="CX18" s="761"/>
      <c r="CY18" s="788">
        <f t="shared" si="11"/>
        <v>0</v>
      </c>
      <c r="CZ18" s="789">
        <f t="shared" si="12"/>
        <v>0</v>
      </c>
      <c r="DA18" s="790">
        <f t="shared" si="22"/>
        <v>0</v>
      </c>
      <c r="DB18" s="788">
        <f t="shared" si="13"/>
        <v>0</v>
      </c>
      <c r="DC18" s="789">
        <f t="shared" si="14"/>
        <v>0</v>
      </c>
    </row>
    <row r="19" spans="1:107" x14ac:dyDescent="0.25">
      <c r="A19" s="9" t="s">
        <v>51</v>
      </c>
      <c r="B19" s="10">
        <v>18</v>
      </c>
      <c r="C19" s="526" t="s">
        <v>52</v>
      </c>
      <c r="J19" s="1951"/>
      <c r="K19" s="714">
        <f t="shared" si="8"/>
        <v>18</v>
      </c>
      <c r="L19" s="1584" t="s">
        <v>804</v>
      </c>
      <c r="M19" s="1603" t="s">
        <v>649</v>
      </c>
      <c r="N19" s="1586"/>
      <c r="P19" s="353">
        <f>IF(LEN(Q21)&gt;0,1,IF(LEN(R21)&gt;0,2,IF(LEN(S21)&gt;0,3,0)))</f>
        <v>0</v>
      </c>
      <c r="CB19" s="1178">
        <f ca="1">N(OFFSET(тИндидОТЧЕТ[[#This Row],[№]],-1,0))+1</f>
        <v>14</v>
      </c>
      <c r="CC19" s="733" t="str">
        <f t="shared" si="15"/>
        <v/>
      </c>
      <c r="CD19" s="734" t="str">
        <f t="shared" si="16"/>
        <v/>
      </c>
      <c r="CE19" s="735" t="str">
        <f t="shared" si="17"/>
        <v/>
      </c>
      <c r="CF19" s="735" t="str">
        <f t="shared" si="18"/>
        <v/>
      </c>
      <c r="CG19" s="735" t="str">
        <f t="shared" si="19"/>
        <v/>
      </c>
      <c r="CH19" s="736" t="str">
        <f t="shared" si="20"/>
        <v/>
      </c>
      <c r="CI19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19" s="738" t="str">
        <f t="shared" si="21"/>
        <v/>
      </c>
      <c r="CK19" s="738" t="str">
        <f t="shared" si="21"/>
        <v/>
      </c>
      <c r="CL19" s="739" t="str">
        <f t="shared" si="21"/>
        <v/>
      </c>
      <c r="CM19" s="738" t="str">
        <f t="shared" si="21"/>
        <v/>
      </c>
      <c r="CN19" s="738" t="str">
        <f t="shared" si="21"/>
        <v/>
      </c>
      <c r="CO19" s="740" t="str">
        <f t="shared" si="21"/>
        <v/>
      </c>
      <c r="CP19" s="741" t="str">
        <f t="shared" si="9"/>
        <v>2024/2025</v>
      </c>
      <c r="CQ19" s="353" t="str">
        <f t="shared" si="10"/>
        <v>Септември</v>
      </c>
      <c r="CR19" s="742" t="s">
        <v>862</v>
      </c>
      <c r="CS19" s="743" t="s">
        <v>872</v>
      </c>
      <c r="CT19" s="744">
        <f>'1. Планд'!H45</f>
        <v>0</v>
      </c>
      <c r="CU19" s="745">
        <f>'1. Планд'!I45</f>
        <v>0</v>
      </c>
      <c r="CV19" s="744">
        <f>'1. Планд'!J45</f>
        <v>0</v>
      </c>
      <c r="CW19" s="745">
        <f>'1. Планд'!K45</f>
        <v>0</v>
      </c>
      <c r="CX19" s="761"/>
      <c r="CY19" s="788">
        <f t="shared" si="11"/>
        <v>0</v>
      </c>
      <c r="CZ19" s="789">
        <f t="shared" si="12"/>
        <v>0</v>
      </c>
      <c r="DA19" s="790">
        <f t="shared" si="22"/>
        <v>0</v>
      </c>
      <c r="DB19" s="788">
        <f t="shared" si="13"/>
        <v>0</v>
      </c>
      <c r="DC19" s="789">
        <f t="shared" si="14"/>
        <v>0</v>
      </c>
    </row>
    <row r="20" spans="1:107" ht="15.75" thickBot="1" x14ac:dyDescent="0.3">
      <c r="A20" s="9" t="s">
        <v>53</v>
      </c>
      <c r="B20" s="10">
        <v>19</v>
      </c>
      <c r="C20" s="526" t="s">
        <v>54</v>
      </c>
      <c r="J20" s="1952"/>
      <c r="K20" s="715">
        <f t="shared" si="8"/>
        <v>19</v>
      </c>
      <c r="L20" s="1604" t="s">
        <v>805</v>
      </c>
      <c r="M20" s="1605" t="s">
        <v>649</v>
      </c>
      <c r="N20" s="1606"/>
      <c r="P20" t="s">
        <v>4564</v>
      </c>
      <c r="Q20" t="s">
        <v>18</v>
      </c>
      <c r="R20" t="s">
        <v>54</v>
      </c>
      <c r="S20" t="s">
        <v>52</v>
      </c>
      <c r="CB20" s="1178">
        <f ca="1">N(OFFSET(тИндидОТЧЕТ[[#This Row],[№]],-1,0))+1</f>
        <v>15</v>
      </c>
      <c r="CC20" s="733" t="str">
        <f t="shared" si="15"/>
        <v/>
      </c>
      <c r="CD20" s="734" t="str">
        <f t="shared" si="16"/>
        <v/>
      </c>
      <c r="CE20" s="735" t="str">
        <f t="shared" si="17"/>
        <v/>
      </c>
      <c r="CF20" s="735" t="str">
        <f t="shared" si="18"/>
        <v/>
      </c>
      <c r="CG20" s="735" t="str">
        <f t="shared" si="19"/>
        <v/>
      </c>
      <c r="CH20" s="736" t="str">
        <f t="shared" si="20"/>
        <v/>
      </c>
      <c r="CI20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0" s="738" t="str">
        <f t="shared" si="21"/>
        <v/>
      </c>
      <c r="CK20" s="738" t="str">
        <f t="shared" si="21"/>
        <v/>
      </c>
      <c r="CL20" s="739" t="str">
        <f t="shared" si="21"/>
        <v/>
      </c>
      <c r="CM20" s="738" t="str">
        <f t="shared" si="21"/>
        <v/>
      </c>
      <c r="CN20" s="738" t="str">
        <f t="shared" si="21"/>
        <v/>
      </c>
      <c r="CO20" s="740" t="str">
        <f t="shared" si="21"/>
        <v/>
      </c>
      <c r="CP20" s="741" t="str">
        <f t="shared" si="9"/>
        <v>2024/2025</v>
      </c>
      <c r="CQ20" s="353" t="str">
        <f t="shared" si="10"/>
        <v>Септември</v>
      </c>
      <c r="CR20" s="742" t="s">
        <v>862</v>
      </c>
      <c r="CS20" s="766" t="s">
        <v>873</v>
      </c>
      <c r="CT20" s="763">
        <f>'1. Планд'!H46</f>
        <v>0</v>
      </c>
      <c r="CU20" s="764">
        <f>'1. Планд'!I46</f>
        <v>0</v>
      </c>
      <c r="CV20" s="763">
        <f>'1. Планд'!J46</f>
        <v>0</v>
      </c>
      <c r="CW20" s="764">
        <f>'1. Планд'!K46</f>
        <v>0</v>
      </c>
      <c r="CX20" s="765"/>
      <c r="CY20" s="788">
        <f t="shared" si="11"/>
        <v>0</v>
      </c>
      <c r="CZ20" s="789">
        <f t="shared" si="12"/>
        <v>0</v>
      </c>
      <c r="DA20" s="790">
        <f t="shared" si="22"/>
        <v>0</v>
      </c>
      <c r="DB20" s="788">
        <f t="shared" si="13"/>
        <v>0</v>
      </c>
      <c r="DC20" s="789">
        <f t="shared" si="14"/>
        <v>0</v>
      </c>
    </row>
    <row r="21" spans="1:107" ht="15" customHeight="1" x14ac:dyDescent="0.25">
      <c r="A21" s="9" t="s">
        <v>55</v>
      </c>
      <c r="B21" s="10">
        <v>20</v>
      </c>
      <c r="C21" s="526" t="s">
        <v>56</v>
      </c>
      <c r="J21" s="1949" t="s">
        <v>511</v>
      </c>
      <c r="K21" s="713">
        <f t="shared" si="8"/>
        <v>20</v>
      </c>
      <c r="L21" s="1607" t="s">
        <v>806</v>
      </c>
      <c r="M21" s="1608" t="s">
        <v>624</v>
      </c>
      <c r="N21" s="1609" t="str">
        <f>ФакДео_Диуу[[#This Row],[Value]]</f>
        <v/>
      </c>
      <c r="P21" t="str" cm="1">
        <f t="array" ref="P21">IF($P$19,INDEX(ФакДео_Диуу[[#This Row],[Факултет]:[ДИУУ]],1,$P$19),"")</f>
        <v/>
      </c>
      <c r="Q21" t="str">
        <f>T(nПреподавателОтчет)</f>
        <v/>
      </c>
      <c r="R21" t="str">
        <f>T(деоПреподавател)</f>
        <v/>
      </c>
      <c r="S21" t="str">
        <f>T(диууПреподавател)</f>
        <v/>
      </c>
      <c r="CB21" s="1178">
        <f ca="1">N(OFFSET(тИндидОТЧЕТ[[#This Row],[№]],-1,0))+1</f>
        <v>16</v>
      </c>
      <c r="CC21" s="733" t="str">
        <f t="shared" si="15"/>
        <v/>
      </c>
      <c r="CD21" s="734" t="str">
        <f t="shared" si="16"/>
        <v/>
      </c>
      <c r="CE21" s="735" t="str">
        <f t="shared" si="17"/>
        <v/>
      </c>
      <c r="CF21" s="735" t="str">
        <f t="shared" si="18"/>
        <v/>
      </c>
      <c r="CG21" s="735" t="str">
        <f t="shared" si="19"/>
        <v/>
      </c>
      <c r="CH21" s="736" t="str">
        <f t="shared" si="20"/>
        <v/>
      </c>
      <c r="CI21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1" s="738" t="str">
        <f t="shared" si="21"/>
        <v/>
      </c>
      <c r="CK21" s="738" t="str">
        <f t="shared" si="21"/>
        <v/>
      </c>
      <c r="CL21" s="739" t="str">
        <f t="shared" si="21"/>
        <v/>
      </c>
      <c r="CM21" s="738" t="str">
        <f t="shared" si="21"/>
        <v/>
      </c>
      <c r="CN21" s="738" t="str">
        <f t="shared" si="21"/>
        <v/>
      </c>
      <c r="CO21" s="740" t="str">
        <f t="shared" si="21"/>
        <v/>
      </c>
      <c r="CP21" s="741" t="str">
        <f t="shared" si="9"/>
        <v>2024/2025</v>
      </c>
      <c r="CQ21" s="353" t="str">
        <f t="shared" si="10"/>
        <v>Септември</v>
      </c>
      <c r="CR21" s="742" t="s">
        <v>862</v>
      </c>
      <c r="CS21" s="743" t="s">
        <v>874</v>
      </c>
      <c r="CT21" s="744">
        <f>'1. Планд'!H47</f>
        <v>0</v>
      </c>
      <c r="CU21" s="745">
        <f>'1. Планд'!I47</f>
        <v>0</v>
      </c>
      <c r="CV21" s="744">
        <f>'1. Планд'!J47</f>
        <v>0</v>
      </c>
      <c r="CW21" s="745">
        <f>'1. Планд'!K47</f>
        <v>0</v>
      </c>
      <c r="CX21" s="761"/>
      <c r="CY21" s="788">
        <f t="shared" si="11"/>
        <v>0</v>
      </c>
      <c r="CZ21" s="789">
        <f t="shared" si="12"/>
        <v>0</v>
      </c>
      <c r="DA21" s="790">
        <f t="shared" si="22"/>
        <v>0</v>
      </c>
      <c r="DB21" s="788">
        <f t="shared" si="13"/>
        <v>0</v>
      </c>
      <c r="DC21" s="789">
        <f t="shared" si="14"/>
        <v>0</v>
      </c>
    </row>
    <row r="22" spans="1:107" x14ac:dyDescent="0.25">
      <c r="B22" s="15"/>
      <c r="J22" s="1950"/>
      <c r="K22" s="714">
        <f t="shared" si="8"/>
        <v>21</v>
      </c>
      <c r="L22" s="1610" t="s">
        <v>807</v>
      </c>
      <c r="M22" s="1611" t="str">
        <f t="shared" ref="M22:M31" si="23">M21</f>
        <v>Препод.</v>
      </c>
      <c r="N22" s="1612" t="str">
        <f>ФакДео_Диуу[[#This Row],[Value]]</f>
        <v/>
      </c>
      <c r="P22" t="str" cm="1">
        <f t="array" ref="P22">IF($P$19,INDEX(ФакДео_Диуу[[#This Row],[Факултет]:[ДИУУ]],1,$P$19),"")</f>
        <v/>
      </c>
      <c r="Q22" t="str">
        <f>T(nФакултетОтчет)</f>
        <v/>
      </c>
      <c r="R22" t="str">
        <f>T(нДЕО)</f>
        <v>ДЕПАРТАМЕНТ ЗА ЕЗИКОВО ОБУЧЕНИЕ И ПРОДЪЛЖАВАЩА КВАЛИФИКАЦИЯ</v>
      </c>
      <c r="S22" t="str">
        <f>T(нДИУУ)</f>
        <v>ДЕПАРТАМЕНТ ЗА ИНФОРМАЦИЯ И УСЪВЪРШЕНСТВАНЕ НА УЧИТЕЛИ</v>
      </c>
      <c r="CB22" s="1178">
        <f ca="1">N(OFFSET(тИндидОТЧЕТ[[#This Row],[№]],-1,0))+1</f>
        <v>17</v>
      </c>
      <c r="CC22" s="733" t="str">
        <f t="shared" si="15"/>
        <v/>
      </c>
      <c r="CD22" s="734" t="str">
        <f t="shared" si="16"/>
        <v/>
      </c>
      <c r="CE22" s="735" t="str">
        <f t="shared" si="17"/>
        <v/>
      </c>
      <c r="CF22" s="735" t="str">
        <f t="shared" si="18"/>
        <v/>
      </c>
      <c r="CG22" s="735" t="str">
        <f t="shared" si="19"/>
        <v/>
      </c>
      <c r="CH22" s="736" t="str">
        <f t="shared" si="20"/>
        <v/>
      </c>
      <c r="CI22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2" s="738" t="str">
        <f t="shared" si="21"/>
        <v/>
      </c>
      <c r="CK22" s="738" t="str">
        <f t="shared" si="21"/>
        <v/>
      </c>
      <c r="CL22" s="739" t="str">
        <f t="shared" si="21"/>
        <v/>
      </c>
      <c r="CM22" s="738" t="str">
        <f t="shared" si="21"/>
        <v/>
      </c>
      <c r="CN22" s="738" t="str">
        <f t="shared" si="21"/>
        <v/>
      </c>
      <c r="CO22" s="740" t="str">
        <f t="shared" si="21"/>
        <v/>
      </c>
      <c r="CP22" s="741" t="str">
        <f t="shared" si="9"/>
        <v>2024/2025</v>
      </c>
      <c r="CQ22" s="353" t="str">
        <f t="shared" si="10"/>
        <v>Септември</v>
      </c>
      <c r="CR22" s="742" t="s">
        <v>862</v>
      </c>
      <c r="CS22" s="743" t="s">
        <v>875</v>
      </c>
      <c r="CT22" s="744">
        <f>'1. Планд'!H48</f>
        <v>0</v>
      </c>
      <c r="CU22" s="745">
        <f>'1. Планд'!I48</f>
        <v>0</v>
      </c>
      <c r="CV22" s="744">
        <f>'1. Планд'!J48</f>
        <v>0</v>
      </c>
      <c r="CW22" s="745">
        <f>'1. Планд'!K48</f>
        <v>0</v>
      </c>
      <c r="CX22" s="761"/>
      <c r="CY22" s="788">
        <f t="shared" si="11"/>
        <v>0</v>
      </c>
      <c r="CZ22" s="789">
        <f t="shared" si="12"/>
        <v>0</v>
      </c>
      <c r="DA22" s="790">
        <f t="shared" si="22"/>
        <v>0</v>
      </c>
      <c r="DB22" s="788">
        <f t="shared" si="13"/>
        <v>0</v>
      </c>
      <c r="DC22" s="789">
        <f t="shared" si="14"/>
        <v>0</v>
      </c>
    </row>
    <row r="23" spans="1:107" ht="15" customHeight="1" thickBot="1" x14ac:dyDescent="0.3">
      <c r="A23" s="19" t="s">
        <v>66</v>
      </c>
      <c r="B23" s="15"/>
      <c r="J23" s="1950"/>
      <c r="K23" s="1561">
        <f t="shared" si="8"/>
        <v>22</v>
      </c>
      <c r="L23" s="1613" t="s">
        <v>808</v>
      </c>
      <c r="M23" s="1614" t="str">
        <f t="shared" si="23"/>
        <v>Препод.</v>
      </c>
      <c r="N23" s="1615" t="str">
        <f>ФакДео_Диуу[[#This Row],[Value]]</f>
        <v/>
      </c>
      <c r="P23" t="str" cm="1">
        <f t="array" ref="P23">IF($P$19,INDEX(ФакДео_Диуу[[#This Row],[Факултет]:[ДИУУ]],1,$P$19),"")</f>
        <v/>
      </c>
      <c r="Q23" t="str">
        <f>T(nКатедраОтчет)</f>
        <v/>
      </c>
      <c r="R23" t="str">
        <f>T(деоКатедра)</f>
        <v/>
      </c>
      <c r="S23" t="str">
        <f>T(диууКатедра)</f>
        <v/>
      </c>
      <c r="CB23" s="1178">
        <f ca="1">N(OFFSET(тИндидОТЧЕТ[[#This Row],[№]],-1,0))+1</f>
        <v>18</v>
      </c>
      <c r="CC23" s="733" t="str">
        <f t="shared" si="15"/>
        <v/>
      </c>
      <c r="CD23" s="734" t="str">
        <f t="shared" si="16"/>
        <v/>
      </c>
      <c r="CE23" s="735" t="str">
        <f t="shared" si="17"/>
        <v/>
      </c>
      <c r="CF23" s="735" t="str">
        <f t="shared" si="18"/>
        <v/>
      </c>
      <c r="CG23" s="735" t="str">
        <f t="shared" si="19"/>
        <v/>
      </c>
      <c r="CH23" s="736" t="str">
        <f t="shared" si="20"/>
        <v/>
      </c>
      <c r="CI23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3" s="738" t="str">
        <f t="shared" ref="CJ23:CO36" si="24">CJ22</f>
        <v/>
      </c>
      <c r="CK23" s="738" t="str">
        <f t="shared" si="24"/>
        <v/>
      </c>
      <c r="CL23" s="739" t="str">
        <f t="shared" si="24"/>
        <v/>
      </c>
      <c r="CM23" s="738" t="str">
        <f t="shared" si="24"/>
        <v/>
      </c>
      <c r="CN23" s="738" t="str">
        <f t="shared" si="24"/>
        <v/>
      </c>
      <c r="CO23" s="740" t="str">
        <f t="shared" si="24"/>
        <v/>
      </c>
      <c r="CP23" s="741" t="str">
        <f t="shared" si="9"/>
        <v>2024/2025</v>
      </c>
      <c r="CQ23" s="353" t="str">
        <f t="shared" si="10"/>
        <v>Септември</v>
      </c>
      <c r="CR23" s="742" t="s">
        <v>862</v>
      </c>
      <c r="CS23" s="766" t="s">
        <v>876</v>
      </c>
      <c r="CT23" s="763">
        <f>'1. Планд'!H49</f>
        <v>0</v>
      </c>
      <c r="CU23" s="764">
        <f>'1. Планд'!I49</f>
        <v>0</v>
      </c>
      <c r="CV23" s="763">
        <f>'1. Планд'!J49</f>
        <v>0</v>
      </c>
      <c r="CW23" s="764">
        <f>'1. Планд'!K49</f>
        <v>0</v>
      </c>
      <c r="CX23" s="765"/>
      <c r="CY23" s="788">
        <f t="shared" si="11"/>
        <v>0</v>
      </c>
      <c r="CZ23" s="789">
        <f t="shared" si="12"/>
        <v>0</v>
      </c>
      <c r="DA23" s="790">
        <f t="shared" si="22"/>
        <v>0</v>
      </c>
      <c r="DB23" s="788">
        <f t="shared" si="13"/>
        <v>0</v>
      </c>
      <c r="DC23" s="789">
        <f t="shared" si="14"/>
        <v>0</v>
      </c>
    </row>
    <row r="24" spans="1:107" ht="15" customHeight="1" thickTop="1" x14ac:dyDescent="0.25">
      <c r="A24" s="12" t="s">
        <v>140</v>
      </c>
      <c r="C24" s="15">
        <f>COUNTIF(A11,"*математика*")</f>
        <v>1</v>
      </c>
      <c r="J24" s="1950"/>
      <c r="K24" s="1182">
        <f t="shared" si="8"/>
        <v>23</v>
      </c>
      <c r="L24" s="1616" t="s">
        <v>809</v>
      </c>
      <c r="M24" s="1617" t="str">
        <f t="shared" si="23"/>
        <v>Препод.</v>
      </c>
      <c r="N24" s="1618" t="str">
        <f>IFERROR(ФакДео_Диуу[[#This Row],[Value]],"")</f>
        <v/>
      </c>
      <c r="P24" t="str" cm="1">
        <f t="array" ref="P24">IF($P$19,INDEX(ФакДео_Диуу[[#This Row],[Факултет]:[ДИУУ]],1,$P$19),"")</f>
        <v/>
      </c>
      <c r="Q24" t="str">
        <f>T(nАдадДлъжОтчет)</f>
        <v/>
      </c>
      <c r="R24" t="str">
        <f>T(деоДлъжност)</f>
        <v/>
      </c>
      <c r="S24" t="str">
        <f>T(диууДлъжност)</f>
        <v/>
      </c>
      <c r="CB24" s="1178">
        <f ca="1">N(OFFSET(тИндидОТЧЕТ[[#This Row],[№]],-1,0))+1</f>
        <v>19</v>
      </c>
      <c r="CC24" s="733" t="str">
        <f t="shared" si="15"/>
        <v/>
      </c>
      <c r="CD24" s="734" t="str">
        <f t="shared" si="16"/>
        <v/>
      </c>
      <c r="CE24" s="735" t="str">
        <f t="shared" si="17"/>
        <v/>
      </c>
      <c r="CF24" s="735" t="str">
        <f t="shared" si="18"/>
        <v/>
      </c>
      <c r="CG24" s="735" t="str">
        <f t="shared" si="19"/>
        <v/>
      </c>
      <c r="CH24" s="736" t="str">
        <f t="shared" si="20"/>
        <v/>
      </c>
      <c r="CI24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4" s="738" t="str">
        <f t="shared" si="24"/>
        <v/>
      </c>
      <c r="CK24" s="738" t="str">
        <f t="shared" si="24"/>
        <v/>
      </c>
      <c r="CL24" s="739" t="str">
        <f t="shared" si="24"/>
        <v/>
      </c>
      <c r="CM24" s="738" t="str">
        <f t="shared" si="24"/>
        <v/>
      </c>
      <c r="CN24" s="738" t="str">
        <f t="shared" si="24"/>
        <v/>
      </c>
      <c r="CO24" s="740" t="str">
        <f t="shared" si="24"/>
        <v/>
      </c>
      <c r="CP24" s="741" t="str">
        <f t="shared" si="9"/>
        <v>2024/2025</v>
      </c>
      <c r="CQ24" s="353" t="str">
        <f t="shared" si="10"/>
        <v>Септември</v>
      </c>
      <c r="CR24" s="742" t="s">
        <v>862</v>
      </c>
      <c r="CS24" s="743" t="s">
        <v>877</v>
      </c>
      <c r="CT24" s="744">
        <f>'1. Планд'!H50</f>
        <v>0</v>
      </c>
      <c r="CU24" s="745">
        <f>'1. Планд'!I50</f>
        <v>0</v>
      </c>
      <c r="CV24" s="744">
        <f>'1. Планд'!J50</f>
        <v>0</v>
      </c>
      <c r="CW24" s="745">
        <f>'1. Планд'!K50</f>
        <v>0</v>
      </c>
      <c r="CX24" s="761"/>
      <c r="CY24" s="788">
        <f t="shared" si="11"/>
        <v>0</v>
      </c>
      <c r="CZ24" s="789">
        <f t="shared" si="12"/>
        <v>0</v>
      </c>
      <c r="DA24" s="790">
        <f t="shared" si="22"/>
        <v>0</v>
      </c>
      <c r="DB24" s="788">
        <f t="shared" si="13"/>
        <v>0</v>
      </c>
      <c r="DC24" s="789">
        <f t="shared" si="14"/>
        <v>0</v>
      </c>
    </row>
    <row r="25" spans="1:107" x14ac:dyDescent="0.25">
      <c r="A25" s="12" t="s">
        <v>2788</v>
      </c>
      <c r="J25" s="1950"/>
      <c r="K25" s="1146">
        <f t="shared" si="8"/>
        <v>24</v>
      </c>
      <c r="L25" s="1610" t="s">
        <v>810</v>
      </c>
      <c r="M25" s="1611" t="str">
        <f t="shared" si="23"/>
        <v>Препод.</v>
      </c>
      <c r="N25" s="1619" t="str">
        <f>nРъковДлъжОтчет</f>
        <v>Не</v>
      </c>
      <c r="CB25" s="1178">
        <f ca="1">N(OFFSET(тИндидОТЧЕТ[[#This Row],[№]],-1,0))+1</f>
        <v>20</v>
      </c>
      <c r="CC25" s="733" t="str">
        <f t="shared" si="15"/>
        <v/>
      </c>
      <c r="CD25" s="734" t="str">
        <f t="shared" si="16"/>
        <v/>
      </c>
      <c r="CE25" s="735" t="str">
        <f t="shared" si="17"/>
        <v/>
      </c>
      <c r="CF25" s="735" t="str">
        <f t="shared" si="18"/>
        <v/>
      </c>
      <c r="CG25" s="735" t="str">
        <f t="shared" si="19"/>
        <v/>
      </c>
      <c r="CH25" s="736" t="str">
        <f t="shared" si="20"/>
        <v/>
      </c>
      <c r="CI25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5" s="738" t="str">
        <f t="shared" si="24"/>
        <v/>
      </c>
      <c r="CK25" s="738" t="str">
        <f t="shared" si="24"/>
        <v/>
      </c>
      <c r="CL25" s="739" t="str">
        <f t="shared" si="24"/>
        <v/>
      </c>
      <c r="CM25" s="738" t="str">
        <f t="shared" si="24"/>
        <v/>
      </c>
      <c r="CN25" s="738" t="str">
        <f t="shared" si="24"/>
        <v/>
      </c>
      <c r="CO25" s="740" t="str">
        <f t="shared" si="24"/>
        <v/>
      </c>
      <c r="CP25" s="741" t="str">
        <f t="shared" si="9"/>
        <v>2024/2025</v>
      </c>
      <c r="CQ25" s="353" t="str">
        <f t="shared" si="10"/>
        <v>Септември</v>
      </c>
      <c r="CR25" s="742" t="s">
        <v>862</v>
      </c>
      <c r="CS25" s="743" t="s">
        <v>878</v>
      </c>
      <c r="CT25" s="744">
        <f>'1. Планд'!H51</f>
        <v>0</v>
      </c>
      <c r="CU25" s="745">
        <f>'1. Планд'!I51</f>
        <v>0</v>
      </c>
      <c r="CV25" s="744">
        <f>'1. Планд'!J51</f>
        <v>0</v>
      </c>
      <c r="CW25" s="745">
        <f>'1. Планд'!K51</f>
        <v>0</v>
      </c>
      <c r="CX25" s="761"/>
      <c r="CY25" s="788">
        <f t="shared" si="11"/>
        <v>0</v>
      </c>
      <c r="CZ25" s="789">
        <f t="shared" si="12"/>
        <v>0</v>
      </c>
      <c r="DA25" s="790">
        <f t="shared" si="22"/>
        <v>0</v>
      </c>
      <c r="DB25" s="788">
        <f t="shared" si="13"/>
        <v>0</v>
      </c>
      <c r="DC25" s="789">
        <f t="shared" si="14"/>
        <v>0</v>
      </c>
    </row>
    <row r="26" spans="1:107" ht="15.75" thickBot="1" x14ac:dyDescent="0.3">
      <c r="A26" s="12" t="s">
        <v>31</v>
      </c>
      <c r="J26" s="1950"/>
      <c r="K26" s="1561">
        <f t="shared" si="8"/>
        <v>25</v>
      </c>
      <c r="L26" s="1620" t="s">
        <v>811</v>
      </c>
      <c r="M26" s="1614" t="str">
        <f t="shared" si="23"/>
        <v>Препод.</v>
      </c>
      <c r="N26" s="1621">
        <f>'1. Отчет'!E17</f>
        <v>0</v>
      </c>
      <c r="CB26" s="1178">
        <f ca="1">N(OFFSET(тИндидОТЧЕТ[[#This Row],[№]],-1,0))+1</f>
        <v>21</v>
      </c>
      <c r="CC26" s="733" t="str">
        <f t="shared" si="15"/>
        <v/>
      </c>
      <c r="CD26" s="734" t="str">
        <f t="shared" si="16"/>
        <v/>
      </c>
      <c r="CE26" s="735" t="str">
        <f t="shared" si="17"/>
        <v/>
      </c>
      <c r="CF26" s="735" t="str">
        <f t="shared" si="18"/>
        <v/>
      </c>
      <c r="CG26" s="735" t="str">
        <f t="shared" si="19"/>
        <v/>
      </c>
      <c r="CH26" s="736" t="str">
        <f t="shared" si="20"/>
        <v/>
      </c>
      <c r="CI26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6" s="738" t="str">
        <f t="shared" si="24"/>
        <v/>
      </c>
      <c r="CK26" s="738" t="str">
        <f t="shared" si="24"/>
        <v/>
      </c>
      <c r="CL26" s="739" t="str">
        <f t="shared" si="24"/>
        <v/>
      </c>
      <c r="CM26" s="738" t="str">
        <f t="shared" si="24"/>
        <v/>
      </c>
      <c r="CN26" s="738" t="str">
        <f t="shared" si="24"/>
        <v/>
      </c>
      <c r="CO26" s="740" t="str">
        <f t="shared" si="24"/>
        <v/>
      </c>
      <c r="CP26" s="741" t="str">
        <f t="shared" si="9"/>
        <v>2024/2025</v>
      </c>
      <c r="CQ26" s="353" t="str">
        <f t="shared" si="10"/>
        <v>Септември</v>
      </c>
      <c r="CR26" s="742" t="s">
        <v>862</v>
      </c>
      <c r="CS26" s="766" t="s">
        <v>879</v>
      </c>
      <c r="CT26" s="763">
        <f>'1. Планд'!H52</f>
        <v>0</v>
      </c>
      <c r="CU26" s="764">
        <f>'1. Планд'!I52</f>
        <v>0</v>
      </c>
      <c r="CV26" s="763">
        <f>'1. Планд'!J52</f>
        <v>0</v>
      </c>
      <c r="CW26" s="764">
        <f>'1. Планд'!K52</f>
        <v>0</v>
      </c>
      <c r="CX26" s="767"/>
      <c r="CY26" s="788">
        <f t="shared" si="11"/>
        <v>0</v>
      </c>
      <c r="CZ26" s="789">
        <f t="shared" si="12"/>
        <v>0</v>
      </c>
      <c r="DA26" s="790">
        <f t="shared" si="22"/>
        <v>0</v>
      </c>
      <c r="DB26" s="788">
        <f t="shared" si="13"/>
        <v>0</v>
      </c>
      <c r="DC26" s="789">
        <f t="shared" si="14"/>
        <v>0</v>
      </c>
    </row>
    <row r="27" spans="1:107" ht="15.75" thickTop="1" x14ac:dyDescent="0.25">
      <c r="A27" s="12" t="s">
        <v>50</v>
      </c>
      <c r="J27" s="1950"/>
      <c r="K27" s="1182">
        <f t="shared" si="8"/>
        <v>26</v>
      </c>
      <c r="L27" s="1616" t="s">
        <v>812</v>
      </c>
      <c r="M27" s="1617" t="str">
        <f>M23</f>
        <v>Препод.</v>
      </c>
      <c r="N27" s="1622">
        <f>(Лекторат)*1</f>
        <v>0</v>
      </c>
      <c r="CB27" s="1178">
        <f ca="1">N(OFFSET(тИндидОТЧЕТ[[#This Row],[№]],-1,0))+1</f>
        <v>22</v>
      </c>
      <c r="CC27" s="733" t="str">
        <f t="shared" si="15"/>
        <v/>
      </c>
      <c r="CD27" s="734" t="str">
        <f t="shared" si="16"/>
        <v/>
      </c>
      <c r="CE27" s="735" t="str">
        <f t="shared" si="17"/>
        <v/>
      </c>
      <c r="CF27" s="735" t="str">
        <f t="shared" si="18"/>
        <v/>
      </c>
      <c r="CG27" s="735" t="str">
        <f t="shared" si="19"/>
        <v/>
      </c>
      <c r="CH27" s="736" t="str">
        <f t="shared" si="20"/>
        <v/>
      </c>
      <c r="CI27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7" s="738" t="str">
        <f t="shared" si="24"/>
        <v/>
      </c>
      <c r="CK27" s="738" t="str">
        <f t="shared" si="24"/>
        <v/>
      </c>
      <c r="CL27" s="739" t="str">
        <f t="shared" si="24"/>
        <v/>
      </c>
      <c r="CM27" s="738" t="str">
        <f t="shared" si="24"/>
        <v/>
      </c>
      <c r="CN27" s="738" t="str">
        <f t="shared" si="24"/>
        <v/>
      </c>
      <c r="CO27" s="740" t="str">
        <f t="shared" si="24"/>
        <v/>
      </c>
      <c r="CP27" s="741" t="str">
        <f t="shared" si="9"/>
        <v>2024/2025</v>
      </c>
      <c r="CQ27" s="353" t="str">
        <f t="shared" si="10"/>
        <v>Септември</v>
      </c>
      <c r="CR27" s="742" t="s">
        <v>862</v>
      </c>
      <c r="CS27" s="743" t="s">
        <v>880</v>
      </c>
      <c r="CT27" s="768"/>
      <c r="CU27" s="769"/>
      <c r="CV27" s="768"/>
      <c r="CW27" s="769"/>
      <c r="CX27" s="744">
        <f>'1. Планд'!L53</f>
        <v>0</v>
      </c>
      <c r="CY27" s="788">
        <f t="shared" si="11"/>
        <v>0</v>
      </c>
      <c r="CZ27" s="789">
        <f t="shared" si="12"/>
        <v>0</v>
      </c>
      <c r="DA27" s="790">
        <f t="shared" si="22"/>
        <v>0</v>
      </c>
      <c r="DB27" s="788">
        <f t="shared" si="13"/>
        <v>0</v>
      </c>
      <c r="DC27" s="789">
        <f t="shared" si="14"/>
        <v>0</v>
      </c>
    </row>
    <row r="28" spans="1:107" ht="15.75" thickBot="1" x14ac:dyDescent="0.3">
      <c r="A28" s="12" t="s">
        <v>48</v>
      </c>
      <c r="J28" s="1950"/>
      <c r="K28" s="714">
        <f t="shared" si="8"/>
        <v>27</v>
      </c>
      <c r="L28" s="1610" t="s">
        <v>813</v>
      </c>
      <c r="M28" s="1611" t="str">
        <f t="shared" si="23"/>
        <v>Препод.</v>
      </c>
      <c r="N28" s="1612">
        <f>IF(Семестър="План",'1. План'!D22,'1. Отчет'!D22)</f>
        <v>0</v>
      </c>
      <c r="CB28" s="1178">
        <f ca="1">N(OFFSET(тИндидОТЧЕТ[[#This Row],[№]],-1,0))+1</f>
        <v>23</v>
      </c>
      <c r="CC28" s="733" t="str">
        <f t="shared" si="15"/>
        <v/>
      </c>
      <c r="CD28" s="734" t="str">
        <f t="shared" si="16"/>
        <v/>
      </c>
      <c r="CE28" s="735" t="str">
        <f t="shared" si="17"/>
        <v/>
      </c>
      <c r="CF28" s="735" t="str">
        <f t="shared" si="18"/>
        <v/>
      </c>
      <c r="CG28" s="735" t="str">
        <f t="shared" si="19"/>
        <v/>
      </c>
      <c r="CH28" s="736" t="str">
        <f t="shared" si="20"/>
        <v/>
      </c>
      <c r="CI28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8" s="738" t="str">
        <f t="shared" si="24"/>
        <v/>
      </c>
      <c r="CK28" s="738" t="str">
        <f t="shared" si="24"/>
        <v/>
      </c>
      <c r="CL28" s="739" t="str">
        <f t="shared" si="24"/>
        <v/>
      </c>
      <c r="CM28" s="738" t="str">
        <f t="shared" si="24"/>
        <v/>
      </c>
      <c r="CN28" s="738" t="str">
        <f t="shared" si="24"/>
        <v/>
      </c>
      <c r="CO28" s="740" t="str">
        <f t="shared" si="24"/>
        <v/>
      </c>
      <c r="CP28" s="741" t="str">
        <f t="shared" si="9"/>
        <v>2024/2025</v>
      </c>
      <c r="CQ28" s="353" t="str">
        <f t="shared" si="10"/>
        <v>Септември</v>
      </c>
      <c r="CR28" s="746" t="s">
        <v>862</v>
      </c>
      <c r="CS28" s="747" t="s">
        <v>881</v>
      </c>
      <c r="CT28" s="770"/>
      <c r="CU28" s="771"/>
      <c r="CV28" s="770"/>
      <c r="CW28" s="771"/>
      <c r="CX28" s="748">
        <f>'1. Планд'!L54</f>
        <v>0</v>
      </c>
      <c r="CY28" s="788">
        <f t="shared" si="11"/>
        <v>0</v>
      </c>
      <c r="CZ28" s="789">
        <f t="shared" si="12"/>
        <v>0</v>
      </c>
      <c r="DA28" s="790">
        <f t="shared" si="22"/>
        <v>0</v>
      </c>
      <c r="DB28" s="788">
        <f t="shared" si="13"/>
        <v>0</v>
      </c>
      <c r="DC28" s="789">
        <f t="shared" si="14"/>
        <v>0</v>
      </c>
    </row>
    <row r="29" spans="1:107" ht="15" customHeight="1" x14ac:dyDescent="0.25">
      <c r="A29" s="12" t="s">
        <v>46</v>
      </c>
      <c r="J29" s="1950"/>
      <c r="K29" s="714">
        <f t="shared" si="8"/>
        <v>28</v>
      </c>
      <c r="L29" s="1610" t="s">
        <v>814</v>
      </c>
      <c r="M29" s="1611" t="str">
        <f t="shared" si="23"/>
        <v>Препод.</v>
      </c>
      <c r="N29" s="1612">
        <f>IF(Семестър="План",'1. План'!F22,'1. Отчет'!F22)</f>
        <v>0</v>
      </c>
      <c r="CB29" s="1178">
        <f ca="1">N(OFFSET(тИндидОТЧЕТ[[#This Row],[№]],-1,0))+1</f>
        <v>24</v>
      </c>
      <c r="CC29" s="733" t="str">
        <f t="shared" si="15"/>
        <v/>
      </c>
      <c r="CD29" s="734" t="str">
        <f t="shared" si="16"/>
        <v/>
      </c>
      <c r="CE29" s="735" t="str">
        <f t="shared" si="17"/>
        <v/>
      </c>
      <c r="CF29" s="735" t="str">
        <f t="shared" si="18"/>
        <v/>
      </c>
      <c r="CG29" s="735" t="str">
        <f t="shared" si="19"/>
        <v/>
      </c>
      <c r="CH29" s="736" t="str">
        <f t="shared" si="20"/>
        <v/>
      </c>
      <c r="CI29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29" s="738" t="str">
        <f t="shared" si="24"/>
        <v/>
      </c>
      <c r="CK29" s="738" t="str">
        <f t="shared" si="24"/>
        <v/>
      </c>
      <c r="CL29" s="739" t="str">
        <f t="shared" si="24"/>
        <v/>
      </c>
      <c r="CM29" s="738" t="str">
        <f t="shared" si="24"/>
        <v/>
      </c>
      <c r="CN29" s="738" t="str">
        <f t="shared" si="24"/>
        <v/>
      </c>
      <c r="CO29" s="740" t="str">
        <f t="shared" si="24"/>
        <v/>
      </c>
      <c r="CP29" s="741" t="str">
        <f t="shared" si="9"/>
        <v>2024/2025</v>
      </c>
      <c r="CQ29" s="353" t="str">
        <f t="shared" si="10"/>
        <v>Септември</v>
      </c>
      <c r="CR29" s="729" t="s">
        <v>853</v>
      </c>
      <c r="CS29" s="772" t="s">
        <v>409</v>
      </c>
      <c r="CT29" s="731">
        <f>'1. Планд'!H55</f>
        <v>0</v>
      </c>
      <c r="CU29" s="732">
        <f>'1. Планд'!I55</f>
        <v>0</v>
      </c>
      <c r="CV29" s="731">
        <f>'1. Планд'!J55</f>
        <v>0</v>
      </c>
      <c r="CW29" s="732">
        <f>'1. Планд'!K55</f>
        <v>0</v>
      </c>
      <c r="CX29" s="731">
        <f>'1. Планд'!L55</f>
        <v>0</v>
      </c>
      <c r="CY29" s="788">
        <f t="shared" si="11"/>
        <v>0</v>
      </c>
      <c r="CZ29" s="789">
        <f t="shared" si="12"/>
        <v>0</v>
      </c>
      <c r="DA29" s="790">
        <f t="shared" si="22"/>
        <v>0</v>
      </c>
      <c r="DB29" s="788">
        <f t="shared" si="13"/>
        <v>0</v>
      </c>
      <c r="DC29" s="789">
        <f t="shared" si="14"/>
        <v>0</v>
      </c>
    </row>
    <row r="30" spans="1:107" x14ac:dyDescent="0.25">
      <c r="A30" s="12" t="s">
        <v>626</v>
      </c>
      <c r="J30" s="1950"/>
      <c r="K30" s="1146">
        <f t="shared" si="8"/>
        <v>29</v>
      </c>
      <c r="L30" s="1610" t="s">
        <v>815</v>
      </c>
      <c r="M30" s="1611" t="str">
        <f t="shared" si="23"/>
        <v>Препод.</v>
      </c>
      <c r="N30" s="1612">
        <f>IF(Семестър="План",'1. План'!J22,'1. Отчет'!J22)</f>
        <v>0</v>
      </c>
      <c r="CB30" s="1178">
        <f ca="1">N(OFFSET(тИндидОТЧЕТ[[#This Row],[№]],-1,0))+1</f>
        <v>25</v>
      </c>
      <c r="CC30" s="733" t="str">
        <f t="shared" si="15"/>
        <v/>
      </c>
      <c r="CD30" s="734" t="str">
        <f t="shared" si="16"/>
        <v/>
      </c>
      <c r="CE30" s="735" t="str">
        <f t="shared" si="17"/>
        <v/>
      </c>
      <c r="CF30" s="735" t="str">
        <f t="shared" si="18"/>
        <v/>
      </c>
      <c r="CG30" s="735" t="str">
        <f t="shared" si="19"/>
        <v/>
      </c>
      <c r="CH30" s="736" t="str">
        <f t="shared" si="20"/>
        <v/>
      </c>
      <c r="CI30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0" s="738" t="str">
        <f t="shared" si="24"/>
        <v/>
      </c>
      <c r="CK30" s="738" t="str">
        <f t="shared" si="24"/>
        <v/>
      </c>
      <c r="CL30" s="739" t="str">
        <f t="shared" si="24"/>
        <v/>
      </c>
      <c r="CM30" s="738" t="str">
        <f t="shared" si="24"/>
        <v/>
      </c>
      <c r="CN30" s="738" t="str">
        <f t="shared" si="24"/>
        <v/>
      </c>
      <c r="CO30" s="740" t="str">
        <f t="shared" si="24"/>
        <v/>
      </c>
      <c r="CP30" s="741" t="str">
        <f t="shared" si="9"/>
        <v>2024/2025</v>
      </c>
      <c r="CQ30" s="353" t="str">
        <f t="shared" si="10"/>
        <v>Септември</v>
      </c>
      <c r="CR30" s="742" t="s">
        <v>853</v>
      </c>
      <c r="CS30" s="773" t="s">
        <v>11</v>
      </c>
      <c r="CT30" s="744">
        <f>'1. Планд'!H56</f>
        <v>0</v>
      </c>
      <c r="CU30" s="745">
        <f>'1. Планд'!I56</f>
        <v>0</v>
      </c>
      <c r="CV30" s="744">
        <f>'1. Планд'!J56</f>
        <v>0</v>
      </c>
      <c r="CW30" s="745">
        <f>'1. Планд'!K56</f>
        <v>0</v>
      </c>
      <c r="CX30" s="744">
        <f>'1. Планд'!L56</f>
        <v>0</v>
      </c>
      <c r="CY30" s="788">
        <f t="shared" si="11"/>
        <v>0</v>
      </c>
      <c r="CZ30" s="789">
        <f t="shared" si="12"/>
        <v>0</v>
      </c>
      <c r="DA30" s="790">
        <f t="shared" si="22"/>
        <v>0</v>
      </c>
      <c r="DB30" s="788">
        <f t="shared" si="13"/>
        <v>0</v>
      </c>
      <c r="DC30" s="789">
        <f t="shared" si="14"/>
        <v>0</v>
      </c>
    </row>
    <row r="31" spans="1:107" ht="15.75" thickBot="1" x14ac:dyDescent="0.3">
      <c r="A31" s="12" t="s">
        <v>42</v>
      </c>
      <c r="J31" s="1950"/>
      <c r="K31" s="1561">
        <f t="shared" si="8"/>
        <v>30</v>
      </c>
      <c r="L31" s="1613" t="s">
        <v>816</v>
      </c>
      <c r="M31" s="1614" t="str">
        <f t="shared" si="23"/>
        <v>Препод.</v>
      </c>
      <c r="N31" s="1615">
        <f>IF(Семестър="План",'1. План'!L22,'1. Отчет'!L22)</f>
        <v>0</v>
      </c>
      <c r="CB31" s="1178">
        <f ca="1">N(OFFSET(тИндидОТЧЕТ[[#This Row],[№]],-1,0))+1</f>
        <v>26</v>
      </c>
      <c r="CC31" s="733" t="str">
        <f t="shared" si="15"/>
        <v/>
      </c>
      <c r="CD31" s="734" t="str">
        <f t="shared" si="16"/>
        <v/>
      </c>
      <c r="CE31" s="735" t="str">
        <f t="shared" si="17"/>
        <v/>
      </c>
      <c r="CF31" s="735" t="str">
        <f t="shared" si="18"/>
        <v/>
      </c>
      <c r="CG31" s="735" t="str">
        <f t="shared" si="19"/>
        <v/>
      </c>
      <c r="CH31" s="736" t="str">
        <f t="shared" si="20"/>
        <v/>
      </c>
      <c r="CI31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1" s="738" t="str">
        <f t="shared" si="24"/>
        <v/>
      </c>
      <c r="CK31" s="738" t="str">
        <f t="shared" si="24"/>
        <v/>
      </c>
      <c r="CL31" s="739" t="str">
        <f t="shared" si="24"/>
        <v/>
      </c>
      <c r="CM31" s="738" t="str">
        <f t="shared" si="24"/>
        <v/>
      </c>
      <c r="CN31" s="738" t="str">
        <f t="shared" si="24"/>
        <v/>
      </c>
      <c r="CO31" s="740" t="str">
        <f t="shared" si="24"/>
        <v/>
      </c>
      <c r="CP31" s="741" t="str">
        <f t="shared" si="9"/>
        <v>2024/2025</v>
      </c>
      <c r="CQ31" s="353" t="str">
        <f t="shared" si="10"/>
        <v>Септември</v>
      </c>
      <c r="CR31" s="742" t="s">
        <v>853</v>
      </c>
      <c r="CS31" s="773" t="s">
        <v>542</v>
      </c>
      <c r="CT31" s="744">
        <f>'1. Планд'!H57</f>
        <v>0</v>
      </c>
      <c r="CU31" s="745">
        <f>'1. Планд'!I57</f>
        <v>0</v>
      </c>
      <c r="CV31" s="744">
        <f>'1. Планд'!J57</f>
        <v>0</v>
      </c>
      <c r="CW31" s="745">
        <f>'1. Планд'!K57</f>
        <v>0</v>
      </c>
      <c r="CX31" s="761"/>
      <c r="CY31" s="788">
        <f t="shared" si="11"/>
        <v>0</v>
      </c>
      <c r="CZ31" s="789">
        <f t="shared" si="12"/>
        <v>0</v>
      </c>
      <c r="DA31" s="790">
        <f t="shared" si="22"/>
        <v>0</v>
      </c>
      <c r="DB31" s="788">
        <f t="shared" si="13"/>
        <v>0</v>
      </c>
      <c r="DC31" s="789">
        <f t="shared" si="14"/>
        <v>0</v>
      </c>
    </row>
    <row r="32" spans="1:107" ht="15.75" thickTop="1" x14ac:dyDescent="0.25">
      <c r="A32" s="12" t="s">
        <v>628</v>
      </c>
      <c r="J32" s="1950"/>
      <c r="K32" s="1182">
        <f t="shared" si="8"/>
        <v>31</v>
      </c>
      <c r="L32" s="1616" t="s">
        <v>817</v>
      </c>
      <c r="M32" s="1617" t="str">
        <f>M23</f>
        <v>Препод.</v>
      </c>
      <c r="N32" s="1623" t="str">
        <f ca="1">MID(N33,FIND("[",N33)+1,FIND("]",N33)-(FIND("[",N33)+1))</f>
        <v>Бланка-2024-2025-IO-3-SU-Индивидуален отчет.xlsx</v>
      </c>
      <c r="CB32" s="1178">
        <f ca="1">N(OFFSET(тИндидОТЧЕТ[[#This Row],[№]],-1,0))+1</f>
        <v>27</v>
      </c>
      <c r="CC32" s="733" t="str">
        <f t="shared" si="15"/>
        <v/>
      </c>
      <c r="CD32" s="734" t="str">
        <f t="shared" si="16"/>
        <v/>
      </c>
      <c r="CE32" s="735" t="str">
        <f t="shared" si="17"/>
        <v/>
      </c>
      <c r="CF32" s="735" t="str">
        <f t="shared" si="18"/>
        <v/>
      </c>
      <c r="CG32" s="735" t="str">
        <f t="shared" si="19"/>
        <v/>
      </c>
      <c r="CH32" s="736" t="str">
        <f t="shared" si="20"/>
        <v/>
      </c>
      <c r="CI32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2" s="738" t="str">
        <f t="shared" si="24"/>
        <v/>
      </c>
      <c r="CK32" s="738" t="str">
        <f t="shared" si="24"/>
        <v/>
      </c>
      <c r="CL32" s="739" t="str">
        <f t="shared" si="24"/>
        <v/>
      </c>
      <c r="CM32" s="738" t="str">
        <f t="shared" si="24"/>
        <v/>
      </c>
      <c r="CN32" s="738" t="str">
        <f t="shared" si="24"/>
        <v/>
      </c>
      <c r="CO32" s="740" t="str">
        <f t="shared" si="24"/>
        <v/>
      </c>
      <c r="CP32" s="741" t="str">
        <f t="shared" si="9"/>
        <v>2024/2025</v>
      </c>
      <c r="CQ32" s="353" t="str">
        <f t="shared" si="10"/>
        <v>Септември</v>
      </c>
      <c r="CR32" s="742" t="s">
        <v>853</v>
      </c>
      <c r="CS32" s="773" t="s">
        <v>543</v>
      </c>
      <c r="CT32" s="744">
        <f>'1. Планд'!H58</f>
        <v>0</v>
      </c>
      <c r="CU32" s="745">
        <f>'1. Планд'!I58</f>
        <v>0</v>
      </c>
      <c r="CV32" s="744">
        <f>'1. Планд'!J58</f>
        <v>0</v>
      </c>
      <c r="CW32" s="745">
        <f>'1. Планд'!K58</f>
        <v>0</v>
      </c>
      <c r="CX32" s="761"/>
      <c r="CY32" s="788">
        <f t="shared" si="11"/>
        <v>0</v>
      </c>
      <c r="CZ32" s="789">
        <f t="shared" si="12"/>
        <v>0</v>
      </c>
      <c r="DA32" s="790">
        <f t="shared" si="22"/>
        <v>0</v>
      </c>
      <c r="DB32" s="788">
        <f t="shared" si="13"/>
        <v>0</v>
      </c>
      <c r="DC32" s="789">
        <f t="shared" si="14"/>
        <v>0</v>
      </c>
    </row>
    <row r="33" spans="1:107" ht="15.75" thickBot="1" x14ac:dyDescent="0.3">
      <c r="A33" s="12" t="s">
        <v>33</v>
      </c>
      <c r="J33" s="1950"/>
      <c r="K33" s="715">
        <f t="shared" si="8"/>
        <v>32</v>
      </c>
      <c r="L33" s="1624" t="s">
        <v>818</v>
      </c>
      <c r="M33" s="1625" t="str">
        <f>M32</f>
        <v>Препод.</v>
      </c>
      <c r="N33" s="1626" t="str">
        <f ca="1">CELL("filename" )</f>
        <v>A:\0_IPO\2024-2025\Септември\Gen\[Бланка-2024-2025-IO-3-SU-Индивидуален отчет.xlsx]1. Отчет</v>
      </c>
      <c r="CB33" s="1178">
        <f ca="1">N(OFFSET(тИндидОТЧЕТ[[#This Row],[№]],-1,0))+1</f>
        <v>28</v>
      </c>
      <c r="CC33" s="733" t="str">
        <f t="shared" si="15"/>
        <v/>
      </c>
      <c r="CD33" s="734" t="str">
        <f t="shared" si="16"/>
        <v/>
      </c>
      <c r="CE33" s="735" t="str">
        <f t="shared" si="17"/>
        <v/>
      </c>
      <c r="CF33" s="735" t="str">
        <f t="shared" si="18"/>
        <v/>
      </c>
      <c r="CG33" s="735" t="str">
        <f t="shared" si="19"/>
        <v/>
      </c>
      <c r="CH33" s="736" t="str">
        <f t="shared" si="20"/>
        <v/>
      </c>
      <c r="CI33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3" s="738" t="str">
        <f t="shared" si="24"/>
        <v/>
      </c>
      <c r="CK33" s="738" t="str">
        <f t="shared" si="24"/>
        <v/>
      </c>
      <c r="CL33" s="739" t="str">
        <f t="shared" si="24"/>
        <v/>
      </c>
      <c r="CM33" s="738" t="str">
        <f t="shared" si="24"/>
        <v/>
      </c>
      <c r="CN33" s="738" t="str">
        <f t="shared" si="24"/>
        <v/>
      </c>
      <c r="CO33" s="740" t="str">
        <f t="shared" si="24"/>
        <v/>
      </c>
      <c r="CP33" s="741" t="str">
        <f t="shared" si="9"/>
        <v>2024/2025</v>
      </c>
      <c r="CQ33" s="353" t="str">
        <f t="shared" si="10"/>
        <v>Септември</v>
      </c>
      <c r="CR33" s="742" t="s">
        <v>853</v>
      </c>
      <c r="CS33" s="773" t="s">
        <v>410</v>
      </c>
      <c r="CT33" s="744">
        <f>SUM(CT29:CW29)</f>
        <v>0</v>
      </c>
      <c r="CU33" s="769"/>
      <c r="CV33" s="744">
        <f>'1. Планд'!J59</f>
        <v>0</v>
      </c>
      <c r="CW33" s="769"/>
      <c r="CX33" s="744">
        <f>'1. Планд'!L59</f>
        <v>0</v>
      </c>
      <c r="CY33" s="788">
        <f t="shared" si="11"/>
        <v>0</v>
      </c>
      <c r="CZ33" s="789">
        <f t="shared" si="12"/>
        <v>0</v>
      </c>
      <c r="DA33" s="790">
        <f t="shared" si="22"/>
        <v>0</v>
      </c>
      <c r="DB33" s="788">
        <f t="shared" si="13"/>
        <v>0</v>
      </c>
      <c r="DC33" s="789">
        <f t="shared" si="14"/>
        <v>0</v>
      </c>
    </row>
    <row r="34" spans="1:107" ht="15" customHeight="1" x14ac:dyDescent="0.25">
      <c r="A34" s="12" t="s">
        <v>26</v>
      </c>
      <c r="J34" s="1949" t="s">
        <v>821</v>
      </c>
      <c r="K34" s="1182">
        <f t="shared" si="8"/>
        <v>33</v>
      </c>
      <c r="L34" s="394" t="s">
        <v>819</v>
      </c>
      <c r="M34" s="1153" t="s">
        <v>681</v>
      </c>
      <c r="N34" s="718">
        <f>'1. Отчет'!H55</f>
        <v>0</v>
      </c>
      <c r="CB34" s="1178">
        <f ca="1">N(OFFSET(тИндидОТЧЕТ[[#This Row],[№]],-1,0))+1</f>
        <v>29</v>
      </c>
      <c r="CC34" s="733" t="str">
        <f t="shared" si="15"/>
        <v/>
      </c>
      <c r="CD34" s="734" t="str">
        <f t="shared" si="16"/>
        <v/>
      </c>
      <c r="CE34" s="735" t="str">
        <f t="shared" si="17"/>
        <v/>
      </c>
      <c r="CF34" s="735" t="str">
        <f t="shared" si="18"/>
        <v/>
      </c>
      <c r="CG34" s="735" t="str">
        <f t="shared" si="19"/>
        <v/>
      </c>
      <c r="CH34" s="736" t="str">
        <f t="shared" si="20"/>
        <v/>
      </c>
      <c r="CI34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4" s="738" t="str">
        <f t="shared" si="24"/>
        <v/>
      </c>
      <c r="CK34" s="738" t="str">
        <f t="shared" si="24"/>
        <v/>
      </c>
      <c r="CL34" s="739" t="str">
        <f t="shared" si="24"/>
        <v/>
      </c>
      <c r="CM34" s="738" t="str">
        <f t="shared" si="24"/>
        <v/>
      </c>
      <c r="CN34" s="738" t="str">
        <f t="shared" si="24"/>
        <v/>
      </c>
      <c r="CO34" s="740" t="str">
        <f t="shared" si="24"/>
        <v/>
      </c>
      <c r="CP34" s="741" t="str">
        <f t="shared" si="9"/>
        <v>2024/2025</v>
      </c>
      <c r="CQ34" s="353" t="str">
        <f t="shared" si="10"/>
        <v>Септември</v>
      </c>
      <c r="CR34" s="742" t="s">
        <v>853</v>
      </c>
      <c r="CS34" s="773" t="s">
        <v>408</v>
      </c>
      <c r="CT34" s="744">
        <f>SUM(CT30:CW30)</f>
        <v>0</v>
      </c>
      <c r="CU34" s="769"/>
      <c r="CV34" s="744">
        <f>'1. Планд'!J60</f>
        <v>0</v>
      </c>
      <c r="CW34" s="769"/>
      <c r="CX34" s="744">
        <f>'1. Планд'!L60</f>
        <v>0</v>
      </c>
      <c r="CY34" s="788">
        <f t="shared" si="11"/>
        <v>0</v>
      </c>
      <c r="CZ34" s="789">
        <f t="shared" si="12"/>
        <v>0</v>
      </c>
      <c r="DA34" s="790">
        <f t="shared" si="22"/>
        <v>0</v>
      </c>
      <c r="DB34" s="788">
        <f t="shared" si="13"/>
        <v>0</v>
      </c>
      <c r="DC34" s="789">
        <f t="shared" si="14"/>
        <v>0</v>
      </c>
    </row>
    <row r="35" spans="1:107" ht="15" customHeight="1" thickBot="1" x14ac:dyDescent="0.3">
      <c r="A35" s="12" t="s">
        <v>296</v>
      </c>
      <c r="J35" s="1950"/>
      <c r="K35" s="1561">
        <f t="shared" si="8"/>
        <v>34</v>
      </c>
      <c r="L35" s="1169" t="s">
        <v>820</v>
      </c>
      <c r="M35" s="1159" t="str">
        <f>M34</f>
        <v>Бакалавър</v>
      </c>
      <c r="N35" s="1563">
        <f>'1. Отчет'!H56</f>
        <v>0</v>
      </c>
      <c r="CB35" s="1178">
        <f ca="1">N(OFFSET(тИндидОТЧЕТ[[#This Row],[№]],-1,0))+1</f>
        <v>30</v>
      </c>
      <c r="CC35" s="733" t="str">
        <f t="shared" si="15"/>
        <v/>
      </c>
      <c r="CD35" s="734" t="str">
        <f t="shared" si="16"/>
        <v/>
      </c>
      <c r="CE35" s="735" t="str">
        <f t="shared" si="17"/>
        <v/>
      </c>
      <c r="CF35" s="735" t="str">
        <f t="shared" si="18"/>
        <v/>
      </c>
      <c r="CG35" s="735" t="str">
        <f t="shared" si="19"/>
        <v/>
      </c>
      <c r="CH35" s="736" t="str">
        <f t="shared" si="20"/>
        <v/>
      </c>
      <c r="CI35" s="737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5" s="738" t="str">
        <f t="shared" si="24"/>
        <v/>
      </c>
      <c r="CK35" s="738" t="str">
        <f t="shared" si="24"/>
        <v/>
      </c>
      <c r="CL35" s="739" t="str">
        <f t="shared" si="24"/>
        <v/>
      </c>
      <c r="CM35" s="738" t="str">
        <f t="shared" si="24"/>
        <v/>
      </c>
      <c r="CN35" s="738" t="str">
        <f t="shared" si="24"/>
        <v/>
      </c>
      <c r="CO35" s="740" t="str">
        <f t="shared" si="24"/>
        <v/>
      </c>
      <c r="CP35" s="741" t="str">
        <f t="shared" si="9"/>
        <v>2024/2025</v>
      </c>
      <c r="CQ35" s="353" t="str">
        <f t="shared" si="10"/>
        <v>Септември</v>
      </c>
      <c r="CR35" s="742" t="s">
        <v>853</v>
      </c>
      <c r="CS35" s="773" t="s">
        <v>882</v>
      </c>
      <c r="CT35" s="744">
        <f>'1. Отчет'!H63</f>
        <v>0</v>
      </c>
      <c r="CU35" s="769"/>
      <c r="CV35" s="744">
        <f>'1. Отчет'!I63</f>
        <v>0</v>
      </c>
      <c r="CW35" s="769"/>
      <c r="CX35" s="768"/>
      <c r="CY35" s="788">
        <f t="shared" si="11"/>
        <v>0</v>
      </c>
      <c r="CZ35" s="789">
        <f t="shared" si="12"/>
        <v>0</v>
      </c>
      <c r="DA35" s="790">
        <f t="shared" si="22"/>
        <v>0</v>
      </c>
      <c r="DB35" s="788">
        <f t="shared" si="13"/>
        <v>0</v>
      </c>
      <c r="DC35" s="789">
        <f t="shared" si="14"/>
        <v>0</v>
      </c>
    </row>
    <row r="36" spans="1:107" ht="16.5" thickTop="1" thickBot="1" x14ac:dyDescent="0.3">
      <c r="A36" s="12" t="s">
        <v>39</v>
      </c>
      <c r="J36" s="1950"/>
      <c r="K36" s="1562">
        <f t="shared" si="8"/>
        <v>35</v>
      </c>
      <c r="L36" s="394" t="s">
        <v>822</v>
      </c>
      <c r="M36" s="1153" t="s">
        <v>682</v>
      </c>
      <c r="N36" s="740">
        <f>'1. Отчет'!I55</f>
        <v>0</v>
      </c>
      <c r="CB36" s="1179">
        <f ca="1">N(OFFSET(тИндидОТЧЕТ[[#This Row],[№]],-1,0))+1</f>
        <v>31</v>
      </c>
      <c r="CC36" s="774" t="str">
        <f t="shared" si="15"/>
        <v/>
      </c>
      <c r="CD36" s="775" t="str">
        <f t="shared" si="16"/>
        <v/>
      </c>
      <c r="CE36" s="776" t="str">
        <f t="shared" si="17"/>
        <v/>
      </c>
      <c r="CF36" s="776" t="str">
        <f t="shared" si="18"/>
        <v/>
      </c>
      <c r="CG36" s="776" t="str">
        <f t="shared" si="19"/>
        <v/>
      </c>
      <c r="CH36" s="777" t="str">
        <f t="shared" si="20"/>
        <v/>
      </c>
      <c r="CI36" s="778" t="b">
        <f>AND(тИндидОТЧЕТ[[#This Row],[аФакултет]]=тИндидОТЧЕТ[[#This Row],[Факултет]],тИндидОТЧЕТ[[#This Row],[аКатедра]]=тИндидОТЧЕТ[[#This Row],[Катедра]],тИндидОТЧЕТ[[#This Row],[аАкадДлъжност]]=тИндидОТЧЕТ[[#This Row],[акадДлъжност]],тИндидОТЧЕТ[[#This Row],[аРъкДлъжност]]=тИндидОТЧЕТ[[#This Row],[ръкДлъжност]],тИндидОТЧЕТ[[#This Row],[аПреподавател]]=тИндидОТЧЕТ[[#This Row],[Преподавател]])</f>
        <v>1</v>
      </c>
      <c r="CJ36" s="779" t="str">
        <f t="shared" si="24"/>
        <v/>
      </c>
      <c r="CK36" s="779" t="str">
        <f t="shared" si="24"/>
        <v/>
      </c>
      <c r="CL36" s="780" t="str">
        <f t="shared" si="24"/>
        <v/>
      </c>
      <c r="CM36" s="779" t="str">
        <f t="shared" si="24"/>
        <v/>
      </c>
      <c r="CN36" s="779" t="str">
        <f t="shared" si="24"/>
        <v/>
      </c>
      <c r="CO36" s="781" t="str">
        <f t="shared" si="24"/>
        <v/>
      </c>
      <c r="CP36" s="782" t="str">
        <f t="shared" si="9"/>
        <v>2024/2025</v>
      </c>
      <c r="CQ36" s="783" t="str">
        <f t="shared" si="10"/>
        <v>Септември</v>
      </c>
      <c r="CR36" s="746" t="s">
        <v>853</v>
      </c>
      <c r="CS36" s="784" t="s">
        <v>883</v>
      </c>
      <c r="CT36" s="748">
        <f>'1. Отчет'!H64</f>
        <v>0</v>
      </c>
      <c r="CU36" s="771"/>
      <c r="CV36" s="748">
        <f>'1. Отчет'!I64</f>
        <v>0</v>
      </c>
      <c r="CW36" s="771"/>
      <c r="CX36" s="770"/>
      <c r="CY36" s="791">
        <f t="shared" si="11"/>
        <v>0</v>
      </c>
      <c r="CZ36" s="792">
        <f t="shared" si="12"/>
        <v>0</v>
      </c>
      <c r="DA36" s="793">
        <f t="shared" si="22"/>
        <v>0</v>
      </c>
      <c r="DB36" s="791">
        <f t="shared" si="13"/>
        <v>0</v>
      </c>
      <c r="DC36" s="792">
        <f t="shared" si="14"/>
        <v>0</v>
      </c>
    </row>
    <row r="37" spans="1:107" ht="15.75" customHeight="1" thickBot="1" x14ac:dyDescent="0.3">
      <c r="A37" s="12" t="s">
        <v>647</v>
      </c>
      <c r="J37" s="1950"/>
      <c r="K37" s="1561">
        <f t="shared" si="8"/>
        <v>36</v>
      </c>
      <c r="L37" s="1169" t="s">
        <v>823</v>
      </c>
      <c r="M37" s="1159" t="str">
        <f>M36</f>
        <v>Магистър</v>
      </c>
      <c r="N37" s="1160">
        <f>'1. Отчет'!I56</f>
        <v>0</v>
      </c>
    </row>
    <row r="38" spans="1:107" ht="15.75" thickTop="1" x14ac:dyDescent="0.25">
      <c r="A38" s="12" t="s">
        <v>35</v>
      </c>
      <c r="J38" s="1950"/>
      <c r="K38" s="1562">
        <f t="shared" si="8"/>
        <v>37</v>
      </c>
      <c r="L38" s="1170" t="s">
        <v>1104</v>
      </c>
      <c r="M38" s="1155" t="s">
        <v>520</v>
      </c>
      <c r="N38" s="1147">
        <f>'1. Отчет'!H57</f>
        <v>0</v>
      </c>
    </row>
    <row r="39" spans="1:107" ht="15.75" thickBot="1" x14ac:dyDescent="0.3">
      <c r="A39" s="12" t="s">
        <v>29</v>
      </c>
      <c r="J39" s="1950"/>
      <c r="K39" s="1561">
        <f t="shared" si="8"/>
        <v>38</v>
      </c>
      <c r="L39" s="1171" t="s">
        <v>1105</v>
      </c>
      <c r="M39" s="1161" t="s">
        <v>520</v>
      </c>
      <c r="N39" s="1162">
        <f>'1. Отчет'!H58</f>
        <v>0</v>
      </c>
    </row>
    <row r="40" spans="1:107" ht="15.75" thickTop="1" x14ac:dyDescent="0.25">
      <c r="A40" s="12" t="s">
        <v>44</v>
      </c>
      <c r="J40" s="1950"/>
      <c r="K40" s="1182">
        <f t="shared" si="8"/>
        <v>39</v>
      </c>
      <c r="L40" s="1405" t="s">
        <v>2801</v>
      </c>
      <c r="M40" s="1406" t="str">
        <f t="shared" ref="M40:M41" si="25">M39</f>
        <v>Лекторат</v>
      </c>
      <c r="N40" s="1407">
        <f>'1. Отчет'!J22</f>
        <v>0</v>
      </c>
    </row>
    <row r="41" spans="1:107" ht="15.75" thickBot="1" x14ac:dyDescent="0.3">
      <c r="A41" s="12" t="s">
        <v>57</v>
      </c>
      <c r="J41" s="1950"/>
      <c r="K41" s="1561">
        <f t="shared" si="8"/>
        <v>40</v>
      </c>
      <c r="L41" s="1171" t="s">
        <v>2802</v>
      </c>
      <c r="M41" s="1566" t="str">
        <f t="shared" si="25"/>
        <v>Лекторат</v>
      </c>
      <c r="N41" s="1567">
        <f>'1. Отчет'!L22</f>
        <v>0</v>
      </c>
    </row>
    <row r="42" spans="1:107" ht="15.75" thickTop="1" x14ac:dyDescent="0.25">
      <c r="J42" s="1950"/>
      <c r="K42" s="1562">
        <f t="shared" si="8"/>
        <v>41</v>
      </c>
      <c r="L42" s="1564" t="s">
        <v>1106</v>
      </c>
      <c r="M42" s="1565" t="s">
        <v>1108</v>
      </c>
      <c r="N42" s="1557">
        <f>SUM(N34,N36,N38)</f>
        <v>0</v>
      </c>
    </row>
    <row r="43" spans="1:107" ht="15.75" thickBot="1" x14ac:dyDescent="0.3">
      <c r="J43" s="1950"/>
      <c r="K43" s="1561">
        <f t="shared" si="8"/>
        <v>42</v>
      </c>
      <c r="L43" s="1171" t="s">
        <v>1107</v>
      </c>
      <c r="M43" s="1161" t="s">
        <v>1108</v>
      </c>
      <c r="N43" s="1163">
        <f>SUM(N35,N37,N39)</f>
        <v>0</v>
      </c>
    </row>
    <row r="44" spans="1:107" ht="15.75" thickTop="1" x14ac:dyDescent="0.25">
      <c r="A44" s="13" t="s">
        <v>58</v>
      </c>
      <c r="B44" s="18" t="s">
        <v>59</v>
      </c>
      <c r="J44" s="1950"/>
      <c r="K44" s="1562">
        <f t="shared" si="8"/>
        <v>43</v>
      </c>
      <c r="L44" s="719" t="s">
        <v>824</v>
      </c>
      <c r="M44" s="1154" t="s">
        <v>683</v>
      </c>
      <c r="N44" s="590">
        <f>'1. Отчет'!K55</f>
        <v>0</v>
      </c>
    </row>
    <row r="45" spans="1:107" ht="15.75" thickBot="1" x14ac:dyDescent="0.3">
      <c r="A45" s="6" t="s">
        <v>60</v>
      </c>
      <c r="B45" s="16"/>
      <c r="J45" s="1950"/>
      <c r="K45" s="1561">
        <f t="shared" si="8"/>
        <v>44</v>
      </c>
      <c r="L45" s="1169" t="s">
        <v>825</v>
      </c>
      <c r="M45" s="1159" t="str">
        <f>M44</f>
        <v>Доктор</v>
      </c>
      <c r="N45" s="1160">
        <f>'1. Отчет'!K56</f>
        <v>0</v>
      </c>
    </row>
    <row r="46" spans="1:107" ht="15.75" thickTop="1" x14ac:dyDescent="0.25">
      <c r="A46" s="6" t="s">
        <v>61</v>
      </c>
      <c r="B46" s="16"/>
      <c r="J46" s="1950"/>
      <c r="K46" s="1182">
        <f t="shared" si="8"/>
        <v>45</v>
      </c>
      <c r="L46" s="1172" t="s">
        <v>1109</v>
      </c>
      <c r="M46" s="1157" t="s">
        <v>1111</v>
      </c>
      <c r="N46" s="1147">
        <f>N42+N44</f>
        <v>0</v>
      </c>
    </row>
    <row r="47" spans="1:107" ht="15.75" thickBot="1" x14ac:dyDescent="0.3">
      <c r="A47" s="6" t="s">
        <v>62</v>
      </c>
      <c r="B47" s="16"/>
      <c r="J47" s="1950"/>
      <c r="K47" s="714">
        <f t="shared" si="8"/>
        <v>46</v>
      </c>
      <c r="L47" s="1150" t="s">
        <v>1110</v>
      </c>
      <c r="M47" s="1158" t="str">
        <f>M46</f>
        <v>БакМагЛекДак</v>
      </c>
      <c r="N47" s="1164">
        <f>N43+N45</f>
        <v>0</v>
      </c>
    </row>
    <row r="48" spans="1:107" x14ac:dyDescent="0.25">
      <c r="A48" s="6" t="s">
        <v>63</v>
      </c>
      <c r="B48" s="16"/>
      <c r="J48" s="1950"/>
      <c r="K48" s="1146">
        <f t="shared" si="8"/>
        <v>47</v>
      </c>
      <c r="L48" s="1170" t="s">
        <v>826</v>
      </c>
      <c r="M48" s="1154" t="s">
        <v>681</v>
      </c>
      <c r="N48" s="590">
        <f>'1. Отчет'!H63</f>
        <v>0</v>
      </c>
    </row>
    <row r="49" spans="1:14" ht="15.75" thickBot="1" x14ac:dyDescent="0.3">
      <c r="A49" s="6" t="s">
        <v>64</v>
      </c>
      <c r="B49" s="16"/>
      <c r="J49" s="1950"/>
      <c r="K49" s="1561">
        <f t="shared" si="8"/>
        <v>48</v>
      </c>
      <c r="L49" s="1173" t="s">
        <v>827</v>
      </c>
      <c r="M49" s="1159" t="str">
        <f>M48</f>
        <v>Бакалавър</v>
      </c>
      <c r="N49" s="1160">
        <f>'1. Отчет'!H64</f>
        <v>0</v>
      </c>
    </row>
    <row r="50" spans="1:14" ht="15.75" thickTop="1" x14ac:dyDescent="0.25">
      <c r="A50" s="9" t="s">
        <v>65</v>
      </c>
      <c r="B50" s="17"/>
      <c r="J50" s="1950"/>
      <c r="K50" s="1562">
        <f t="shared" ref="K50:K51" si="26">K49+1</f>
        <v>49</v>
      </c>
      <c r="L50" s="1174" t="s">
        <v>828</v>
      </c>
      <c r="M50" s="1167" t="s">
        <v>682</v>
      </c>
      <c r="N50" s="1168">
        <f>'1. Отчет'!I63</f>
        <v>0</v>
      </c>
    </row>
    <row r="51" spans="1:14" ht="15.75" thickBot="1" x14ac:dyDescent="0.3">
      <c r="J51" s="1950"/>
      <c r="K51" s="1561">
        <f t="shared" si="26"/>
        <v>50</v>
      </c>
      <c r="L51" s="1169" t="s">
        <v>829</v>
      </c>
      <c r="M51" s="1159" t="str">
        <f>M50</f>
        <v>Магистър</v>
      </c>
      <c r="N51" s="1160">
        <f>'1. Отчет'!I64</f>
        <v>0</v>
      </c>
    </row>
    <row r="52" spans="1:14" ht="16.5" thickTop="1" thickBot="1" x14ac:dyDescent="0.3">
      <c r="A52" s="22" t="s">
        <v>90</v>
      </c>
      <c r="B52" s="22" t="s">
        <v>19</v>
      </c>
      <c r="C52" s="15"/>
      <c r="J52" s="1950"/>
      <c r="K52" s="1562">
        <f t="shared" ref="K52:K59" si="27">K51+1</f>
        <v>51</v>
      </c>
      <c r="L52" s="1175" t="s">
        <v>1113</v>
      </c>
      <c r="M52" s="1165" t="s">
        <v>1112</v>
      </c>
      <c r="N52" s="1166">
        <f>N48+N50</f>
        <v>0</v>
      </c>
    </row>
    <row r="53" spans="1:14" ht="15.75" thickBot="1" x14ac:dyDescent="0.3">
      <c r="A53" s="12" t="s">
        <v>76</v>
      </c>
      <c r="B53" s="7" t="s">
        <v>79</v>
      </c>
      <c r="J53" s="1950"/>
      <c r="K53" s="1555">
        <f t="shared" si="27"/>
        <v>52</v>
      </c>
      <c r="L53" s="1176" t="s">
        <v>1115</v>
      </c>
      <c r="M53" s="1156" t="str">
        <f>M52</f>
        <v>БакМаг</v>
      </c>
      <c r="N53" s="1148">
        <f>N49+N51</f>
        <v>0</v>
      </c>
    </row>
    <row r="54" spans="1:14" ht="15.75" thickBot="1" x14ac:dyDescent="0.3">
      <c r="A54" s="12" t="s">
        <v>77</v>
      </c>
      <c r="B54" s="7" t="s">
        <v>80</v>
      </c>
      <c r="J54" s="1950"/>
      <c r="K54" s="1556">
        <f t="shared" si="27"/>
        <v>53</v>
      </c>
      <c r="L54" s="1627" t="s">
        <v>4559</v>
      </c>
      <c r="M54" s="1628" t="s">
        <v>4559</v>
      </c>
      <c r="N54" s="1629">
        <f>деоАЗ</f>
        <v>0</v>
      </c>
    </row>
    <row r="55" spans="1:14" ht="15.75" thickBot="1" x14ac:dyDescent="0.3">
      <c r="A55" s="12" t="s">
        <v>78</v>
      </c>
      <c r="B55" s="7" t="s">
        <v>81</v>
      </c>
      <c r="J55" s="1950"/>
      <c r="K55" s="1555">
        <f t="shared" si="27"/>
        <v>54</v>
      </c>
      <c r="L55" s="1630" t="s">
        <v>4558</v>
      </c>
      <c r="M55" s="1631" t="s">
        <v>4558</v>
      </c>
      <c r="N55" s="1632">
        <f>деоОЗ</f>
        <v>0</v>
      </c>
    </row>
    <row r="56" spans="1:14" ht="15.75" thickBot="1" x14ac:dyDescent="0.3">
      <c r="A56" s="12" t="s">
        <v>82</v>
      </c>
      <c r="B56" s="7"/>
      <c r="J56" s="1950"/>
      <c r="K56" s="1556">
        <f t="shared" si="27"/>
        <v>55</v>
      </c>
      <c r="L56" s="1633" t="s">
        <v>4562</v>
      </c>
      <c r="M56" s="1634" t="s">
        <v>4562</v>
      </c>
      <c r="N56" s="1635">
        <f>диууАЗ</f>
        <v>0</v>
      </c>
    </row>
    <row r="57" spans="1:14" ht="15.75" thickBot="1" x14ac:dyDescent="0.3">
      <c r="J57" s="1950"/>
      <c r="K57" s="1555">
        <f t="shared" si="27"/>
        <v>56</v>
      </c>
      <c r="L57" s="1630" t="s">
        <v>4563</v>
      </c>
      <c r="M57" s="1636" t="s">
        <v>4563</v>
      </c>
      <c r="N57" s="1637">
        <f>диууОЗ</f>
        <v>0</v>
      </c>
    </row>
    <row r="58" spans="1:14" ht="15.75" thickBot="1" x14ac:dyDescent="0.3">
      <c r="A58" s="22" t="s">
        <v>91</v>
      </c>
      <c r="B58" s="101" t="s">
        <v>310</v>
      </c>
      <c r="J58" s="1950"/>
      <c r="K58" s="1556">
        <f t="shared" si="27"/>
        <v>57</v>
      </c>
      <c r="L58" s="1181" t="s">
        <v>854</v>
      </c>
      <c r="M58" s="1560" t="s">
        <v>854</v>
      </c>
      <c r="N58" s="1557">
        <f>оксАЗ</f>
        <v>0</v>
      </c>
    </row>
    <row r="59" spans="1:14" ht="15.75" thickBot="1" x14ac:dyDescent="0.3">
      <c r="A59" s="12" t="s">
        <v>84</v>
      </c>
      <c r="B59" s="7">
        <v>1</v>
      </c>
      <c r="J59" s="1953"/>
      <c r="K59" s="1556">
        <f t="shared" si="27"/>
        <v>58</v>
      </c>
      <c r="L59" s="1149" t="s">
        <v>853</v>
      </c>
      <c r="M59" s="1558" t="s">
        <v>853</v>
      </c>
      <c r="N59" s="1559">
        <f>оксОЗ</f>
        <v>0</v>
      </c>
    </row>
    <row r="60" spans="1:14" x14ac:dyDescent="0.25">
      <c r="A60" s="12" t="s">
        <v>83</v>
      </c>
      <c r="B60" s="7">
        <v>1.5</v>
      </c>
    </row>
    <row r="61" spans="1:14" x14ac:dyDescent="0.25">
      <c r="A61" s="12" t="s">
        <v>203</v>
      </c>
      <c r="B61" s="7">
        <v>1</v>
      </c>
    </row>
    <row r="62" spans="1:14" x14ac:dyDescent="0.25">
      <c r="A62" s="102"/>
    </row>
    <row r="63" spans="1:14" x14ac:dyDescent="0.25">
      <c r="A63" s="22" t="s">
        <v>92</v>
      </c>
      <c r="B63" s="101" t="s">
        <v>310</v>
      </c>
    </row>
    <row r="64" spans="1:14" x14ac:dyDescent="0.25">
      <c r="A64" s="12" t="s">
        <v>85</v>
      </c>
      <c r="B64" s="12"/>
    </row>
    <row r="65" spans="1:2" x14ac:dyDescent="0.25">
      <c r="A65" s="12" t="s">
        <v>86</v>
      </c>
      <c r="B65" s="12"/>
    </row>
    <row r="66" spans="1:2" x14ac:dyDescent="0.25">
      <c r="A66" s="12" t="s">
        <v>87</v>
      </c>
      <c r="B66" s="12"/>
    </row>
    <row r="67" spans="1:2" x14ac:dyDescent="0.25">
      <c r="A67" s="12" t="s">
        <v>89</v>
      </c>
      <c r="B67" s="12"/>
    </row>
    <row r="69" spans="1:2" x14ac:dyDescent="0.25">
      <c r="A69" s="436" t="s">
        <v>94</v>
      </c>
      <c r="B69" s="1183" t="s">
        <v>310</v>
      </c>
    </row>
    <row r="70" spans="1:2" x14ac:dyDescent="0.25">
      <c r="A70" s="1184">
        <v>5</v>
      </c>
      <c r="B70" s="837">
        <v>0.8</v>
      </c>
    </row>
    <row r="71" spans="1:2" x14ac:dyDescent="0.25">
      <c r="A71" s="1184">
        <v>4</v>
      </c>
      <c r="B71" s="837">
        <v>0.6</v>
      </c>
    </row>
    <row r="72" spans="1:2" x14ac:dyDescent="0.25">
      <c r="A72" s="1184">
        <v>3</v>
      </c>
      <c r="B72" s="837">
        <v>0.5</v>
      </c>
    </row>
    <row r="73" spans="1:2" x14ac:dyDescent="0.25">
      <c r="A73" s="1184">
        <v>2</v>
      </c>
      <c r="B73" s="837">
        <v>0.3</v>
      </c>
    </row>
    <row r="74" spans="1:2" x14ac:dyDescent="0.25">
      <c r="A74" s="1185">
        <v>1</v>
      </c>
      <c r="B74" s="838">
        <v>0.2</v>
      </c>
    </row>
    <row r="75" spans="1:2" x14ac:dyDescent="0.25">
      <c r="A75" s="1185">
        <v>0</v>
      </c>
      <c r="B75" s="838">
        <v>0</v>
      </c>
    </row>
    <row r="77" spans="1:2" x14ac:dyDescent="0.25">
      <c r="A77" s="436" t="s">
        <v>93</v>
      </c>
      <c r="B77" s="1183" t="s">
        <v>310</v>
      </c>
    </row>
    <row r="78" spans="1:2" x14ac:dyDescent="0.25">
      <c r="A78" s="6" t="s">
        <v>88</v>
      </c>
      <c r="B78" s="8">
        <f>Coef!B6</f>
        <v>0.6</v>
      </c>
    </row>
    <row r="79" spans="1:2" x14ac:dyDescent="0.25">
      <c r="A79" s="9" t="s">
        <v>178</v>
      </c>
      <c r="B79" s="11">
        <f>Coef!B7</f>
        <v>0.3</v>
      </c>
    </row>
    <row r="81" spans="1:3" x14ac:dyDescent="0.25">
      <c r="A81" s="438" t="s">
        <v>58</v>
      </c>
      <c r="B81" s="439" t="s">
        <v>59</v>
      </c>
      <c r="C81" s="440" t="s">
        <v>629</v>
      </c>
    </row>
    <row r="82" spans="1:3" ht="32.25" customHeight="1" x14ac:dyDescent="0.25">
      <c r="A82" s="27" t="s">
        <v>60</v>
      </c>
      <c r="B82" s="61" t="s">
        <v>156</v>
      </c>
      <c r="C82" s="437">
        <v>0</v>
      </c>
    </row>
    <row r="83" spans="1:3" ht="30" x14ac:dyDescent="0.25">
      <c r="A83" s="27" t="s">
        <v>61</v>
      </c>
      <c r="B83" s="61" t="s">
        <v>157</v>
      </c>
      <c r="C83" s="437">
        <v>0.75</v>
      </c>
    </row>
    <row r="84" spans="1:3" ht="30" x14ac:dyDescent="0.25">
      <c r="A84" s="27" t="s">
        <v>62</v>
      </c>
      <c r="B84" s="61" t="s">
        <v>158</v>
      </c>
      <c r="C84" s="437">
        <v>0.5</v>
      </c>
    </row>
    <row r="85" spans="1:3" ht="30" x14ac:dyDescent="0.25">
      <c r="A85" s="27" t="s">
        <v>63</v>
      </c>
      <c r="B85" s="61" t="s">
        <v>159</v>
      </c>
      <c r="C85" s="437">
        <v>0.4</v>
      </c>
    </row>
    <row r="86" spans="1:3" ht="30" x14ac:dyDescent="0.25">
      <c r="A86" s="27" t="s">
        <v>64</v>
      </c>
      <c r="B86" s="61" t="s">
        <v>160</v>
      </c>
      <c r="C86" s="437">
        <v>0.25</v>
      </c>
    </row>
    <row r="87" spans="1:3" x14ac:dyDescent="0.25">
      <c r="A87" s="28" t="s">
        <v>65</v>
      </c>
      <c r="B87" s="62" t="s">
        <v>156</v>
      </c>
      <c r="C87" s="437">
        <v>0</v>
      </c>
    </row>
    <row r="89" spans="1:3" ht="15.75" thickBot="1" x14ac:dyDescent="0.3"/>
    <row r="90" spans="1:3" ht="15.75" thickBot="1" x14ac:dyDescent="0.3">
      <c r="A90" s="57" t="s">
        <v>136</v>
      </c>
      <c r="C90" s="57" t="s">
        <v>133</v>
      </c>
    </row>
    <row r="91" spans="1:3" x14ac:dyDescent="0.25">
      <c r="A91" s="58" t="s">
        <v>137</v>
      </c>
      <c r="C91" s="58" t="s">
        <v>138</v>
      </c>
    </row>
    <row r="92" spans="1:3" x14ac:dyDescent="0.25">
      <c r="A92" s="54" t="s">
        <v>658</v>
      </c>
      <c r="C92" s="54" t="s">
        <v>139</v>
      </c>
    </row>
    <row r="93" spans="1:3" ht="15.75" thickBot="1" x14ac:dyDescent="0.3">
      <c r="A93" s="55" t="s">
        <v>167</v>
      </c>
      <c r="C93" s="55" t="s">
        <v>140</v>
      </c>
    </row>
    <row r="94" spans="1:3" ht="15.75" thickBot="1" x14ac:dyDescent="0.3"/>
    <row r="95" spans="1:3" ht="15.75" thickBot="1" x14ac:dyDescent="0.3">
      <c r="A95" s="57" t="s">
        <v>135</v>
      </c>
    </row>
    <row r="96" spans="1:3" x14ac:dyDescent="0.25">
      <c r="A96" s="56" t="s">
        <v>147</v>
      </c>
    </row>
    <row r="97" spans="1:3" ht="15.75" thickBot="1" x14ac:dyDescent="0.3">
      <c r="A97" s="55" t="s">
        <v>148</v>
      </c>
    </row>
    <row r="100" spans="1:3" x14ac:dyDescent="0.25">
      <c r="A100" s="75" t="s">
        <v>207</v>
      </c>
      <c r="B100" s="75" t="s">
        <v>211</v>
      </c>
      <c r="C100" s="82" t="s">
        <v>130</v>
      </c>
    </row>
    <row r="101" spans="1:3" ht="16.5" x14ac:dyDescent="0.25">
      <c r="A101" s="74" t="s">
        <v>212</v>
      </c>
      <c r="B101" s="74" t="s">
        <v>215</v>
      </c>
      <c r="C101" s="80"/>
    </row>
    <row r="102" spans="1:3" ht="16.5" x14ac:dyDescent="0.25">
      <c r="A102" s="74" t="s">
        <v>213</v>
      </c>
      <c r="B102" s="74" t="s">
        <v>216</v>
      </c>
      <c r="C102" s="79"/>
    </row>
    <row r="103" spans="1:3" ht="16.5" x14ac:dyDescent="0.25">
      <c r="A103" s="76" t="s">
        <v>214</v>
      </c>
      <c r="B103" s="76" t="s">
        <v>217</v>
      </c>
      <c r="C103" s="79"/>
    </row>
    <row r="104" spans="1:3" ht="16.5" x14ac:dyDescent="0.25">
      <c r="A104" s="76" t="s">
        <v>218</v>
      </c>
      <c r="B104" s="76" t="s">
        <v>222</v>
      </c>
      <c r="C104" s="79"/>
    </row>
    <row r="105" spans="1:3" ht="16.5" x14ac:dyDescent="0.25">
      <c r="A105" s="76" t="s">
        <v>219</v>
      </c>
      <c r="B105" s="76" t="s">
        <v>223</v>
      </c>
      <c r="C105" s="79"/>
    </row>
    <row r="106" spans="1:3" ht="16.5" x14ac:dyDescent="0.25">
      <c r="A106" s="76" t="s">
        <v>220</v>
      </c>
      <c r="B106" s="76" t="s">
        <v>224</v>
      </c>
      <c r="C106" s="79"/>
    </row>
    <row r="107" spans="1:3" ht="16.5" x14ac:dyDescent="0.25">
      <c r="A107" s="76" t="s">
        <v>221</v>
      </c>
      <c r="B107" s="76" t="s">
        <v>225</v>
      </c>
      <c r="C107" s="79"/>
    </row>
    <row r="108" spans="1:3" ht="16.5" x14ac:dyDescent="0.25">
      <c r="A108" s="76" t="s">
        <v>226</v>
      </c>
      <c r="B108" s="76" t="s">
        <v>235</v>
      </c>
      <c r="C108" s="79"/>
    </row>
    <row r="109" spans="1:3" ht="16.5" x14ac:dyDescent="0.25">
      <c r="A109" s="76" t="s">
        <v>227</v>
      </c>
      <c r="B109" s="76" t="s">
        <v>236</v>
      </c>
      <c r="C109" s="79"/>
    </row>
    <row r="110" spans="1:3" ht="16.5" x14ac:dyDescent="0.25">
      <c r="A110" s="76" t="s">
        <v>228</v>
      </c>
      <c r="B110" s="76" t="s">
        <v>237</v>
      </c>
      <c r="C110" s="79"/>
    </row>
    <row r="111" spans="1:3" ht="16.5" x14ac:dyDescent="0.25">
      <c r="A111" s="76" t="s">
        <v>229</v>
      </c>
      <c r="B111" s="76" t="s">
        <v>238</v>
      </c>
      <c r="C111" s="79"/>
    </row>
    <row r="112" spans="1:3" ht="16.5" x14ac:dyDescent="0.25">
      <c r="A112" s="76" t="s">
        <v>230</v>
      </c>
      <c r="B112" s="76" t="s">
        <v>239</v>
      </c>
      <c r="C112" s="79"/>
    </row>
    <row r="113" spans="1:3" ht="16.5" x14ac:dyDescent="0.25">
      <c r="A113" s="76" t="s">
        <v>231</v>
      </c>
      <c r="B113" s="76" t="s">
        <v>240</v>
      </c>
      <c r="C113" s="79"/>
    </row>
    <row r="114" spans="1:3" ht="16.5" x14ac:dyDescent="0.25">
      <c r="A114" s="76" t="s">
        <v>232</v>
      </c>
      <c r="B114" s="76" t="s">
        <v>241</v>
      </c>
      <c r="C114" s="79"/>
    </row>
    <row r="115" spans="1:3" ht="16.5" x14ac:dyDescent="0.25">
      <c r="A115" s="76" t="s">
        <v>233</v>
      </c>
      <c r="B115" s="76" t="s">
        <v>242</v>
      </c>
      <c r="C115" s="79"/>
    </row>
    <row r="116" spans="1:3" ht="16.5" x14ac:dyDescent="0.25">
      <c r="A116" s="76" t="s">
        <v>234</v>
      </c>
      <c r="B116" s="76" t="s">
        <v>243</v>
      </c>
      <c r="C116" s="79"/>
    </row>
    <row r="117" spans="1:3" ht="16.5" x14ac:dyDescent="0.25">
      <c r="A117" s="76" t="s">
        <v>244</v>
      </c>
      <c r="B117" s="76" t="s">
        <v>250</v>
      </c>
      <c r="C117" s="79"/>
    </row>
    <row r="118" spans="1:3" ht="16.5" x14ac:dyDescent="0.25">
      <c r="A118" s="76" t="s">
        <v>245</v>
      </c>
      <c r="B118" s="76" t="s">
        <v>251</v>
      </c>
      <c r="C118" s="79"/>
    </row>
    <row r="119" spans="1:3" ht="16.5" x14ac:dyDescent="0.25">
      <c r="A119" s="76" t="s">
        <v>246</v>
      </c>
      <c r="B119" s="76" t="s">
        <v>252</v>
      </c>
      <c r="C119" s="79"/>
    </row>
    <row r="120" spans="1:3" ht="16.5" x14ac:dyDescent="0.25">
      <c r="A120" s="76" t="s">
        <v>247</v>
      </c>
      <c r="B120" s="76" t="s">
        <v>253</v>
      </c>
      <c r="C120" s="79"/>
    </row>
    <row r="121" spans="1:3" ht="16.5" x14ac:dyDescent="0.25">
      <c r="A121" s="76" t="s">
        <v>248</v>
      </c>
      <c r="B121" s="76" t="s">
        <v>254</v>
      </c>
      <c r="C121" s="79"/>
    </row>
    <row r="122" spans="1:3" ht="16.5" x14ac:dyDescent="0.25">
      <c r="A122" s="76" t="s">
        <v>249</v>
      </c>
      <c r="B122" s="76" t="s">
        <v>255</v>
      </c>
      <c r="C122" s="79"/>
    </row>
    <row r="123" spans="1:3" ht="49.5" x14ac:dyDescent="0.25">
      <c r="A123" s="79" t="s">
        <v>288</v>
      </c>
      <c r="B123" s="79" t="s">
        <v>289</v>
      </c>
      <c r="C123" s="79" t="s">
        <v>290</v>
      </c>
    </row>
    <row r="124" spans="1:3" ht="16.5" x14ac:dyDescent="0.25">
      <c r="A124" s="76" t="s">
        <v>256</v>
      </c>
      <c r="B124" s="76" t="s">
        <v>265</v>
      </c>
      <c r="C124" s="79"/>
    </row>
    <row r="125" spans="1:3" ht="16.5" x14ac:dyDescent="0.25">
      <c r="A125" s="76" t="s">
        <v>257</v>
      </c>
      <c r="B125" s="77" t="s">
        <v>266</v>
      </c>
      <c r="C125" s="79"/>
    </row>
    <row r="126" spans="1:3" ht="16.5" x14ac:dyDescent="0.25">
      <c r="A126" s="76" t="s">
        <v>258</v>
      </c>
      <c r="B126" s="77" t="s">
        <v>267</v>
      </c>
      <c r="C126" s="79"/>
    </row>
    <row r="127" spans="1:3" ht="16.5" x14ac:dyDescent="0.25">
      <c r="A127" s="76" t="s">
        <v>259</v>
      </c>
      <c r="B127" s="77" t="s">
        <v>268</v>
      </c>
      <c r="C127" s="79"/>
    </row>
    <row r="128" spans="1:3" ht="16.5" x14ac:dyDescent="0.25">
      <c r="A128" s="76" t="s">
        <v>260</v>
      </c>
      <c r="B128" s="76" t="s">
        <v>269</v>
      </c>
      <c r="C128" s="79"/>
    </row>
    <row r="129" spans="1:3" ht="16.5" x14ac:dyDescent="0.25">
      <c r="A129" s="76" t="s">
        <v>261</v>
      </c>
      <c r="B129" s="76" t="s">
        <v>270</v>
      </c>
      <c r="C129" s="79"/>
    </row>
    <row r="130" spans="1:3" ht="16.5" x14ac:dyDescent="0.25">
      <c r="A130" s="76" t="s">
        <v>262</v>
      </c>
      <c r="B130" s="76" t="s">
        <v>271</v>
      </c>
      <c r="C130" s="79"/>
    </row>
    <row r="131" spans="1:3" ht="16.5" x14ac:dyDescent="0.25">
      <c r="A131" s="76" t="s">
        <v>263</v>
      </c>
      <c r="B131" s="76" t="s">
        <v>272</v>
      </c>
      <c r="C131" s="79"/>
    </row>
    <row r="132" spans="1:3" ht="16.5" x14ac:dyDescent="0.25">
      <c r="A132" s="76" t="s">
        <v>264</v>
      </c>
      <c r="B132" s="76" t="s">
        <v>273</v>
      </c>
      <c r="C132" s="79"/>
    </row>
    <row r="133" spans="1:3" ht="16.5" x14ac:dyDescent="0.25">
      <c r="A133" s="76" t="s">
        <v>274</v>
      </c>
      <c r="B133" s="76" t="s">
        <v>279</v>
      </c>
      <c r="C133" s="79"/>
    </row>
    <row r="134" spans="1:3" ht="16.5" x14ac:dyDescent="0.25">
      <c r="A134" s="76" t="s">
        <v>275</v>
      </c>
      <c r="B134" s="76" t="s">
        <v>280</v>
      </c>
      <c r="C134" s="79"/>
    </row>
    <row r="135" spans="1:3" ht="16.5" x14ac:dyDescent="0.25">
      <c r="A135" s="76" t="s">
        <v>276</v>
      </c>
      <c r="B135" s="76" t="s">
        <v>281</v>
      </c>
      <c r="C135" s="79"/>
    </row>
    <row r="136" spans="1:3" ht="16.5" x14ac:dyDescent="0.25">
      <c r="A136" s="76" t="s">
        <v>277</v>
      </c>
      <c r="B136" s="76" t="s">
        <v>282</v>
      </c>
      <c r="C136" s="79"/>
    </row>
    <row r="137" spans="1:3" ht="16.5" x14ac:dyDescent="0.25">
      <c r="A137" s="76" t="s">
        <v>278</v>
      </c>
      <c r="B137" s="76" t="s">
        <v>283</v>
      </c>
      <c r="C137" s="79"/>
    </row>
    <row r="138" spans="1:3" ht="16.5" x14ac:dyDescent="0.25">
      <c r="A138" s="76" t="s">
        <v>284</v>
      </c>
      <c r="B138" s="76" t="s">
        <v>286</v>
      </c>
      <c r="C138" s="79"/>
    </row>
    <row r="139" spans="1:3" ht="16.5" x14ac:dyDescent="0.25">
      <c r="A139" s="78" t="s">
        <v>285</v>
      </c>
      <c r="B139" s="78" t="s">
        <v>287</v>
      </c>
      <c r="C139" s="81"/>
    </row>
  </sheetData>
  <mergeCells count="10">
    <mergeCell ref="CJ3:CO4"/>
    <mergeCell ref="CP3:CR4"/>
    <mergeCell ref="CS3:DC3"/>
    <mergeCell ref="CS4:CX4"/>
    <mergeCell ref="CY4:DC4"/>
    <mergeCell ref="CB3:CH4"/>
    <mergeCell ref="CI3:CI4"/>
    <mergeCell ref="J2:J20"/>
    <mergeCell ref="J21:J33"/>
    <mergeCell ref="J34:J59"/>
  </mergeCells>
  <phoneticPr fontId="129" type="noConversion"/>
  <conditionalFormatting sqref="L2:L59">
    <cfRule type="duplicateValues" dxfId="94" priority="82"/>
  </conditionalFormatting>
  <conditionalFormatting sqref="L13:L16">
    <cfRule type="duplicateValues" dxfId="93" priority="3"/>
  </conditionalFormatting>
  <conditionalFormatting sqref="BQ7:BR7 CB7">
    <cfRule type="duplicateValues" dxfId="92" priority="5"/>
  </conditionalFormatting>
  <pageMargins left="0.7" right="0.7" top="0.75" bottom="0.75" header="0.3" footer="0.3"/>
  <pageSetup orientation="portrait" r:id="rId1"/>
  <ignoredErrors>
    <ignoredError sqref="M48:M51 CT35:CZ36 CU33:CZ34 CT6:CZ32 DB6:DC36 M44:M45 M17:M37 M2:M8" calculatedColumn="1"/>
  </ignoredError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pageSetUpPr fitToPage="1"/>
  </sheetPr>
  <dimension ref="B1:AT155"/>
  <sheetViews>
    <sheetView showGridLines="0" showRowColHeaders="0" topLeftCell="A25" zoomScale="90" zoomScaleNormal="90" workbookViewId="0">
      <selection activeCell="N31" sqref="N31"/>
    </sheetView>
  </sheetViews>
  <sheetFormatPr defaultColWidth="9.140625" defaultRowHeight="16.5" x14ac:dyDescent="0.3"/>
  <cols>
    <col min="1" max="1" width="2.28515625" style="36" customWidth="1"/>
    <col min="2" max="2" width="11.7109375" style="49" hidden="1" customWidth="1"/>
    <col min="3" max="4" width="11.7109375" style="36" hidden="1" customWidth="1"/>
    <col min="5" max="5" width="9.5703125" style="36" hidden="1" customWidth="1"/>
    <col min="6" max="6" width="6.5703125" style="36" hidden="1" customWidth="1"/>
    <col min="7" max="7" width="9.85546875" style="36" hidden="1" customWidth="1"/>
    <col min="8" max="8" width="10.140625" style="36" hidden="1" customWidth="1"/>
    <col min="9" max="9" width="10.28515625" style="36" hidden="1" customWidth="1"/>
    <col min="10" max="10" width="9.42578125" style="36" hidden="1" customWidth="1"/>
    <col min="11" max="11" width="13" style="36" hidden="1" customWidth="1"/>
    <col min="12" max="12" width="9.85546875" style="36" hidden="1" customWidth="1"/>
    <col min="13" max="13" width="7.85546875" style="36" hidden="1" customWidth="1"/>
    <col min="14" max="14" width="43.140625" style="36" customWidth="1"/>
    <col min="15" max="15" width="24.5703125" style="36" customWidth="1"/>
    <col min="16" max="16" width="15.7109375" style="36" customWidth="1"/>
    <col min="17" max="17" width="13.28515625" style="36" customWidth="1"/>
    <col min="18" max="18" width="10.42578125" style="36" customWidth="1"/>
    <col min="19" max="20" width="10.85546875" style="36" customWidth="1"/>
    <col min="21" max="21" width="21" style="36" customWidth="1"/>
    <col min="22" max="22" width="12.85546875" style="36" customWidth="1"/>
    <col min="23" max="23" width="10" style="36" customWidth="1"/>
    <col min="24" max="24" width="11.42578125" style="36" bestFit="1" customWidth="1"/>
    <col min="25" max="25" width="11" style="36" customWidth="1"/>
    <col min="26" max="26" width="9.140625" style="36"/>
    <col min="27" max="27" width="8.42578125" style="36" customWidth="1"/>
    <col min="28" max="28" width="7.85546875" style="36" customWidth="1"/>
    <col min="29" max="29" width="12.7109375" style="234" hidden="1" customWidth="1"/>
    <col min="30" max="30" width="61.28515625" style="234" hidden="1" customWidth="1"/>
    <col min="31" max="31" width="58.85546875" style="234" hidden="1" customWidth="1"/>
    <col min="32" max="32" width="36.85546875" style="234" hidden="1" customWidth="1"/>
    <col min="33" max="33" width="62.42578125" style="234" hidden="1" customWidth="1"/>
    <col min="34" max="34" width="11.140625" style="234" hidden="1" customWidth="1"/>
    <col min="35" max="35" width="79.28515625" style="234" hidden="1" customWidth="1"/>
    <col min="36" max="36" width="7.85546875" style="234" hidden="1" customWidth="1"/>
    <col min="37" max="46" width="3.42578125" style="234" hidden="1" customWidth="1"/>
    <col min="47" max="16384" width="9.140625" style="36"/>
  </cols>
  <sheetData>
    <row r="1" spans="2:46" x14ac:dyDescent="0.3">
      <c r="N1" s="2616" t="str">
        <f>ПЕРИОД!D12</f>
        <v>Факултет / катедра / акад. длъж.,  Преподавател</v>
      </c>
      <c r="O1" s="2616"/>
      <c r="P1" s="2616"/>
      <c r="Q1" s="2616"/>
      <c r="R1" s="2616"/>
      <c r="S1" s="2616"/>
      <c r="T1" s="2616"/>
      <c r="U1" s="2616"/>
      <c r="V1" s="2616"/>
      <c r="W1" s="2616"/>
      <c r="X1" s="2616"/>
      <c r="Y1" s="2616"/>
      <c r="Z1" s="2616"/>
      <c r="AA1" s="2616"/>
      <c r="AB1" s="2616"/>
    </row>
    <row r="2" spans="2:46" ht="18.75" x14ac:dyDescent="0.3">
      <c r="N2" s="2617" t="str">
        <f>ПЕРИОД!D17&amp;", ОКС ""бакалавър"" и ОКС ""магистър"" след средно образование"</f>
        <v>Индивидуален отчет, ОКС "бакалавър" и ОКС "магистър" след средно образование</v>
      </c>
      <c r="O2" s="2617"/>
      <c r="P2" s="2617"/>
      <c r="Q2" s="2617"/>
      <c r="R2" s="2617"/>
      <c r="S2" s="2617"/>
      <c r="T2" s="2617"/>
      <c r="U2" s="2617"/>
      <c r="V2" s="2617"/>
      <c r="W2" s="2617"/>
      <c r="X2" s="2617"/>
      <c r="Y2" s="2617"/>
      <c r="Z2" s="2617"/>
      <c r="AA2" s="2617"/>
      <c r="AB2" s="2617"/>
    </row>
    <row r="3" spans="2:46" ht="21" customHeight="1" x14ac:dyDescent="0.3">
      <c r="N3" s="2618" t="s">
        <v>117</v>
      </c>
      <c r="O3" s="2618"/>
      <c r="P3" s="2618"/>
      <c r="Q3" s="2618"/>
      <c r="R3" s="2618"/>
      <c r="S3" s="2618"/>
      <c r="T3" s="2618"/>
      <c r="U3" s="2618"/>
      <c r="V3" s="2618"/>
      <c r="W3" s="2618"/>
      <c r="X3" s="2618"/>
      <c r="Y3" s="2618"/>
      <c r="Z3" s="2618"/>
      <c r="AA3" s="2618"/>
      <c r="AB3" s="2618"/>
    </row>
    <row r="4" spans="2:46" ht="9" customHeight="1" thickBot="1" x14ac:dyDescent="0.35"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2:46" ht="30" customHeight="1" thickBot="1" x14ac:dyDescent="0.35">
      <c r="N5" s="689" t="s">
        <v>1</v>
      </c>
      <c r="O5" s="690" t="s">
        <v>116</v>
      </c>
      <c r="P5" s="691" t="s">
        <v>113</v>
      </c>
      <c r="Q5" s="2631" t="s">
        <v>114</v>
      </c>
      <c r="R5" s="2631"/>
      <c r="S5" s="2631" t="s">
        <v>115</v>
      </c>
      <c r="T5" s="2631"/>
      <c r="U5" s="691" t="s">
        <v>68</v>
      </c>
      <c r="V5" s="2632" t="s">
        <v>69</v>
      </c>
      <c r="W5" s="2632"/>
      <c r="X5" s="2633" t="s">
        <v>149</v>
      </c>
      <c r="Y5" s="2633"/>
      <c r="Z5" s="2632" t="s">
        <v>112</v>
      </c>
      <c r="AA5" s="2632"/>
      <c r="AB5" s="692" t="s">
        <v>118</v>
      </c>
    </row>
    <row r="6" spans="2:46" ht="9.75" customHeight="1" thickBot="1" x14ac:dyDescent="0.35">
      <c r="N6" s="87"/>
      <c r="O6" s="88"/>
      <c r="P6" s="88"/>
      <c r="Q6" s="88"/>
      <c r="R6" s="88"/>
      <c r="S6" s="37"/>
      <c r="T6" s="88"/>
      <c r="U6" s="88"/>
      <c r="V6" s="88"/>
      <c r="W6" s="37"/>
      <c r="X6" s="37"/>
      <c r="Y6" s="88"/>
      <c r="Z6" s="37"/>
      <c r="AA6" s="37"/>
      <c r="AB6" s="88"/>
    </row>
    <row r="7" spans="2:46" ht="30" customHeight="1" x14ac:dyDescent="0.3">
      <c r="N7" s="2628" t="s">
        <v>111</v>
      </c>
      <c r="O7" s="2629"/>
      <c r="P7" s="2629"/>
      <c r="Q7" s="2629"/>
      <c r="R7" s="2629"/>
      <c r="S7" s="2629"/>
      <c r="T7" s="2629"/>
      <c r="U7" s="2629"/>
      <c r="V7" s="2629"/>
      <c r="W7" s="2629"/>
      <c r="X7" s="2629"/>
      <c r="Y7" s="2629"/>
      <c r="Z7" s="2629"/>
      <c r="AA7" s="2629"/>
      <c r="AB7" s="2630"/>
    </row>
    <row r="8" spans="2:46" s="38" customFormat="1" x14ac:dyDescent="0.25">
      <c r="B8" s="49"/>
      <c r="N8" s="2625" t="s">
        <v>475</v>
      </c>
      <c r="O8" s="2626"/>
      <c r="P8" s="2626"/>
      <c r="Q8" s="2626"/>
      <c r="R8" s="2626"/>
      <c r="S8" s="2626"/>
      <c r="T8" s="2626"/>
      <c r="U8" s="2626"/>
      <c r="V8" s="2626"/>
      <c r="W8" s="2626"/>
      <c r="X8" s="2626"/>
      <c r="Y8" s="2626"/>
      <c r="Z8" s="2626"/>
      <c r="AA8" s="2626"/>
      <c r="AB8" s="2627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</row>
    <row r="9" spans="2:46" s="38" customFormat="1" ht="66.75" customHeight="1" x14ac:dyDescent="0.25">
      <c r="B9" s="49"/>
      <c r="N9" s="2622" t="s">
        <v>668</v>
      </c>
      <c r="O9" s="2623"/>
      <c r="P9" s="2623"/>
      <c r="Q9" s="2623"/>
      <c r="R9" s="2623"/>
      <c r="S9" s="2623"/>
      <c r="T9" s="2623"/>
      <c r="U9" s="2623"/>
      <c r="V9" s="2623"/>
      <c r="W9" s="2623"/>
      <c r="X9" s="2623"/>
      <c r="Y9" s="2623"/>
      <c r="Z9" s="2623"/>
      <c r="AA9" s="2623"/>
      <c r="AB9" s="2624"/>
      <c r="AC9" s="1740"/>
      <c r="AD9" s="1740"/>
      <c r="AE9" s="1740"/>
      <c r="AF9" s="1740"/>
      <c r="AG9" s="1740"/>
      <c r="AH9" s="1740"/>
      <c r="AI9" s="1740"/>
      <c r="AJ9" s="1740"/>
      <c r="AK9" s="1740"/>
      <c r="AL9" s="1740"/>
      <c r="AM9" s="1740"/>
      <c r="AN9" s="1740"/>
      <c r="AO9" s="1740"/>
      <c r="AP9" s="1740"/>
      <c r="AQ9" s="1740"/>
      <c r="AR9" s="1740"/>
      <c r="AS9" s="1740"/>
      <c r="AT9" s="1740"/>
    </row>
    <row r="10" spans="2:46" s="38" customFormat="1" ht="39" customHeight="1" x14ac:dyDescent="0.25">
      <c r="B10" s="49"/>
      <c r="N10" s="2622" t="s">
        <v>669</v>
      </c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4"/>
      <c r="AC10" s="1740"/>
      <c r="AD10" s="1740"/>
      <c r="AE10" s="1740"/>
      <c r="AF10" s="1740"/>
      <c r="AG10" s="1740"/>
      <c r="AH10" s="1740"/>
      <c r="AI10" s="1740"/>
      <c r="AJ10" s="1740"/>
      <c r="AK10" s="1740"/>
      <c r="AL10" s="1740"/>
      <c r="AM10" s="1740"/>
      <c r="AN10" s="1740"/>
      <c r="AO10" s="1740"/>
      <c r="AP10" s="1740"/>
      <c r="AQ10" s="1740"/>
      <c r="AR10" s="1740"/>
      <c r="AS10" s="1740"/>
      <c r="AT10" s="1740"/>
    </row>
    <row r="11" spans="2:46" ht="33.75" customHeight="1" x14ac:dyDescent="0.3">
      <c r="N11" s="2625" t="s">
        <v>491</v>
      </c>
      <c r="O11" s="2626"/>
      <c r="P11" s="2626"/>
      <c r="Q11" s="2626"/>
      <c r="R11" s="2626"/>
      <c r="S11" s="2626"/>
      <c r="T11" s="2626"/>
      <c r="U11" s="2626"/>
      <c r="V11" s="2626"/>
      <c r="W11" s="2626"/>
      <c r="X11" s="2626"/>
      <c r="Y11" s="2626"/>
      <c r="Z11" s="2626"/>
      <c r="AA11" s="2626"/>
      <c r="AB11" s="2627"/>
    </row>
    <row r="12" spans="2:46" ht="20.25" customHeight="1" x14ac:dyDescent="0.3">
      <c r="N12" s="2625" t="s">
        <v>516</v>
      </c>
      <c r="O12" s="2626"/>
      <c r="P12" s="2626"/>
      <c r="Q12" s="2626"/>
      <c r="R12" s="2626"/>
      <c r="S12" s="2626"/>
      <c r="T12" s="2626"/>
      <c r="U12" s="2626"/>
      <c r="V12" s="2626"/>
      <c r="W12" s="2626"/>
      <c r="X12" s="2626"/>
      <c r="Y12" s="2626"/>
      <c r="Z12" s="2626"/>
      <c r="AA12" s="2626"/>
      <c r="AB12" s="2627"/>
    </row>
    <row r="13" spans="2:46" x14ac:dyDescent="0.3">
      <c r="N13" s="2625" t="s">
        <v>645</v>
      </c>
      <c r="O13" s="2626"/>
      <c r="P13" s="2626"/>
      <c r="Q13" s="2626"/>
      <c r="R13" s="2626"/>
      <c r="S13" s="2626"/>
      <c r="T13" s="2626"/>
      <c r="U13" s="2626"/>
      <c r="V13" s="2626"/>
      <c r="W13" s="2626"/>
      <c r="X13" s="2626"/>
      <c r="Y13" s="2626"/>
      <c r="Z13" s="2626"/>
      <c r="AA13" s="2626"/>
      <c r="AB13" s="2627"/>
    </row>
    <row r="14" spans="2:46" x14ac:dyDescent="0.3">
      <c r="N14" s="2625" t="s">
        <v>670</v>
      </c>
      <c r="O14" s="2626"/>
      <c r="P14" s="2626"/>
      <c r="Q14" s="2626"/>
      <c r="R14" s="2626"/>
      <c r="S14" s="2626"/>
      <c r="T14" s="2626"/>
      <c r="U14" s="2626"/>
      <c r="V14" s="2626"/>
      <c r="W14" s="2626"/>
      <c r="X14" s="2626"/>
      <c r="Y14" s="2626"/>
      <c r="Z14" s="2626"/>
      <c r="AA14" s="2626"/>
      <c r="AB14" s="2627"/>
    </row>
    <row r="15" spans="2:46" hidden="1" x14ac:dyDescent="0.3">
      <c r="N15" s="2619" t="s">
        <v>513</v>
      </c>
      <c r="O15" s="2620"/>
      <c r="P15" s="2620"/>
      <c r="Q15" s="2620"/>
      <c r="R15" s="2620"/>
      <c r="S15" s="2620"/>
      <c r="T15" s="2620"/>
      <c r="U15" s="2620"/>
      <c r="V15" s="2620"/>
      <c r="W15" s="2620"/>
      <c r="X15" s="2620"/>
      <c r="Y15" s="2620"/>
      <c r="Z15" s="2620"/>
      <c r="AA15" s="2620"/>
      <c r="AB15" s="2621"/>
    </row>
    <row r="16" spans="2:46" x14ac:dyDescent="0.3">
      <c r="N16" s="2619" t="s">
        <v>676</v>
      </c>
      <c r="O16" s="2620"/>
      <c r="P16" s="2620"/>
      <c r="Q16" s="2620"/>
      <c r="R16" s="2620"/>
      <c r="S16" s="2620"/>
      <c r="T16" s="2620"/>
      <c r="U16" s="2620"/>
      <c r="V16" s="2620"/>
      <c r="W16" s="2620"/>
      <c r="X16" s="2620"/>
      <c r="Y16" s="2620"/>
      <c r="Z16" s="2620"/>
      <c r="AA16" s="2620"/>
      <c r="AB16" s="2621"/>
    </row>
    <row r="17" spans="2:46" ht="36.75" customHeight="1" x14ac:dyDescent="0.3">
      <c r="N17" s="2622" t="s">
        <v>644</v>
      </c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4"/>
    </row>
    <row r="18" spans="2:46" ht="21.75" customHeight="1" x14ac:dyDescent="0.3">
      <c r="N18" s="2622" t="s">
        <v>646</v>
      </c>
      <c r="O18" s="2623"/>
      <c r="P18" s="2623"/>
      <c r="Q18" s="2623"/>
      <c r="R18" s="2623"/>
      <c r="S18" s="2623"/>
      <c r="T18" s="2623"/>
      <c r="U18" s="2623"/>
      <c r="V18" s="2623"/>
      <c r="W18" s="2623"/>
      <c r="X18" s="2623"/>
      <c r="Y18" s="2623"/>
      <c r="Z18" s="2623"/>
      <c r="AA18" s="2623"/>
      <c r="AB18" s="2624"/>
    </row>
    <row r="19" spans="2:46" ht="20.25" customHeight="1" x14ac:dyDescent="0.3">
      <c r="N19" s="2622" t="s">
        <v>641</v>
      </c>
      <c r="O19" s="2623"/>
      <c r="P19" s="2623"/>
      <c r="Q19" s="2623"/>
      <c r="R19" s="2623"/>
      <c r="S19" s="2623"/>
      <c r="T19" s="2623"/>
      <c r="U19" s="2623"/>
      <c r="V19" s="2623"/>
      <c r="W19" s="2623"/>
      <c r="X19" s="2623"/>
      <c r="Y19" s="2623"/>
      <c r="Z19" s="2623"/>
      <c r="AA19" s="2623"/>
      <c r="AB19" s="2624"/>
    </row>
    <row r="20" spans="2:46" ht="19.5" customHeight="1" x14ac:dyDescent="0.3">
      <c r="N20" s="2622" t="s">
        <v>642</v>
      </c>
      <c r="O20" s="2623"/>
      <c r="P20" s="2623"/>
      <c r="Q20" s="2623"/>
      <c r="R20" s="2623"/>
      <c r="S20" s="2623"/>
      <c r="T20" s="2623"/>
      <c r="U20" s="2623"/>
      <c r="V20" s="2623"/>
      <c r="W20" s="2623"/>
      <c r="X20" s="2623"/>
      <c r="Y20" s="2623"/>
      <c r="Z20" s="2623"/>
      <c r="AA20" s="2623"/>
      <c r="AB20" s="2624"/>
    </row>
    <row r="21" spans="2:46" ht="36.75" customHeight="1" x14ac:dyDescent="0.3">
      <c r="N21" s="2622" t="s">
        <v>643</v>
      </c>
      <c r="O21" s="2623"/>
      <c r="P21" s="2623"/>
      <c r="Q21" s="2623"/>
      <c r="R21" s="2623"/>
      <c r="S21" s="2623"/>
      <c r="T21" s="2623"/>
      <c r="U21" s="2623"/>
      <c r="V21" s="2623"/>
      <c r="W21" s="2623"/>
      <c r="X21" s="2623"/>
      <c r="Y21" s="2623"/>
      <c r="Z21" s="2623"/>
      <c r="AA21" s="2623"/>
      <c r="AB21" s="2624"/>
    </row>
    <row r="22" spans="2:46" ht="36.75" customHeight="1" x14ac:dyDescent="0.3">
      <c r="N22" s="2622" t="s">
        <v>480</v>
      </c>
      <c r="O22" s="2623"/>
      <c r="P22" s="2623"/>
      <c r="Q22" s="2623"/>
      <c r="R22" s="2623"/>
      <c r="S22" s="2623"/>
      <c r="T22" s="2623"/>
      <c r="U22" s="2623"/>
      <c r="V22" s="2623"/>
      <c r="W22" s="2623"/>
      <c r="X22" s="2623"/>
      <c r="Y22" s="2623"/>
      <c r="Z22" s="2623"/>
      <c r="AA22" s="2623"/>
      <c r="AB22" s="2624"/>
    </row>
    <row r="23" spans="2:46" ht="36.75" customHeight="1" x14ac:dyDescent="0.3">
      <c r="N23" s="2622" t="s">
        <v>754</v>
      </c>
      <c r="O23" s="2623"/>
      <c r="P23" s="2623"/>
      <c r="Q23" s="2623"/>
      <c r="R23" s="2623"/>
      <c r="S23" s="2623"/>
      <c r="T23" s="2623"/>
      <c r="U23" s="2623"/>
      <c r="V23" s="2623"/>
      <c r="W23" s="2623"/>
      <c r="X23" s="2623"/>
      <c r="Y23" s="2623"/>
      <c r="Z23" s="2623"/>
      <c r="AA23" s="2623"/>
      <c r="AB23" s="2624"/>
    </row>
    <row r="24" spans="2:46" ht="87" customHeight="1" thickBot="1" x14ac:dyDescent="0.35">
      <c r="N24" s="2634" t="s">
        <v>1129</v>
      </c>
      <c r="O24" s="2635"/>
      <c r="P24" s="2635"/>
      <c r="Q24" s="2635"/>
      <c r="R24" s="2635"/>
      <c r="S24" s="2635"/>
      <c r="T24" s="2635"/>
      <c r="U24" s="2635"/>
      <c r="V24" s="2635"/>
      <c r="W24" s="2635"/>
      <c r="X24" s="2635"/>
      <c r="Y24" s="2635"/>
      <c r="Z24" s="2635"/>
      <c r="AA24" s="2635"/>
      <c r="AB24" s="2636"/>
    </row>
    <row r="25" spans="2:46" ht="9.9499999999999993" customHeight="1" x14ac:dyDescent="0.3">
      <c r="B25" s="183" t="s">
        <v>411</v>
      </c>
      <c r="L25" s="36" t="s">
        <v>406</v>
      </c>
      <c r="M25" s="36" t="b">
        <f>ПЕРИОД!D10="Зимен"</f>
        <v>0</v>
      </c>
    </row>
    <row r="26" spans="2:46" ht="26.25" x14ac:dyDescent="0.3">
      <c r="B26" s="176" t="s">
        <v>415</v>
      </c>
      <c r="M26" s="99" t="str">
        <f>IF(M25,1,"1.1")</f>
        <v>1.1</v>
      </c>
      <c r="N26" s="2594" t="str">
        <f>M26&amp;". ОКС ""бакалавър"" и ""магистър"" след средно образование – аудиторна заетост и изпитани студенти – ЗИМЕН семестър"</f>
        <v>1.1. ОКС "бакалавър" и "магистър" след средно образование – аудиторна заетост и изпитани студенти – ЗИМЕН семестър</v>
      </c>
      <c r="O26" s="2595"/>
      <c r="P26" s="2595"/>
      <c r="Q26" s="2595"/>
      <c r="R26" s="2595"/>
      <c r="S26" s="2595"/>
      <c r="T26" s="2595"/>
      <c r="U26" s="2595"/>
      <c r="V26" s="2595"/>
      <c r="W26" s="2595"/>
      <c r="X26" s="2595"/>
      <c r="Y26" s="2595"/>
      <c r="Z26" s="2595"/>
      <c r="AA26" s="2595"/>
      <c r="AB26" s="2596"/>
      <c r="AJ26" s="1741"/>
    </row>
    <row r="27" spans="2:46" ht="21" thickBot="1" x14ac:dyDescent="0.35">
      <c r="B27" s="106" t="s">
        <v>471</v>
      </c>
      <c r="N27" s="2651" t="s">
        <v>785</v>
      </c>
      <c r="O27" s="2652"/>
      <c r="P27" s="2652"/>
      <c r="Q27" s="2652"/>
      <c r="R27" s="2652"/>
      <c r="S27" s="2652"/>
      <c r="T27" s="2652"/>
      <c r="U27" s="2652"/>
      <c r="V27" s="2652"/>
      <c r="W27" s="2652"/>
      <c r="X27" s="2652"/>
      <c r="Y27" s="2652"/>
      <c r="Z27" s="2652"/>
      <c r="AA27" s="2652"/>
      <c r="AB27" s="2653"/>
      <c r="AJ27" s="1741"/>
    </row>
    <row r="28" spans="2:46" ht="20.100000000000001" customHeight="1" thickBot="1" x14ac:dyDescent="0.35">
      <c r="B28" s="106" t="s">
        <v>413</v>
      </c>
      <c r="C28" s="99"/>
      <c r="D28" s="99"/>
      <c r="E28" s="99"/>
      <c r="F28" s="99"/>
      <c r="G28" s="99"/>
      <c r="H28" s="99"/>
      <c r="I28" s="99"/>
      <c r="J28" s="99"/>
      <c r="L28" s="99"/>
      <c r="M28" s="99"/>
      <c r="N28" s="2584" t="s">
        <v>16</v>
      </c>
      <c r="O28" s="2575" t="s">
        <v>467</v>
      </c>
      <c r="P28" s="2592" t="s">
        <v>18</v>
      </c>
      <c r="Q28" s="2584" t="s">
        <v>19</v>
      </c>
      <c r="R28" s="2575" t="s">
        <v>20</v>
      </c>
      <c r="S28" s="2575" t="s">
        <v>562</v>
      </c>
      <c r="T28" s="2587" t="s">
        <v>502</v>
      </c>
      <c r="U28" s="2590" t="str">
        <f>IF(ПЕРИОД!D10="План","Възложени часове","Проведени часове")</f>
        <v>Проведени часове</v>
      </c>
      <c r="V28" s="2591"/>
      <c r="W28" s="2584" t="s">
        <v>21</v>
      </c>
      <c r="X28" s="2607" t="s">
        <v>468</v>
      </c>
      <c r="Y28" s="2609" t="s">
        <v>309</v>
      </c>
      <c r="Z28" s="2589" t="s">
        <v>332</v>
      </c>
      <c r="AA28" s="2575"/>
      <c r="AB28" s="2587"/>
      <c r="AC28" s="1511"/>
      <c r="AD28" s="1511"/>
      <c r="AE28" s="1511"/>
      <c r="AF28" s="1511"/>
      <c r="AG28" s="1511"/>
      <c r="AH28" s="1511"/>
      <c r="AI28" s="1511"/>
      <c r="AJ28" s="1511"/>
    </row>
    <row r="29" spans="2:46" ht="26.25" thickBot="1" x14ac:dyDescent="0.35">
      <c r="B29" s="106" t="s">
        <v>414</v>
      </c>
      <c r="C29" s="2613" t="s">
        <v>313</v>
      </c>
      <c r="D29" s="2614"/>
      <c r="E29" s="2614"/>
      <c r="F29" s="2613" t="s">
        <v>310</v>
      </c>
      <c r="G29" s="2614"/>
      <c r="H29" s="2614"/>
      <c r="I29" s="2615"/>
      <c r="J29" s="2614" t="s">
        <v>336</v>
      </c>
      <c r="K29" s="2614"/>
      <c r="L29" s="2614"/>
      <c r="M29" s="2614"/>
      <c r="N29" s="2585"/>
      <c r="O29" s="2576"/>
      <c r="P29" s="2593"/>
      <c r="Q29" s="2585"/>
      <c r="R29" s="2576"/>
      <c r="S29" s="2576"/>
      <c r="T29" s="2588"/>
      <c r="U29" s="229" t="s">
        <v>326</v>
      </c>
      <c r="V29" s="230" t="s">
        <v>388</v>
      </c>
      <c r="W29" s="2585"/>
      <c r="X29" s="2608"/>
      <c r="Y29" s="2610"/>
      <c r="Z29" s="231" t="s">
        <v>327</v>
      </c>
      <c r="AA29" s="221" t="s">
        <v>328</v>
      </c>
      <c r="AB29" s="222" t="s">
        <v>389</v>
      </c>
      <c r="AC29" s="2564" t="s">
        <v>7821</v>
      </c>
      <c r="AD29" s="2568"/>
      <c r="AE29" s="2568"/>
      <c r="AF29" s="2568"/>
      <c r="AG29" s="2565"/>
      <c r="AH29" s="2564" t="s">
        <v>9528</v>
      </c>
      <c r="AI29" s="2568"/>
      <c r="AJ29" s="2565"/>
    </row>
    <row r="30" spans="2:46" s="39" customFormat="1" ht="21" hidden="1" thickBot="1" x14ac:dyDescent="0.25">
      <c r="B30" s="106" t="s">
        <v>419</v>
      </c>
      <c r="C30" s="124" t="s">
        <v>314</v>
      </c>
      <c r="D30" s="125" t="s">
        <v>315</v>
      </c>
      <c r="E30" s="125" t="s">
        <v>335</v>
      </c>
      <c r="F30" s="124" t="s">
        <v>311</v>
      </c>
      <c r="G30" s="125" t="s">
        <v>418</v>
      </c>
      <c r="H30" s="125" t="s">
        <v>391</v>
      </c>
      <c r="I30" s="685" t="s">
        <v>333</v>
      </c>
      <c r="J30" s="125" t="s">
        <v>338</v>
      </c>
      <c r="K30" s="125" t="s">
        <v>399</v>
      </c>
      <c r="L30" s="125" t="s">
        <v>387</v>
      </c>
      <c r="M30" s="687" t="s">
        <v>334</v>
      </c>
      <c r="N30" s="1413" t="s">
        <v>16</v>
      </c>
      <c r="O30" s="1414" t="s">
        <v>17</v>
      </c>
      <c r="P30" s="1414" t="s">
        <v>18</v>
      </c>
      <c r="Q30" s="1413" t="s">
        <v>19</v>
      </c>
      <c r="R30" s="1414" t="s">
        <v>20</v>
      </c>
      <c r="S30" s="1414" t="s">
        <v>620</v>
      </c>
      <c r="T30" s="1415" t="s">
        <v>618</v>
      </c>
      <c r="U30" s="1414" t="s">
        <v>331</v>
      </c>
      <c r="V30" s="1415" t="s">
        <v>339</v>
      </c>
      <c r="W30" s="1414" t="s">
        <v>21</v>
      </c>
      <c r="X30" s="1414" t="s">
        <v>621</v>
      </c>
      <c r="Y30" s="1414" t="s">
        <v>330</v>
      </c>
      <c r="Z30" s="1416" t="s">
        <v>327</v>
      </c>
      <c r="AA30" s="1417" t="s">
        <v>86</v>
      </c>
      <c r="AB30" s="1418" t="s">
        <v>329</v>
      </c>
      <c r="AC30" s="1742" t="s">
        <v>1093</v>
      </c>
      <c r="AD30" s="1742" t="s">
        <v>1094</v>
      </c>
      <c r="AE30" s="1742" t="s">
        <v>1095</v>
      </c>
      <c r="AF30" s="1743" t="s">
        <v>1097</v>
      </c>
      <c r="AG30" s="1742" t="s">
        <v>7735</v>
      </c>
      <c r="AH30" s="1744" t="s">
        <v>1092</v>
      </c>
      <c r="AI30" s="1742" t="s">
        <v>7736</v>
      </c>
      <c r="AJ30" s="1742" t="s">
        <v>7828</v>
      </c>
      <c r="AK30" s="1745"/>
      <c r="AL30" s="1745"/>
      <c r="AM30" s="1745"/>
      <c r="AN30" s="1745"/>
      <c r="AO30" s="1745"/>
      <c r="AP30" s="1745"/>
      <c r="AQ30" s="1745"/>
      <c r="AR30" s="1745"/>
      <c r="AS30" s="1745"/>
      <c r="AT30" s="1745"/>
    </row>
    <row r="31" spans="2:46" s="41" customFormat="1" x14ac:dyDescent="0.3">
      <c r="B31" s="236">
        <f t="shared" ref="B31:B49" si="0">N(B30)+1</f>
        <v>1</v>
      </c>
      <c r="C31" s="110">
        <f>IFERROR(AND(LEN(BAZZS[[#This Row],[Дисциплина]]&amp;BAZZS[[#This Row],[Специалност]]&amp;BAZZS[[#This Row],[Факултет]])&gt;0,LEN(BAZZS[[#This Row],[Вид]])=0)*1,0)</f>
        <v>0</v>
      </c>
      <c r="D31" s="110">
        <f>AND(BAZZS[[#This Row],[Дисциплина]]&lt;&gt;0,OR(N(BAZZS[[#This Row],[Лекции]])&lt;&gt;0,N(BAZZS[[#This Row],[Упражнения]])&lt;&gt;0),N(BAZZS[[#This Row],[Студенти]])=0)*1</f>
        <v>0</v>
      </c>
      <c r="E31" s="110">
        <f>AND(N(BAZZS[[#This Row],[Изпитани]])&gt;0,BAZZS[[#This Row],[Изпитващ]]=0)*1</f>
        <v>0</v>
      </c>
      <c r="F31" s="111">
        <f>IFERROR(VLOOKUP(BAZZS[[#This Row],[Език]],ТобЕзик[[обЕзик]:[Коеф.]],2,0),0)</f>
        <v>1</v>
      </c>
      <c r="G31" s="110" cm="1">
        <f t="array" ref="G31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1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1" s="686">
        <f>IFERROR(VLOOKUP(BAZZS[[#This Row],[ФормаОб]],тТО[[обФорма]:[Коеф.]],2,0),0)</f>
        <v>0</v>
      </c>
      <c r="J31" s="110">
        <f>N(BAZZS[[#This Row],[Лекции]])*BAZZS[[#This Row],[кЕзик]]*BAZZS[[#This Row],[кСтуденти]]*кЛекции</f>
        <v>0</v>
      </c>
      <c r="K31" s="110">
        <f>N(BAZZS[[#This Row],[Упражнения]])*BAZZS[[#This Row],[кЕзик]]*BAZZS[[#This Row],[кСтуденти]]*кУпражнение</f>
        <v>0</v>
      </c>
      <c r="L31" s="110">
        <f>N(BAZZS[[#This Row],[Изпитани]])*BAZZS[[#This Row],[кИзпитващ]]</f>
        <v>0</v>
      </c>
      <c r="M31" s="666">
        <f>N(BAZZS[[#This Row],[ТО]])*BAZZS[[#This Row],[кTO]]</f>
        <v>0</v>
      </c>
      <c r="N31" s="1438"/>
      <c r="O31" s="1439"/>
      <c r="P31" s="1440"/>
      <c r="Q31" s="540"/>
      <c r="R31" s="541"/>
      <c r="S31" s="542"/>
      <c r="T31" s="513"/>
      <c r="U31" s="874"/>
      <c r="V31" s="875"/>
      <c r="W31" s="1441" t="s">
        <v>84</v>
      </c>
      <c r="X31" s="1442"/>
      <c r="Y31" s="1442"/>
      <c r="Z31" s="1443"/>
      <c r="AA31" s="1231"/>
      <c r="AB31" s="1232"/>
      <c r="AC31" s="1402"/>
      <c r="AD31" s="1394"/>
      <c r="AE31" s="1394"/>
      <c r="AF31" s="1394"/>
      <c r="AG31" s="1394"/>
      <c r="AH31" s="1684">
        <f ca="1">N(OFFSET(BAZZS[[#This Row],[|]],-1,0))+1</f>
        <v>1</v>
      </c>
      <c r="AI31" s="1685" t="str">
        <f>IF(BAZZS[[#This Row],[уЧасове]],BAZZS[[#This Row],[нацид|монСпециалностМП]],"")</f>
        <v/>
      </c>
      <c r="AJ31" s="1686">
        <f>SUM(BAZZS[[#This Row],[чЛекции]:[чTO]],N(BAZZS[[#This Row],[КР]])*кКурсова_работа)</f>
        <v>0</v>
      </c>
      <c r="AK31" s="1746"/>
      <c r="AL31" s="1746"/>
      <c r="AM31" s="1746"/>
      <c r="AN31" s="1746"/>
      <c r="AO31" s="1746"/>
      <c r="AP31" s="1746"/>
      <c r="AQ31" s="1746"/>
      <c r="AR31" s="1746"/>
      <c r="AS31" s="1746"/>
      <c r="AT31" s="1746"/>
    </row>
    <row r="32" spans="2:46" s="41" customFormat="1" x14ac:dyDescent="0.3">
      <c r="B32" s="236">
        <f t="shared" si="0"/>
        <v>2</v>
      </c>
      <c r="C32" s="110">
        <f>IFERROR(AND(LEN(BAZZS[[#This Row],[Дисциплина]]&amp;BAZZS[[#This Row],[Специалност]]&amp;BAZZS[[#This Row],[Факултет]])&gt;0,LEN(BAZZS[[#This Row],[Вид]])=0)*1,0)</f>
        <v>0</v>
      </c>
      <c r="D32" s="110">
        <f>AND(BAZZS[[#This Row],[Дисциплина]]&lt;&gt;0,OR(N(BAZZS[[#This Row],[Лекции]])&lt;&gt;0,N(BAZZS[[#This Row],[Упражнения]])&lt;&gt;0),N(BAZZS[[#This Row],[Студенти]])=0)*1</f>
        <v>0</v>
      </c>
      <c r="E32" s="110">
        <f>AND(N(BAZZS[[#This Row],[Изпитани]])&gt;0,BAZZS[[#This Row],[Изпитващ]]=0)*1</f>
        <v>0</v>
      </c>
      <c r="F32" s="111">
        <f>IFERROR(VLOOKUP(BAZZS[[#This Row],[Език]],ТобЕзик[[обЕзик]:[Коеф.]],2,0),0)</f>
        <v>1</v>
      </c>
      <c r="G32" s="110" cm="1">
        <f t="array" ref="G32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2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2" s="686">
        <f>IFERROR(VLOOKUP(BAZZS[[#This Row],[ФормаОб]],тТО[[обФорма]:[Коеф.]],2,0),0)</f>
        <v>0</v>
      </c>
      <c r="J32" s="110">
        <f>N(BAZZS[[#This Row],[Лекции]])*BAZZS[[#This Row],[кЕзик]]*BAZZS[[#This Row],[кСтуденти]]*кЛекции</f>
        <v>0</v>
      </c>
      <c r="K32" s="110">
        <f>N(BAZZS[[#This Row],[Упражнения]])*BAZZS[[#This Row],[кЕзик]]*BAZZS[[#This Row],[кСтуденти]]*кУпражнение</f>
        <v>0</v>
      </c>
      <c r="L32" s="110">
        <f>N(BAZZS[[#This Row],[Изпитани]])*BAZZS[[#This Row],[кИзпитващ]]</f>
        <v>0</v>
      </c>
      <c r="M32" s="666">
        <f>N(BAZZS[[#This Row],[ТО]])*BAZZS[[#This Row],[кTO]]</f>
        <v>0</v>
      </c>
      <c r="N32" s="539"/>
      <c r="O32" s="1444"/>
      <c r="P32" s="1445"/>
      <c r="Q32" s="543"/>
      <c r="R32" s="544"/>
      <c r="S32" s="545"/>
      <c r="T32" s="239"/>
      <c r="U32" s="237"/>
      <c r="V32" s="240"/>
      <c r="W32" s="549" t="s">
        <v>84</v>
      </c>
      <c r="X32" s="822"/>
      <c r="Y32" s="895"/>
      <c r="Z32" s="238"/>
      <c r="AA32" s="241"/>
      <c r="AB32" s="242"/>
      <c r="AC32" s="1402"/>
      <c r="AD32" s="1394"/>
      <c r="AE32" s="1394"/>
      <c r="AF32" s="1394"/>
      <c r="AG32" s="1394"/>
      <c r="AH32" s="1684">
        <f ca="1">N(OFFSET(BAZZS[[#This Row],[|]],-1,0))+1</f>
        <v>2</v>
      </c>
      <c r="AI32" s="1685" t="str">
        <f>IF(BAZZS[[#This Row],[уЧасове]],BAZZS[[#This Row],[нацид|монСпециалностМП]],"")</f>
        <v/>
      </c>
      <c r="AJ32" s="1686">
        <f>SUM(BAZZS[[#This Row],[чЛекции]:[чTO]],N(BAZZS[[#This Row],[КР]])*кКурсова_работа)</f>
        <v>0</v>
      </c>
      <c r="AK32" s="1746"/>
      <c r="AL32" s="1746"/>
      <c r="AM32" s="1746"/>
      <c r="AN32" s="1746"/>
      <c r="AO32" s="1746"/>
      <c r="AP32" s="1746"/>
      <c r="AQ32" s="1746"/>
      <c r="AR32" s="1746"/>
      <c r="AS32" s="1746"/>
      <c r="AT32" s="1746"/>
    </row>
    <row r="33" spans="2:46" s="41" customFormat="1" x14ac:dyDescent="0.3">
      <c r="B33" s="236">
        <f t="shared" si="0"/>
        <v>3</v>
      </c>
      <c r="C33" s="110">
        <f>IFERROR(AND(LEN(BAZZS[[#This Row],[Дисциплина]]&amp;BAZZS[[#This Row],[Специалност]]&amp;BAZZS[[#This Row],[Факултет]])&gt;0,LEN(BAZZS[[#This Row],[Вид]])=0)*1,0)</f>
        <v>0</v>
      </c>
      <c r="D33" s="110">
        <f>AND(BAZZS[[#This Row],[Дисциплина]]&lt;&gt;0,OR(N(BAZZS[[#This Row],[Лекции]])&lt;&gt;0,N(BAZZS[[#This Row],[Упражнения]])&lt;&gt;0),N(BAZZS[[#This Row],[Студенти]])=0)*1</f>
        <v>0</v>
      </c>
      <c r="E33" s="110">
        <f>AND(N(BAZZS[[#This Row],[Изпитани]])&gt;0,BAZZS[[#This Row],[Изпитващ]]=0)*1</f>
        <v>0</v>
      </c>
      <c r="F33" s="111">
        <f>IFERROR(VLOOKUP(BAZZS[[#This Row],[Език]],ТобЕзик[[обЕзик]:[Коеф.]],2,0),0)</f>
        <v>1</v>
      </c>
      <c r="G33" s="110" cm="1">
        <f t="array" ref="G33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3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3" s="686">
        <f>IFERROR(VLOOKUP(BAZZS[[#This Row],[ФормаОб]],тТО[[обФорма]:[Коеф.]],2,0),0)</f>
        <v>0</v>
      </c>
      <c r="J33" s="110">
        <f>N(BAZZS[[#This Row],[Лекции]])*BAZZS[[#This Row],[кЕзик]]*BAZZS[[#This Row],[кСтуденти]]*кЛекции</f>
        <v>0</v>
      </c>
      <c r="K33" s="110">
        <f>N(BAZZS[[#This Row],[Упражнения]])*BAZZS[[#This Row],[кЕзик]]*BAZZS[[#This Row],[кСтуденти]]*кУпражнение</f>
        <v>0</v>
      </c>
      <c r="L33" s="110">
        <f>N(BAZZS[[#This Row],[Изпитани]])*BAZZS[[#This Row],[кИзпитващ]]</f>
        <v>0</v>
      </c>
      <c r="M33" s="666">
        <f>N(BAZZS[[#This Row],[ТО]])*BAZZS[[#This Row],[кTO]]</f>
        <v>0</v>
      </c>
      <c r="N33" s="539"/>
      <c r="O33" s="1444"/>
      <c r="P33" s="1444"/>
      <c r="Q33" s="543"/>
      <c r="R33" s="544"/>
      <c r="S33" s="545"/>
      <c r="T33" s="239"/>
      <c r="U33" s="237"/>
      <c r="V33" s="240"/>
      <c r="W33" s="549" t="s">
        <v>84</v>
      </c>
      <c r="X33" s="822"/>
      <c r="Y33" s="822"/>
      <c r="Z33" s="238"/>
      <c r="AA33" s="241"/>
      <c r="AB33" s="242"/>
      <c r="AC33" s="1402"/>
      <c r="AD33" s="1394"/>
      <c r="AE33" s="1394"/>
      <c r="AF33" s="1394"/>
      <c r="AG33" s="1394"/>
      <c r="AH33" s="1684">
        <f ca="1">N(OFFSET(BAZZS[[#This Row],[|]],-1,0))+1</f>
        <v>3</v>
      </c>
      <c r="AI33" s="1685" t="str">
        <f>IF(BAZZS[[#This Row],[уЧасове]],BAZZS[[#This Row],[нацид|монСпециалностМП]],"")</f>
        <v/>
      </c>
      <c r="AJ33" s="1686">
        <f>SUM(BAZZS[[#This Row],[чЛекции]:[чTO]],N(BAZZS[[#This Row],[КР]])*кКурсова_работа)</f>
        <v>0</v>
      </c>
      <c r="AK33" s="1746"/>
      <c r="AL33" s="1746"/>
      <c r="AM33" s="1746"/>
      <c r="AN33" s="1746"/>
      <c r="AO33" s="1746"/>
      <c r="AP33" s="1746"/>
      <c r="AQ33" s="1746"/>
      <c r="AR33" s="1746"/>
      <c r="AS33" s="1746"/>
      <c r="AT33" s="1746"/>
    </row>
    <row r="34" spans="2:46" s="41" customFormat="1" x14ac:dyDescent="0.3">
      <c r="B34" s="236">
        <f t="shared" si="0"/>
        <v>4</v>
      </c>
      <c r="C34" s="110">
        <f>IFERROR(AND(LEN(BAZZS[[#This Row],[Дисциплина]]&amp;BAZZS[[#This Row],[Специалност]]&amp;BAZZS[[#This Row],[Факултет]])&gt;0,LEN(BAZZS[[#This Row],[Вид]])=0)*1,0)</f>
        <v>0</v>
      </c>
      <c r="D34" s="110">
        <f>AND(BAZZS[[#This Row],[Дисциплина]]&lt;&gt;0,OR(N(BAZZS[[#This Row],[Лекции]])&lt;&gt;0,N(BAZZS[[#This Row],[Упражнения]])&lt;&gt;0),N(BAZZS[[#This Row],[Студенти]])=0)*1</f>
        <v>0</v>
      </c>
      <c r="E34" s="110">
        <f>AND(N(BAZZS[[#This Row],[Изпитани]])&gt;0,BAZZS[[#This Row],[Изпитващ]]=0)*1</f>
        <v>0</v>
      </c>
      <c r="F34" s="111">
        <f>IFERROR(VLOOKUP(BAZZS[[#This Row],[Език]],ТобЕзик[[обЕзик]:[Коеф.]],2,0),0)</f>
        <v>1</v>
      </c>
      <c r="G34" s="110" cm="1">
        <f t="array" ref="G34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4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4" s="686">
        <f>IFERROR(VLOOKUP(BAZZS[[#This Row],[ФормаОб]],тТО[[обФорма]:[Коеф.]],2,0),0)</f>
        <v>0</v>
      </c>
      <c r="J34" s="110">
        <f>N(BAZZS[[#This Row],[Лекции]])*BAZZS[[#This Row],[кЕзик]]*BAZZS[[#This Row],[кСтуденти]]*кЛекции</f>
        <v>0</v>
      </c>
      <c r="K34" s="110">
        <f>N(BAZZS[[#This Row],[Упражнения]])*BAZZS[[#This Row],[кЕзик]]*BAZZS[[#This Row],[кСтуденти]]*кУпражнение</f>
        <v>0</v>
      </c>
      <c r="L34" s="110">
        <f>N(BAZZS[[#This Row],[Изпитани]])*BAZZS[[#This Row],[кИзпитващ]]</f>
        <v>0</v>
      </c>
      <c r="M34" s="666">
        <f>N(BAZZS[[#This Row],[ТО]])*BAZZS[[#This Row],[кTO]]</f>
        <v>0</v>
      </c>
      <c r="N34" s="539"/>
      <c r="O34" s="1444"/>
      <c r="P34" s="1444"/>
      <c r="Q34" s="543"/>
      <c r="R34" s="544"/>
      <c r="S34" s="545"/>
      <c r="T34" s="239"/>
      <c r="U34" s="237"/>
      <c r="V34" s="240"/>
      <c r="W34" s="549" t="s">
        <v>84</v>
      </c>
      <c r="X34" s="822"/>
      <c r="Y34" s="895"/>
      <c r="Z34" s="238"/>
      <c r="AA34" s="241"/>
      <c r="AB34" s="242"/>
      <c r="AC34" s="1402"/>
      <c r="AD34" s="1394"/>
      <c r="AE34" s="1394"/>
      <c r="AF34" s="1394"/>
      <c r="AG34" s="1394"/>
      <c r="AH34" s="1684">
        <f ca="1">N(OFFSET(BAZZS[[#This Row],[|]],-1,0))+1</f>
        <v>4</v>
      </c>
      <c r="AI34" s="1685" t="str">
        <f>IF(BAZZS[[#This Row],[уЧасове]],BAZZS[[#This Row],[нацид|монСпециалностМП]],"")</f>
        <v/>
      </c>
      <c r="AJ34" s="1686">
        <f>SUM(BAZZS[[#This Row],[чЛекции]:[чTO]],N(BAZZS[[#This Row],[КР]])*кКурсова_работа)</f>
        <v>0</v>
      </c>
      <c r="AK34" s="1746"/>
      <c r="AL34" s="1746"/>
      <c r="AM34" s="1746"/>
      <c r="AN34" s="1746"/>
      <c r="AO34" s="1746"/>
      <c r="AP34" s="1746"/>
      <c r="AQ34" s="1746"/>
      <c r="AR34" s="1746"/>
      <c r="AS34" s="1746"/>
      <c r="AT34" s="1746"/>
    </row>
    <row r="35" spans="2:46" s="41" customFormat="1" x14ac:dyDescent="0.3">
      <c r="B35" s="236">
        <f t="shared" si="0"/>
        <v>5</v>
      </c>
      <c r="C35" s="110">
        <f>IFERROR(AND(LEN(BAZZS[[#This Row],[Дисциплина]]&amp;BAZZS[[#This Row],[Специалност]]&amp;BAZZS[[#This Row],[Факултет]])&gt;0,LEN(BAZZS[[#This Row],[Вид]])=0)*1,0)</f>
        <v>0</v>
      </c>
      <c r="D35" s="110">
        <f>AND(BAZZS[[#This Row],[Дисциплина]]&lt;&gt;0,OR(N(BAZZS[[#This Row],[Лекции]])&lt;&gt;0,N(BAZZS[[#This Row],[Упражнения]])&lt;&gt;0),N(BAZZS[[#This Row],[Студенти]])=0)*1</f>
        <v>0</v>
      </c>
      <c r="E35" s="110">
        <f>AND(N(BAZZS[[#This Row],[Изпитани]])&gt;0,BAZZS[[#This Row],[Изпитващ]]=0)*1</f>
        <v>0</v>
      </c>
      <c r="F35" s="111">
        <f>IFERROR(VLOOKUP(BAZZS[[#This Row],[Език]],ТобЕзик[[обЕзик]:[Коеф.]],2,0),0)</f>
        <v>1</v>
      </c>
      <c r="G35" s="110" cm="1">
        <f t="array" ref="G35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5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5" s="686">
        <f>IFERROR(VLOOKUP(BAZZS[[#This Row],[ФормаОб]],тТО[[обФорма]:[Коеф.]],2,0),0)</f>
        <v>0</v>
      </c>
      <c r="J35" s="110">
        <f>N(BAZZS[[#This Row],[Лекции]])*BAZZS[[#This Row],[кЕзик]]*BAZZS[[#This Row],[кСтуденти]]*кЛекции</f>
        <v>0</v>
      </c>
      <c r="K35" s="110">
        <f>N(BAZZS[[#This Row],[Упражнения]])*BAZZS[[#This Row],[кЕзик]]*BAZZS[[#This Row],[кСтуденти]]*кУпражнение</f>
        <v>0</v>
      </c>
      <c r="L35" s="110">
        <f>N(BAZZS[[#This Row],[Изпитани]])*BAZZS[[#This Row],[кИзпитващ]]</f>
        <v>0</v>
      </c>
      <c r="M35" s="666">
        <f>N(BAZZS[[#This Row],[ТО]])*BAZZS[[#This Row],[кTO]]</f>
        <v>0</v>
      </c>
      <c r="N35" s="539"/>
      <c r="O35" s="1444"/>
      <c r="P35" s="1444"/>
      <c r="Q35" s="543"/>
      <c r="R35" s="544"/>
      <c r="S35" s="545"/>
      <c r="T35" s="239"/>
      <c r="U35" s="237"/>
      <c r="V35" s="240"/>
      <c r="W35" s="549" t="s">
        <v>84</v>
      </c>
      <c r="X35" s="822"/>
      <c r="Y35" s="822"/>
      <c r="Z35" s="238"/>
      <c r="AA35" s="241"/>
      <c r="AB35" s="242"/>
      <c r="AC35" s="1402"/>
      <c r="AD35" s="1394"/>
      <c r="AE35" s="1394"/>
      <c r="AF35" s="1394"/>
      <c r="AG35" s="1394"/>
      <c r="AH35" s="1684">
        <f ca="1">N(OFFSET(BAZZS[[#This Row],[|]],-1,0))+1</f>
        <v>5</v>
      </c>
      <c r="AI35" s="1685" t="str">
        <f>IF(BAZZS[[#This Row],[уЧасове]],BAZZS[[#This Row],[нацид|монСпециалностМП]],"")</f>
        <v/>
      </c>
      <c r="AJ35" s="1686">
        <f>SUM(BAZZS[[#This Row],[чЛекции]:[чTO]],N(BAZZS[[#This Row],[КР]])*кКурсова_работа)</f>
        <v>0</v>
      </c>
      <c r="AK35" s="1746"/>
      <c r="AL35" s="1746"/>
      <c r="AM35" s="1746"/>
      <c r="AN35" s="1746"/>
      <c r="AO35" s="1746"/>
      <c r="AP35" s="1746"/>
      <c r="AQ35" s="1746"/>
      <c r="AR35" s="1746"/>
      <c r="AS35" s="1746"/>
      <c r="AT35" s="1746"/>
    </row>
    <row r="36" spans="2:46" s="41" customFormat="1" x14ac:dyDescent="0.3">
      <c r="B36" s="236">
        <f t="shared" si="0"/>
        <v>6</v>
      </c>
      <c r="C36" s="110">
        <f>IFERROR(AND(LEN(BAZZS[[#This Row],[Дисциплина]]&amp;BAZZS[[#This Row],[Специалност]]&amp;BAZZS[[#This Row],[Факултет]])&gt;0,LEN(BAZZS[[#This Row],[Вид]])=0)*1,0)</f>
        <v>0</v>
      </c>
      <c r="D36" s="110">
        <f>AND(BAZZS[[#This Row],[Дисциплина]]&lt;&gt;0,OR(N(BAZZS[[#This Row],[Лекции]])&lt;&gt;0,N(BAZZS[[#This Row],[Упражнения]])&lt;&gt;0),N(BAZZS[[#This Row],[Студенти]])=0)*1</f>
        <v>0</v>
      </c>
      <c r="E36" s="110">
        <f>AND(N(BAZZS[[#This Row],[Изпитани]])&gt;0,BAZZS[[#This Row],[Изпитващ]]=0)*1</f>
        <v>0</v>
      </c>
      <c r="F36" s="111">
        <f>IFERROR(VLOOKUP(BAZZS[[#This Row],[Език]],ТобЕзик[[обЕзик]:[Коеф.]],2,0),0)</f>
        <v>1</v>
      </c>
      <c r="G36" s="110" cm="1">
        <f t="array" ref="G36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6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6" s="686">
        <f>IFERROR(VLOOKUP(BAZZS[[#This Row],[ФормаОб]],тТО[[обФорма]:[Коеф.]],2,0),0)</f>
        <v>0</v>
      </c>
      <c r="J36" s="110">
        <f>N(BAZZS[[#This Row],[Лекции]])*BAZZS[[#This Row],[кЕзик]]*BAZZS[[#This Row],[кСтуденти]]*кЛекции</f>
        <v>0</v>
      </c>
      <c r="K36" s="110">
        <f>N(BAZZS[[#This Row],[Упражнения]])*BAZZS[[#This Row],[кЕзик]]*BAZZS[[#This Row],[кСтуденти]]*кУпражнение</f>
        <v>0</v>
      </c>
      <c r="L36" s="110">
        <f>N(BAZZS[[#This Row],[Изпитани]])*BAZZS[[#This Row],[кИзпитващ]]</f>
        <v>0</v>
      </c>
      <c r="M36" s="666">
        <f>N(BAZZS[[#This Row],[ТО]])*BAZZS[[#This Row],[кTO]]</f>
        <v>0</v>
      </c>
      <c r="N36" s="539"/>
      <c r="O36" s="1444"/>
      <c r="P36" s="1445"/>
      <c r="Q36" s="821"/>
      <c r="R36" s="544"/>
      <c r="S36" s="822"/>
      <c r="T36" s="239"/>
      <c r="U36" s="237"/>
      <c r="V36" s="240"/>
      <c r="W36" s="549" t="s">
        <v>84</v>
      </c>
      <c r="X36" s="822"/>
      <c r="Y36" s="895"/>
      <c r="Z36" s="238"/>
      <c r="AA36" s="241"/>
      <c r="AB36" s="242"/>
      <c r="AC36" s="1402"/>
      <c r="AD36" s="1394"/>
      <c r="AE36" s="1394"/>
      <c r="AF36" s="1394"/>
      <c r="AG36" s="1394"/>
      <c r="AH36" s="1684">
        <f ca="1">N(OFFSET(BAZZS[[#This Row],[|]],-1,0))+1</f>
        <v>6</v>
      </c>
      <c r="AI36" s="1685" t="str">
        <f>IF(BAZZS[[#This Row],[уЧасове]],BAZZS[[#This Row],[нацид|монСпециалностМП]],"")</f>
        <v/>
      </c>
      <c r="AJ36" s="1686">
        <f>SUM(BAZZS[[#This Row],[чЛекции]:[чTO]],N(BAZZS[[#This Row],[КР]])*кКурсова_работа)</f>
        <v>0</v>
      </c>
      <c r="AK36" s="1746"/>
      <c r="AL36" s="1746"/>
      <c r="AM36" s="1746"/>
      <c r="AN36" s="1746"/>
      <c r="AO36" s="1746"/>
      <c r="AP36" s="1746"/>
      <c r="AQ36" s="1746"/>
      <c r="AR36" s="1746"/>
      <c r="AS36" s="1746"/>
      <c r="AT36" s="1746"/>
    </row>
    <row r="37" spans="2:46" s="41" customFormat="1" x14ac:dyDescent="0.3">
      <c r="B37" s="236">
        <f t="shared" si="0"/>
        <v>7</v>
      </c>
      <c r="C37" s="110">
        <f>IFERROR(AND(LEN(BAZZS[[#This Row],[Дисциплина]]&amp;BAZZS[[#This Row],[Специалност]]&amp;BAZZS[[#This Row],[Факултет]])&gt;0,LEN(BAZZS[[#This Row],[Вид]])=0)*1,0)</f>
        <v>0</v>
      </c>
      <c r="D37" s="110">
        <f>AND(BAZZS[[#This Row],[Дисциплина]]&lt;&gt;0,OR(N(BAZZS[[#This Row],[Лекции]])&lt;&gt;0,N(BAZZS[[#This Row],[Упражнения]])&lt;&gt;0),N(BAZZS[[#This Row],[Студенти]])=0)*1</f>
        <v>0</v>
      </c>
      <c r="E37" s="110">
        <f>AND(N(BAZZS[[#This Row],[Изпитани]])&gt;0,BAZZS[[#This Row],[Изпитващ]]=0)*1</f>
        <v>0</v>
      </c>
      <c r="F37" s="111">
        <f>IFERROR(VLOOKUP(BAZZS[[#This Row],[Език]],ТобЕзик[[обЕзик]:[Коеф.]],2,0),0)</f>
        <v>1</v>
      </c>
      <c r="G37" s="110" cm="1">
        <f t="array" ref="G37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7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7" s="686">
        <f>IFERROR(VLOOKUP(BAZZS[[#This Row],[ФормаОб]],тТО[[обФорма]:[Коеф.]],2,0),0)</f>
        <v>0</v>
      </c>
      <c r="J37" s="110">
        <f>N(BAZZS[[#This Row],[Лекции]])*BAZZS[[#This Row],[кЕзик]]*BAZZS[[#This Row],[кСтуденти]]*кЛекции</f>
        <v>0</v>
      </c>
      <c r="K37" s="110">
        <f>N(BAZZS[[#This Row],[Упражнения]])*BAZZS[[#This Row],[кЕзик]]*BAZZS[[#This Row],[кСтуденти]]*кУпражнение</f>
        <v>0</v>
      </c>
      <c r="L37" s="110">
        <f>N(BAZZS[[#This Row],[Изпитани]])*BAZZS[[#This Row],[кИзпитващ]]</f>
        <v>0</v>
      </c>
      <c r="M37" s="666">
        <f>N(BAZZS[[#This Row],[ТО]])*BAZZS[[#This Row],[кTO]]</f>
        <v>0</v>
      </c>
      <c r="N37" s="539"/>
      <c r="O37" s="1444"/>
      <c r="P37" s="1445"/>
      <c r="Q37" s="821"/>
      <c r="R37" s="544"/>
      <c r="S37" s="822"/>
      <c r="T37" s="239"/>
      <c r="U37" s="237"/>
      <c r="V37" s="240"/>
      <c r="W37" s="549" t="s">
        <v>84</v>
      </c>
      <c r="X37" s="822"/>
      <c r="Y37" s="822"/>
      <c r="Z37" s="238"/>
      <c r="AA37" s="241"/>
      <c r="AB37" s="242"/>
      <c r="AC37" s="1402"/>
      <c r="AD37" s="1394"/>
      <c r="AE37" s="1394"/>
      <c r="AF37" s="1394"/>
      <c r="AG37" s="1394"/>
      <c r="AH37" s="1684">
        <f ca="1">N(OFFSET(BAZZS[[#This Row],[|]],-1,0))+1</f>
        <v>7</v>
      </c>
      <c r="AI37" s="1685" t="str">
        <f>IF(BAZZS[[#This Row],[уЧасове]],BAZZS[[#This Row],[нацид|монСпециалностМП]],"")</f>
        <v/>
      </c>
      <c r="AJ37" s="1686">
        <f>SUM(BAZZS[[#This Row],[чЛекции]:[чTO]],N(BAZZS[[#This Row],[КР]])*кКурсова_работа)</f>
        <v>0</v>
      </c>
      <c r="AK37" s="1746"/>
      <c r="AL37" s="1746"/>
      <c r="AM37" s="1746"/>
      <c r="AN37" s="1746"/>
      <c r="AO37" s="1746"/>
      <c r="AP37" s="1746"/>
      <c r="AQ37" s="1746"/>
      <c r="AR37" s="1746"/>
      <c r="AS37" s="1746"/>
      <c r="AT37" s="1746"/>
    </row>
    <row r="38" spans="2:46" s="41" customFormat="1" x14ac:dyDescent="0.3">
      <c r="B38" s="236">
        <f t="shared" si="0"/>
        <v>8</v>
      </c>
      <c r="C38" s="110">
        <f>IFERROR(AND(LEN(BAZZS[[#This Row],[Дисциплина]]&amp;BAZZS[[#This Row],[Специалност]]&amp;BAZZS[[#This Row],[Факултет]])&gt;0,LEN(BAZZS[[#This Row],[Вид]])=0)*1,0)</f>
        <v>0</v>
      </c>
      <c r="D38" s="110">
        <f>AND(BAZZS[[#This Row],[Дисциплина]]&lt;&gt;0,OR(N(BAZZS[[#This Row],[Лекции]])&lt;&gt;0,N(BAZZS[[#This Row],[Упражнения]])&lt;&gt;0),N(BAZZS[[#This Row],[Студенти]])=0)*1</f>
        <v>0</v>
      </c>
      <c r="E38" s="110">
        <f>AND(N(BAZZS[[#This Row],[Изпитани]])&gt;0,BAZZS[[#This Row],[Изпитващ]]=0)*1</f>
        <v>0</v>
      </c>
      <c r="F38" s="111">
        <f>IFERROR(VLOOKUP(BAZZS[[#This Row],[Език]],ТобЕзик[[обЕзик]:[Коеф.]],2,0),0)</f>
        <v>1</v>
      </c>
      <c r="G38" s="110" cm="1">
        <f t="array" ref="G38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8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8" s="686">
        <f>IFERROR(VLOOKUP(BAZZS[[#This Row],[ФормаОб]],тТО[[обФорма]:[Коеф.]],2,0),0)</f>
        <v>0</v>
      </c>
      <c r="J38" s="110">
        <f>N(BAZZS[[#This Row],[Лекции]])*BAZZS[[#This Row],[кЕзик]]*BAZZS[[#This Row],[кСтуденти]]*кЛекции</f>
        <v>0</v>
      </c>
      <c r="K38" s="110">
        <f>N(BAZZS[[#This Row],[Упражнения]])*BAZZS[[#This Row],[кЕзик]]*BAZZS[[#This Row],[кСтуденти]]*кУпражнение</f>
        <v>0</v>
      </c>
      <c r="L38" s="110">
        <f>N(BAZZS[[#This Row],[Изпитани]])*BAZZS[[#This Row],[кИзпитващ]]</f>
        <v>0</v>
      </c>
      <c r="M38" s="666">
        <f>N(BAZZS[[#This Row],[ТО]])*BAZZS[[#This Row],[кTO]]</f>
        <v>0</v>
      </c>
      <c r="N38" s="539"/>
      <c r="O38" s="1444"/>
      <c r="P38" s="1445"/>
      <c r="Q38" s="821"/>
      <c r="R38" s="544"/>
      <c r="S38" s="822"/>
      <c r="T38" s="239"/>
      <c r="U38" s="237"/>
      <c r="V38" s="240"/>
      <c r="W38" s="549" t="s">
        <v>84</v>
      </c>
      <c r="X38" s="822"/>
      <c r="Y38" s="895"/>
      <c r="Z38" s="238"/>
      <c r="AA38" s="241"/>
      <c r="AB38" s="242"/>
      <c r="AC38" s="1402"/>
      <c r="AD38" s="1394"/>
      <c r="AE38" s="1394"/>
      <c r="AF38" s="1394"/>
      <c r="AG38" s="1394"/>
      <c r="AH38" s="1684">
        <f ca="1">N(OFFSET(BAZZS[[#This Row],[|]],-1,0))+1</f>
        <v>8</v>
      </c>
      <c r="AI38" s="1685" t="str">
        <f>IF(BAZZS[[#This Row],[уЧасове]],BAZZS[[#This Row],[нацид|монСпециалностМП]],"")</f>
        <v/>
      </c>
      <c r="AJ38" s="1686">
        <f>SUM(BAZZS[[#This Row],[чЛекции]:[чTO]],N(BAZZS[[#This Row],[КР]])*кКурсова_работа)</f>
        <v>0</v>
      </c>
      <c r="AK38" s="1746"/>
      <c r="AL38" s="1746"/>
      <c r="AM38" s="1746"/>
      <c r="AN38" s="1746"/>
      <c r="AO38" s="1746"/>
      <c r="AP38" s="1746"/>
      <c r="AQ38" s="1746"/>
      <c r="AR38" s="1746"/>
      <c r="AS38" s="1746"/>
      <c r="AT38" s="1746"/>
    </row>
    <row r="39" spans="2:46" s="41" customFormat="1" x14ac:dyDescent="0.3">
      <c r="B39" s="236">
        <f t="shared" si="0"/>
        <v>9</v>
      </c>
      <c r="C39" s="110">
        <f>IFERROR(AND(LEN(BAZZS[[#This Row],[Дисциплина]]&amp;BAZZS[[#This Row],[Специалност]]&amp;BAZZS[[#This Row],[Факултет]])&gt;0,LEN(BAZZS[[#This Row],[Вид]])=0)*1,0)</f>
        <v>0</v>
      </c>
      <c r="D39" s="110">
        <f>AND(BAZZS[[#This Row],[Дисциплина]]&lt;&gt;0,OR(N(BAZZS[[#This Row],[Лекции]])&lt;&gt;0,N(BAZZS[[#This Row],[Упражнения]])&lt;&gt;0),N(BAZZS[[#This Row],[Студенти]])=0)*1</f>
        <v>0</v>
      </c>
      <c r="E39" s="110">
        <f>AND(N(BAZZS[[#This Row],[Изпитани]])&gt;0,BAZZS[[#This Row],[Изпитващ]]=0)*1</f>
        <v>0</v>
      </c>
      <c r="F39" s="111">
        <f>IFERROR(VLOOKUP(BAZZS[[#This Row],[Език]],ТобЕзик[[обЕзик]:[Коеф.]],2,0),0)</f>
        <v>1</v>
      </c>
      <c r="G39" s="110" cm="1">
        <f t="array" ref="G39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39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39" s="686">
        <f>IFERROR(VLOOKUP(BAZZS[[#This Row],[ФормаОб]],тТО[[обФорма]:[Коеф.]],2,0),0)</f>
        <v>0</v>
      </c>
      <c r="J39" s="110">
        <f>N(BAZZS[[#This Row],[Лекции]])*BAZZS[[#This Row],[кЕзик]]*BAZZS[[#This Row],[кСтуденти]]*кЛекции</f>
        <v>0</v>
      </c>
      <c r="K39" s="110">
        <f>N(BAZZS[[#This Row],[Упражнения]])*BAZZS[[#This Row],[кЕзик]]*BAZZS[[#This Row],[кСтуденти]]*кУпражнение</f>
        <v>0</v>
      </c>
      <c r="L39" s="110">
        <f>N(BAZZS[[#This Row],[Изпитани]])*BAZZS[[#This Row],[кИзпитващ]]</f>
        <v>0</v>
      </c>
      <c r="M39" s="666">
        <f>N(BAZZS[[#This Row],[ТО]])*BAZZS[[#This Row],[кTO]]</f>
        <v>0</v>
      </c>
      <c r="N39" s="539"/>
      <c r="O39" s="1444"/>
      <c r="P39" s="1445"/>
      <c r="Q39" s="821"/>
      <c r="R39" s="544"/>
      <c r="S39" s="822"/>
      <c r="T39" s="239"/>
      <c r="U39" s="237"/>
      <c r="V39" s="240"/>
      <c r="W39" s="549" t="s">
        <v>84</v>
      </c>
      <c r="X39" s="822"/>
      <c r="Y39" s="822"/>
      <c r="Z39" s="238"/>
      <c r="AA39" s="241"/>
      <c r="AB39" s="242"/>
      <c r="AC39" s="1402"/>
      <c r="AD39" s="1394"/>
      <c r="AE39" s="1394"/>
      <c r="AF39" s="1394"/>
      <c r="AG39" s="1394"/>
      <c r="AH39" s="1684">
        <f ca="1">N(OFFSET(BAZZS[[#This Row],[|]],-1,0))+1</f>
        <v>9</v>
      </c>
      <c r="AI39" s="1685" t="str">
        <f>IF(BAZZS[[#This Row],[уЧасове]],BAZZS[[#This Row],[нацид|монСпециалностМП]],"")</f>
        <v/>
      </c>
      <c r="AJ39" s="1686">
        <f>SUM(BAZZS[[#This Row],[чЛекции]:[чTO]],N(BAZZS[[#This Row],[КР]])*кКурсова_работа)</f>
        <v>0</v>
      </c>
      <c r="AK39" s="1746"/>
      <c r="AL39" s="1746"/>
      <c r="AM39" s="1746"/>
      <c r="AN39" s="1746"/>
      <c r="AO39" s="1746"/>
      <c r="AP39" s="1746"/>
      <c r="AQ39" s="1746"/>
      <c r="AR39" s="1746"/>
      <c r="AS39" s="1746"/>
      <c r="AT39" s="1746"/>
    </row>
    <row r="40" spans="2:46" s="41" customFormat="1" x14ac:dyDescent="0.3">
      <c r="B40" s="236">
        <f t="shared" si="0"/>
        <v>10</v>
      </c>
      <c r="C40" s="110">
        <f>IFERROR(AND(LEN(BAZZS[[#This Row],[Дисциплина]]&amp;BAZZS[[#This Row],[Специалност]]&amp;BAZZS[[#This Row],[Факултет]])&gt;0,LEN(BAZZS[[#This Row],[Вид]])=0)*1,0)</f>
        <v>0</v>
      </c>
      <c r="D40" s="110">
        <f>AND(BAZZS[[#This Row],[Дисциплина]]&lt;&gt;0,OR(N(BAZZS[[#This Row],[Лекции]])&lt;&gt;0,N(BAZZS[[#This Row],[Упражнения]])&lt;&gt;0),N(BAZZS[[#This Row],[Студенти]])=0)*1</f>
        <v>0</v>
      </c>
      <c r="E40" s="110">
        <f>AND(N(BAZZS[[#This Row],[Изпитани]])&gt;0,BAZZS[[#This Row],[Изпитващ]]=0)*1</f>
        <v>0</v>
      </c>
      <c r="F40" s="111">
        <f>IFERROR(VLOOKUP(BAZZS[[#This Row],[Език]],ТобЕзик[[обЕзик]:[Коеф.]],2,0),0)</f>
        <v>1</v>
      </c>
      <c r="G40" s="110" cm="1">
        <f t="array" ref="G40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0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0" s="686">
        <f>IFERROR(VLOOKUP(BAZZS[[#This Row],[ФормаОб]],тТО[[обФорма]:[Коеф.]],2,0),0)</f>
        <v>0</v>
      </c>
      <c r="J40" s="110">
        <f>N(BAZZS[[#This Row],[Лекции]])*BAZZS[[#This Row],[кЕзик]]*BAZZS[[#This Row],[кСтуденти]]*кЛекции</f>
        <v>0</v>
      </c>
      <c r="K40" s="110">
        <f>N(BAZZS[[#This Row],[Упражнения]])*BAZZS[[#This Row],[кЕзик]]*BAZZS[[#This Row],[кСтуденти]]*кУпражнение</f>
        <v>0</v>
      </c>
      <c r="L40" s="110">
        <f>N(BAZZS[[#This Row],[Изпитани]])*BAZZS[[#This Row],[кИзпитващ]]</f>
        <v>0</v>
      </c>
      <c r="M40" s="666">
        <f>N(BAZZS[[#This Row],[ТО]])*BAZZS[[#This Row],[кTO]]</f>
        <v>0</v>
      </c>
      <c r="N40" s="539"/>
      <c r="O40" s="1444"/>
      <c r="P40" s="1444"/>
      <c r="Q40" s="543"/>
      <c r="R40" s="544"/>
      <c r="S40" s="545"/>
      <c r="T40" s="239"/>
      <c r="U40" s="237"/>
      <c r="V40" s="240"/>
      <c r="W40" s="549" t="s">
        <v>84</v>
      </c>
      <c r="X40" s="822"/>
      <c r="Y40" s="895"/>
      <c r="Z40" s="238"/>
      <c r="AA40" s="241"/>
      <c r="AB40" s="242"/>
      <c r="AC40" s="1402"/>
      <c r="AD40" s="1394"/>
      <c r="AE40" s="1394"/>
      <c r="AF40" s="1394"/>
      <c r="AG40" s="1394"/>
      <c r="AH40" s="1684">
        <f ca="1">N(OFFSET(BAZZS[[#This Row],[|]],-1,0))+1</f>
        <v>10</v>
      </c>
      <c r="AI40" s="1685" t="str">
        <f>IF(BAZZS[[#This Row],[уЧасове]],BAZZS[[#This Row],[нацид|монСпециалностМП]],"")</f>
        <v/>
      </c>
      <c r="AJ40" s="1686">
        <f>SUM(BAZZS[[#This Row],[чЛекции]:[чTO]],N(BAZZS[[#This Row],[КР]])*кКурсова_работа)</f>
        <v>0</v>
      </c>
      <c r="AK40" s="1746"/>
      <c r="AL40" s="1746"/>
      <c r="AM40" s="1746"/>
      <c r="AN40" s="1746"/>
      <c r="AO40" s="1746"/>
      <c r="AP40" s="1746"/>
      <c r="AQ40" s="1746"/>
      <c r="AR40" s="1746"/>
      <c r="AS40" s="1746"/>
      <c r="AT40" s="1746"/>
    </row>
    <row r="41" spans="2:46" s="41" customFormat="1" x14ac:dyDescent="0.3">
      <c r="B41" s="236">
        <f t="shared" si="0"/>
        <v>11</v>
      </c>
      <c r="C41" s="110">
        <f>IFERROR(AND(LEN(BAZZS[[#This Row],[Дисциплина]]&amp;BAZZS[[#This Row],[Специалност]]&amp;BAZZS[[#This Row],[Факултет]])&gt;0,LEN(BAZZS[[#This Row],[Вид]])=0)*1,0)</f>
        <v>0</v>
      </c>
      <c r="D41" s="110">
        <f>AND(BAZZS[[#This Row],[Дисциплина]]&lt;&gt;0,OR(N(BAZZS[[#This Row],[Лекции]])&lt;&gt;0,N(BAZZS[[#This Row],[Упражнения]])&lt;&gt;0),N(BAZZS[[#This Row],[Студенти]])=0)*1</f>
        <v>0</v>
      </c>
      <c r="E41" s="110">
        <f>AND(N(BAZZS[[#This Row],[Изпитани]])&gt;0,BAZZS[[#This Row],[Изпитващ]]=0)*1</f>
        <v>0</v>
      </c>
      <c r="F41" s="111">
        <f>IFERROR(VLOOKUP(BAZZS[[#This Row],[Език]],ТобЕзик[[обЕзик]:[Коеф.]],2,0),0)</f>
        <v>1</v>
      </c>
      <c r="G41" s="110" cm="1">
        <f t="array" ref="G41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1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1" s="686">
        <f>IFERROR(VLOOKUP(BAZZS[[#This Row],[ФормаОб]],тТО[[обФорма]:[Коеф.]],2,0),0)</f>
        <v>0</v>
      </c>
      <c r="J41" s="110">
        <f>N(BAZZS[[#This Row],[Лекции]])*BAZZS[[#This Row],[кЕзик]]*BAZZS[[#This Row],[кСтуденти]]*кЛекции</f>
        <v>0</v>
      </c>
      <c r="K41" s="110">
        <f>N(BAZZS[[#This Row],[Упражнения]])*BAZZS[[#This Row],[кЕзик]]*BAZZS[[#This Row],[кСтуденти]]*кУпражнение</f>
        <v>0</v>
      </c>
      <c r="L41" s="110">
        <f>N(BAZZS[[#This Row],[Изпитани]])*BAZZS[[#This Row],[кИзпитващ]]</f>
        <v>0</v>
      </c>
      <c r="M41" s="666">
        <f>N(BAZZS[[#This Row],[ТО]])*BAZZS[[#This Row],[кTO]]</f>
        <v>0</v>
      </c>
      <c r="N41" s="539"/>
      <c r="O41" s="1444"/>
      <c r="P41" s="1444"/>
      <c r="Q41" s="543"/>
      <c r="R41" s="544"/>
      <c r="S41" s="545"/>
      <c r="T41" s="239"/>
      <c r="U41" s="237"/>
      <c r="V41" s="240"/>
      <c r="W41" s="549" t="s">
        <v>84</v>
      </c>
      <c r="X41" s="822"/>
      <c r="Y41" s="822"/>
      <c r="Z41" s="238"/>
      <c r="AA41" s="241"/>
      <c r="AB41" s="242"/>
      <c r="AC41" s="1402"/>
      <c r="AD41" s="1394"/>
      <c r="AE41" s="1394"/>
      <c r="AF41" s="1394"/>
      <c r="AG41" s="1394"/>
      <c r="AH41" s="1684">
        <f ca="1">N(OFFSET(BAZZS[[#This Row],[|]],-1,0))+1</f>
        <v>11</v>
      </c>
      <c r="AI41" s="1685" t="str">
        <f>IF(BAZZS[[#This Row],[уЧасове]],BAZZS[[#This Row],[нацид|монСпециалностМП]],"")</f>
        <v/>
      </c>
      <c r="AJ41" s="1686">
        <f>SUM(BAZZS[[#This Row],[чЛекции]:[чTO]],N(BAZZS[[#This Row],[КР]])*кКурсова_работа)</f>
        <v>0</v>
      </c>
      <c r="AK41" s="1746"/>
      <c r="AL41" s="1746"/>
      <c r="AM41" s="1746"/>
      <c r="AN41" s="1746"/>
      <c r="AO41" s="1746"/>
      <c r="AP41" s="1746"/>
      <c r="AQ41" s="1746"/>
      <c r="AR41" s="1746"/>
      <c r="AS41" s="1746"/>
      <c r="AT41" s="1746"/>
    </row>
    <row r="42" spans="2:46" s="41" customFormat="1" x14ac:dyDescent="0.3">
      <c r="B42" s="236">
        <f t="shared" si="0"/>
        <v>12</v>
      </c>
      <c r="C42" s="110">
        <f>IFERROR(AND(LEN(BAZZS[[#This Row],[Дисциплина]]&amp;BAZZS[[#This Row],[Специалност]]&amp;BAZZS[[#This Row],[Факултет]])&gt;0,LEN(BAZZS[[#This Row],[Вид]])=0)*1,0)</f>
        <v>0</v>
      </c>
      <c r="D42" s="110">
        <f>AND(BAZZS[[#This Row],[Дисциплина]]&lt;&gt;0,OR(N(BAZZS[[#This Row],[Лекции]])&lt;&gt;0,N(BAZZS[[#This Row],[Упражнения]])&lt;&gt;0),N(BAZZS[[#This Row],[Студенти]])=0)*1</f>
        <v>0</v>
      </c>
      <c r="E42" s="110">
        <f>AND(N(BAZZS[[#This Row],[Изпитани]])&gt;0,BAZZS[[#This Row],[Изпитващ]]=0)*1</f>
        <v>0</v>
      </c>
      <c r="F42" s="111">
        <f>IFERROR(VLOOKUP(BAZZS[[#This Row],[Език]],ТобЕзик[[обЕзик]:[Коеф.]],2,0),0)</f>
        <v>1</v>
      </c>
      <c r="G42" s="110" cm="1">
        <f t="array" ref="G42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2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2" s="686">
        <f>IFERROR(VLOOKUP(BAZZS[[#This Row],[ФормаОб]],тТО[[обФорма]:[Коеф.]],2,0),0)</f>
        <v>0</v>
      </c>
      <c r="J42" s="110">
        <f>N(BAZZS[[#This Row],[Лекции]])*BAZZS[[#This Row],[кЕзик]]*BAZZS[[#This Row],[кСтуденти]]*кЛекции</f>
        <v>0</v>
      </c>
      <c r="K42" s="110">
        <f>N(BAZZS[[#This Row],[Упражнения]])*BAZZS[[#This Row],[кЕзик]]*BAZZS[[#This Row],[кСтуденти]]*кУпражнение</f>
        <v>0</v>
      </c>
      <c r="L42" s="110">
        <f>N(BAZZS[[#This Row],[Изпитани]])*BAZZS[[#This Row],[кИзпитващ]]</f>
        <v>0</v>
      </c>
      <c r="M42" s="666">
        <f>N(BAZZS[[#This Row],[ТО]])*BAZZS[[#This Row],[кTO]]</f>
        <v>0</v>
      </c>
      <c r="N42" s="539"/>
      <c r="O42" s="1444"/>
      <c r="P42" s="1444"/>
      <c r="Q42" s="543"/>
      <c r="R42" s="544"/>
      <c r="S42" s="545"/>
      <c r="T42" s="239"/>
      <c r="U42" s="237"/>
      <c r="V42" s="240"/>
      <c r="W42" s="549" t="s">
        <v>84</v>
      </c>
      <c r="X42" s="822"/>
      <c r="Y42" s="895"/>
      <c r="Z42" s="238"/>
      <c r="AA42" s="241"/>
      <c r="AB42" s="242"/>
      <c r="AC42" s="1402"/>
      <c r="AD42" s="1394"/>
      <c r="AE42" s="1394"/>
      <c r="AF42" s="1394"/>
      <c r="AG42" s="1394"/>
      <c r="AH42" s="1684">
        <f ca="1">N(OFFSET(BAZZS[[#This Row],[|]],-1,0))+1</f>
        <v>12</v>
      </c>
      <c r="AI42" s="1685" t="str">
        <f>IF(BAZZS[[#This Row],[уЧасове]],BAZZS[[#This Row],[нацид|монСпециалностМП]],"")</f>
        <v/>
      </c>
      <c r="AJ42" s="1686">
        <f>SUM(BAZZS[[#This Row],[чЛекции]:[чTO]],N(BAZZS[[#This Row],[КР]])*кКурсова_работа)</f>
        <v>0</v>
      </c>
      <c r="AK42" s="1746"/>
      <c r="AL42" s="1746"/>
      <c r="AM42" s="1746"/>
      <c r="AN42" s="1746"/>
      <c r="AO42" s="1746"/>
      <c r="AP42" s="1746"/>
      <c r="AQ42" s="1746"/>
      <c r="AR42" s="1746"/>
      <c r="AS42" s="1746"/>
      <c r="AT42" s="1746"/>
    </row>
    <row r="43" spans="2:46" s="41" customFormat="1" x14ac:dyDescent="0.3">
      <c r="B43" s="236">
        <f t="shared" si="0"/>
        <v>13</v>
      </c>
      <c r="C43" s="110">
        <f>IFERROR(AND(LEN(BAZZS[[#This Row],[Дисциплина]]&amp;BAZZS[[#This Row],[Специалност]]&amp;BAZZS[[#This Row],[Факултет]])&gt;0,LEN(BAZZS[[#This Row],[Вид]])=0)*1,0)</f>
        <v>0</v>
      </c>
      <c r="D43" s="110">
        <f>AND(BAZZS[[#This Row],[Дисциплина]]&lt;&gt;0,OR(N(BAZZS[[#This Row],[Лекции]])&lt;&gt;0,N(BAZZS[[#This Row],[Упражнения]])&lt;&gt;0),N(BAZZS[[#This Row],[Студенти]])=0)*1</f>
        <v>0</v>
      </c>
      <c r="E43" s="110">
        <f>AND(N(BAZZS[[#This Row],[Изпитани]])&gt;0,BAZZS[[#This Row],[Изпитващ]]=0)*1</f>
        <v>0</v>
      </c>
      <c r="F43" s="111">
        <f>IFERROR(VLOOKUP(BAZZS[[#This Row],[Език]],ТобЕзик[[обЕзик]:[Коеф.]],2,0),0)</f>
        <v>1</v>
      </c>
      <c r="G43" s="110" cm="1">
        <f t="array" ref="G43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3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3" s="686">
        <f>IFERROR(VLOOKUP(BAZZS[[#This Row],[ФормаОб]],тТО[[обФорма]:[Коеф.]],2,0),0)</f>
        <v>0</v>
      </c>
      <c r="J43" s="110">
        <f>N(BAZZS[[#This Row],[Лекции]])*BAZZS[[#This Row],[кЕзик]]*BAZZS[[#This Row],[кСтуденти]]*кЛекции</f>
        <v>0</v>
      </c>
      <c r="K43" s="110">
        <f>N(BAZZS[[#This Row],[Упражнения]])*BAZZS[[#This Row],[кЕзик]]*BAZZS[[#This Row],[кСтуденти]]*кУпражнение</f>
        <v>0</v>
      </c>
      <c r="L43" s="110">
        <f>N(BAZZS[[#This Row],[Изпитани]])*BAZZS[[#This Row],[кИзпитващ]]</f>
        <v>0</v>
      </c>
      <c r="M43" s="666">
        <f>N(BAZZS[[#This Row],[ТО]])*BAZZS[[#This Row],[кTO]]</f>
        <v>0</v>
      </c>
      <c r="N43" s="539"/>
      <c r="O43" s="1444"/>
      <c r="P43" s="1444"/>
      <c r="Q43" s="543"/>
      <c r="R43" s="544"/>
      <c r="S43" s="545"/>
      <c r="T43" s="239"/>
      <c r="U43" s="237"/>
      <c r="V43" s="240"/>
      <c r="W43" s="549" t="s">
        <v>84</v>
      </c>
      <c r="X43" s="822"/>
      <c r="Y43" s="822"/>
      <c r="Z43" s="238"/>
      <c r="AA43" s="241"/>
      <c r="AB43" s="242"/>
      <c r="AC43" s="1402"/>
      <c r="AD43" s="1394"/>
      <c r="AE43" s="1394"/>
      <c r="AF43" s="1394"/>
      <c r="AG43" s="1394"/>
      <c r="AH43" s="1684">
        <f ca="1">N(OFFSET(BAZZS[[#This Row],[|]],-1,0))+1</f>
        <v>13</v>
      </c>
      <c r="AI43" s="1685" t="str">
        <f>IF(BAZZS[[#This Row],[уЧасове]],BAZZS[[#This Row],[нацид|монСпециалностМП]],"")</f>
        <v/>
      </c>
      <c r="AJ43" s="1686">
        <f>SUM(BAZZS[[#This Row],[чЛекции]:[чTO]],N(BAZZS[[#This Row],[КР]])*кКурсова_работа)</f>
        <v>0</v>
      </c>
      <c r="AK43" s="1746"/>
      <c r="AL43" s="1746"/>
      <c r="AM43" s="1746"/>
      <c r="AN43" s="1746"/>
      <c r="AO43" s="1746"/>
      <c r="AP43" s="1746"/>
      <c r="AQ43" s="1746"/>
      <c r="AR43" s="1746"/>
      <c r="AS43" s="1746"/>
      <c r="AT43" s="1746"/>
    </row>
    <row r="44" spans="2:46" s="41" customFormat="1" x14ac:dyDescent="0.3">
      <c r="B44" s="236">
        <f t="shared" si="0"/>
        <v>14</v>
      </c>
      <c r="C44" s="110">
        <f>IFERROR(AND(LEN(BAZZS[[#This Row],[Дисциплина]]&amp;BAZZS[[#This Row],[Специалност]]&amp;BAZZS[[#This Row],[Факултет]])&gt;0,LEN(BAZZS[[#This Row],[Вид]])=0)*1,0)</f>
        <v>0</v>
      </c>
      <c r="D44" s="110">
        <f>AND(BAZZS[[#This Row],[Дисциплина]]&lt;&gt;0,OR(N(BAZZS[[#This Row],[Лекции]])&lt;&gt;0,N(BAZZS[[#This Row],[Упражнения]])&lt;&gt;0),N(BAZZS[[#This Row],[Студенти]])=0)*1</f>
        <v>0</v>
      </c>
      <c r="E44" s="110">
        <f>AND(N(BAZZS[[#This Row],[Изпитани]])&gt;0,BAZZS[[#This Row],[Изпитващ]]=0)*1</f>
        <v>0</v>
      </c>
      <c r="F44" s="111">
        <f>IFERROR(VLOOKUP(BAZZS[[#This Row],[Език]],ТобЕзик[[обЕзик]:[Коеф.]],2,0),0)</f>
        <v>1</v>
      </c>
      <c r="G44" s="110" cm="1">
        <f t="array" ref="G44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4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4" s="686">
        <f>IFERROR(VLOOKUP(BAZZS[[#This Row],[ФормаОб]],тТО[[обФорма]:[Коеф.]],2,0),0)</f>
        <v>0</v>
      </c>
      <c r="J44" s="110">
        <f>N(BAZZS[[#This Row],[Лекции]])*BAZZS[[#This Row],[кЕзик]]*BAZZS[[#This Row],[кСтуденти]]*кЛекции</f>
        <v>0</v>
      </c>
      <c r="K44" s="110">
        <f>N(BAZZS[[#This Row],[Упражнения]])*BAZZS[[#This Row],[кЕзик]]*BAZZS[[#This Row],[кСтуденти]]*кУпражнение</f>
        <v>0</v>
      </c>
      <c r="L44" s="110">
        <f>N(BAZZS[[#This Row],[Изпитани]])*BAZZS[[#This Row],[кИзпитващ]]</f>
        <v>0</v>
      </c>
      <c r="M44" s="666">
        <f>N(BAZZS[[#This Row],[ТО]])*BAZZS[[#This Row],[кTO]]</f>
        <v>0</v>
      </c>
      <c r="N44" s="539"/>
      <c r="O44" s="1444"/>
      <c r="P44" s="1444"/>
      <c r="Q44" s="543"/>
      <c r="R44" s="544"/>
      <c r="S44" s="545"/>
      <c r="T44" s="239"/>
      <c r="U44" s="237"/>
      <c r="V44" s="240"/>
      <c r="W44" s="549" t="s">
        <v>84</v>
      </c>
      <c r="X44" s="822"/>
      <c r="Y44" s="895"/>
      <c r="Z44" s="238"/>
      <c r="AA44" s="241"/>
      <c r="AB44" s="242"/>
      <c r="AC44" s="1402"/>
      <c r="AD44" s="1394"/>
      <c r="AE44" s="1394"/>
      <c r="AF44" s="1394"/>
      <c r="AG44" s="1394"/>
      <c r="AH44" s="1684">
        <f ca="1">N(OFFSET(BAZZS[[#This Row],[|]],-1,0))+1</f>
        <v>14</v>
      </c>
      <c r="AI44" s="1685" t="str">
        <f>IF(BAZZS[[#This Row],[уЧасове]],BAZZS[[#This Row],[нацид|монСпециалностМП]],"")</f>
        <v/>
      </c>
      <c r="AJ44" s="1686">
        <f>SUM(BAZZS[[#This Row],[чЛекции]:[чTO]],N(BAZZS[[#This Row],[КР]])*кКурсова_работа)</f>
        <v>0</v>
      </c>
      <c r="AK44" s="1746"/>
      <c r="AL44" s="1746"/>
      <c r="AM44" s="1746"/>
      <c r="AN44" s="1746"/>
      <c r="AO44" s="1746"/>
      <c r="AP44" s="1746"/>
      <c r="AQ44" s="1746"/>
      <c r="AR44" s="1746"/>
      <c r="AS44" s="1746"/>
      <c r="AT44" s="1746"/>
    </row>
    <row r="45" spans="2:46" s="41" customFormat="1" x14ac:dyDescent="0.3">
      <c r="B45" s="236">
        <f t="shared" si="0"/>
        <v>15</v>
      </c>
      <c r="C45" s="110">
        <f>IFERROR(AND(LEN(BAZZS[[#This Row],[Дисциплина]]&amp;BAZZS[[#This Row],[Специалност]]&amp;BAZZS[[#This Row],[Факултет]])&gt;0,LEN(BAZZS[[#This Row],[Вид]])=0)*1,0)</f>
        <v>0</v>
      </c>
      <c r="D45" s="110">
        <f>AND(BAZZS[[#This Row],[Дисциплина]]&lt;&gt;0,OR(N(BAZZS[[#This Row],[Лекции]])&lt;&gt;0,N(BAZZS[[#This Row],[Упражнения]])&lt;&gt;0),N(BAZZS[[#This Row],[Студенти]])=0)*1</f>
        <v>0</v>
      </c>
      <c r="E45" s="110">
        <f>AND(N(BAZZS[[#This Row],[Изпитани]])&gt;0,BAZZS[[#This Row],[Изпитващ]]=0)*1</f>
        <v>0</v>
      </c>
      <c r="F45" s="111">
        <f>IFERROR(VLOOKUP(BAZZS[[#This Row],[Език]],ТобЕзик[[обЕзик]:[Коеф.]],2,0),0)</f>
        <v>1</v>
      </c>
      <c r="G45" s="110" cm="1">
        <f t="array" ref="G45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5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5" s="686">
        <f>IFERROR(VLOOKUP(BAZZS[[#This Row],[ФормаОб]],тТО[[обФорма]:[Коеф.]],2,0),0)</f>
        <v>0</v>
      </c>
      <c r="J45" s="110">
        <f>N(BAZZS[[#This Row],[Лекции]])*BAZZS[[#This Row],[кЕзик]]*BAZZS[[#This Row],[кСтуденти]]*кЛекции</f>
        <v>0</v>
      </c>
      <c r="K45" s="110">
        <f>N(BAZZS[[#This Row],[Упражнения]])*BAZZS[[#This Row],[кЕзик]]*BAZZS[[#This Row],[кСтуденти]]*кУпражнение</f>
        <v>0</v>
      </c>
      <c r="L45" s="110">
        <f>N(BAZZS[[#This Row],[Изпитани]])*BAZZS[[#This Row],[кИзпитващ]]</f>
        <v>0</v>
      </c>
      <c r="M45" s="666">
        <f>N(BAZZS[[#This Row],[ТО]])*BAZZS[[#This Row],[кTO]]</f>
        <v>0</v>
      </c>
      <c r="N45" s="539"/>
      <c r="O45" s="1444"/>
      <c r="P45" s="1444"/>
      <c r="Q45" s="543"/>
      <c r="R45" s="544"/>
      <c r="S45" s="545"/>
      <c r="T45" s="239"/>
      <c r="U45" s="237"/>
      <c r="V45" s="240"/>
      <c r="W45" s="549" t="s">
        <v>84</v>
      </c>
      <c r="X45" s="822"/>
      <c r="Y45" s="822"/>
      <c r="Z45" s="238"/>
      <c r="AA45" s="241"/>
      <c r="AB45" s="242"/>
      <c r="AC45" s="1402"/>
      <c r="AD45" s="1394"/>
      <c r="AE45" s="1394"/>
      <c r="AF45" s="1394"/>
      <c r="AG45" s="1394"/>
      <c r="AH45" s="1684">
        <f ca="1">N(OFFSET(BAZZS[[#This Row],[|]],-1,0))+1</f>
        <v>15</v>
      </c>
      <c r="AI45" s="1685" t="str">
        <f>IF(BAZZS[[#This Row],[уЧасове]],BAZZS[[#This Row],[нацид|монСпециалностМП]],"")</f>
        <v/>
      </c>
      <c r="AJ45" s="1686">
        <f>SUM(BAZZS[[#This Row],[чЛекции]:[чTO]],N(BAZZS[[#This Row],[КР]])*кКурсова_работа)</f>
        <v>0</v>
      </c>
      <c r="AK45" s="1746"/>
      <c r="AL45" s="1746"/>
      <c r="AM45" s="1746"/>
      <c r="AN45" s="1746"/>
      <c r="AO45" s="1746"/>
      <c r="AP45" s="1746"/>
      <c r="AQ45" s="1746"/>
      <c r="AR45" s="1746"/>
      <c r="AS45" s="1746"/>
      <c r="AT45" s="1746"/>
    </row>
    <row r="46" spans="2:46" s="41" customFormat="1" x14ac:dyDescent="0.3">
      <c r="B46" s="236">
        <f t="shared" si="0"/>
        <v>16</v>
      </c>
      <c r="C46" s="110">
        <f>IFERROR(AND(LEN(BAZZS[[#This Row],[Дисциплина]]&amp;BAZZS[[#This Row],[Специалност]]&amp;BAZZS[[#This Row],[Факултет]])&gt;0,LEN(BAZZS[[#This Row],[Вид]])=0)*1,0)</f>
        <v>0</v>
      </c>
      <c r="D46" s="110">
        <f>AND(BAZZS[[#This Row],[Дисциплина]]&lt;&gt;0,OR(N(BAZZS[[#This Row],[Лекции]])&lt;&gt;0,N(BAZZS[[#This Row],[Упражнения]])&lt;&gt;0),N(BAZZS[[#This Row],[Студенти]])=0)*1</f>
        <v>0</v>
      </c>
      <c r="E46" s="110">
        <f>AND(N(BAZZS[[#This Row],[Изпитани]])&gt;0,BAZZS[[#This Row],[Изпитващ]]=0)*1</f>
        <v>0</v>
      </c>
      <c r="F46" s="111">
        <f>IFERROR(VLOOKUP(BAZZS[[#This Row],[Език]],ТобЕзик[[обЕзик]:[Коеф.]],2,0),0)</f>
        <v>1</v>
      </c>
      <c r="G46" s="110" cm="1">
        <f t="array" ref="G46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6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6" s="686">
        <f>IFERROR(VLOOKUP(BAZZS[[#This Row],[ФормаОб]],тТО[[обФорма]:[Коеф.]],2,0),0)</f>
        <v>0</v>
      </c>
      <c r="J46" s="110">
        <f>N(BAZZS[[#This Row],[Лекции]])*BAZZS[[#This Row],[кЕзик]]*BAZZS[[#This Row],[кСтуденти]]*кЛекции</f>
        <v>0</v>
      </c>
      <c r="K46" s="110">
        <f>N(BAZZS[[#This Row],[Упражнения]])*BAZZS[[#This Row],[кЕзик]]*BAZZS[[#This Row],[кСтуденти]]*кУпражнение</f>
        <v>0</v>
      </c>
      <c r="L46" s="110">
        <f>N(BAZZS[[#This Row],[Изпитани]])*BAZZS[[#This Row],[кИзпитващ]]</f>
        <v>0</v>
      </c>
      <c r="M46" s="666">
        <f>N(BAZZS[[#This Row],[ТО]])*BAZZS[[#This Row],[кTO]]</f>
        <v>0</v>
      </c>
      <c r="N46" s="539"/>
      <c r="O46" s="1444"/>
      <c r="P46" s="1444"/>
      <c r="Q46" s="543"/>
      <c r="R46" s="544"/>
      <c r="S46" s="545"/>
      <c r="T46" s="239"/>
      <c r="U46" s="237"/>
      <c r="V46" s="240"/>
      <c r="W46" s="549" t="s">
        <v>84</v>
      </c>
      <c r="X46" s="822"/>
      <c r="Y46" s="895"/>
      <c r="Z46" s="238"/>
      <c r="AA46" s="241"/>
      <c r="AB46" s="242"/>
      <c r="AC46" s="1402"/>
      <c r="AD46" s="1394"/>
      <c r="AE46" s="1394"/>
      <c r="AF46" s="1394"/>
      <c r="AG46" s="1394"/>
      <c r="AH46" s="1684">
        <f ca="1">N(OFFSET(BAZZS[[#This Row],[|]],-1,0))+1</f>
        <v>16</v>
      </c>
      <c r="AI46" s="1685" t="str">
        <f>IF(BAZZS[[#This Row],[уЧасове]],BAZZS[[#This Row],[нацид|монСпециалностМП]],"")</f>
        <v/>
      </c>
      <c r="AJ46" s="1686">
        <f>SUM(BAZZS[[#This Row],[чЛекции]:[чTO]],N(BAZZS[[#This Row],[КР]])*кКурсова_работа)</f>
        <v>0</v>
      </c>
      <c r="AK46" s="1746"/>
      <c r="AL46" s="1746"/>
      <c r="AM46" s="1746"/>
      <c r="AN46" s="1746"/>
      <c r="AO46" s="1746"/>
      <c r="AP46" s="1746"/>
      <c r="AQ46" s="1746"/>
      <c r="AR46" s="1746"/>
      <c r="AS46" s="1746"/>
      <c r="AT46" s="1746"/>
    </row>
    <row r="47" spans="2:46" s="41" customFormat="1" x14ac:dyDescent="0.3">
      <c r="B47" s="236">
        <f t="shared" si="0"/>
        <v>17</v>
      </c>
      <c r="C47" s="110">
        <f>IFERROR(AND(LEN(BAZZS[[#This Row],[Дисциплина]]&amp;BAZZS[[#This Row],[Специалност]]&amp;BAZZS[[#This Row],[Факултет]])&gt;0,LEN(BAZZS[[#This Row],[Вид]])=0)*1,0)</f>
        <v>0</v>
      </c>
      <c r="D47" s="110">
        <f>AND(BAZZS[[#This Row],[Дисциплина]]&lt;&gt;0,OR(N(BAZZS[[#This Row],[Лекции]])&lt;&gt;0,N(BAZZS[[#This Row],[Упражнения]])&lt;&gt;0),N(BAZZS[[#This Row],[Студенти]])=0)*1</f>
        <v>0</v>
      </c>
      <c r="E47" s="110">
        <f>AND(N(BAZZS[[#This Row],[Изпитани]])&gt;0,BAZZS[[#This Row],[Изпитващ]]=0)*1</f>
        <v>0</v>
      </c>
      <c r="F47" s="111">
        <f>IFERROR(VLOOKUP(BAZZS[[#This Row],[Език]],ТобЕзик[[обЕзик]:[Коеф.]],2,0),0)</f>
        <v>1</v>
      </c>
      <c r="G47" s="110" cm="1">
        <f t="array" ref="G47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7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7" s="686">
        <f>IFERROR(VLOOKUP(BAZZS[[#This Row],[ФормаОб]],тТО[[обФорма]:[Коеф.]],2,0),0)</f>
        <v>0</v>
      </c>
      <c r="J47" s="110">
        <f>N(BAZZS[[#This Row],[Лекции]])*BAZZS[[#This Row],[кЕзик]]*BAZZS[[#This Row],[кСтуденти]]*кЛекции</f>
        <v>0</v>
      </c>
      <c r="K47" s="110">
        <f>N(BAZZS[[#This Row],[Упражнения]])*BAZZS[[#This Row],[кЕзик]]*BAZZS[[#This Row],[кСтуденти]]*кУпражнение</f>
        <v>0</v>
      </c>
      <c r="L47" s="110">
        <f>N(BAZZS[[#This Row],[Изпитани]])*BAZZS[[#This Row],[кИзпитващ]]</f>
        <v>0</v>
      </c>
      <c r="M47" s="666">
        <f>N(BAZZS[[#This Row],[ТО]])*BAZZS[[#This Row],[кTO]]</f>
        <v>0</v>
      </c>
      <c r="N47" s="539"/>
      <c r="O47" s="1444"/>
      <c r="P47" s="1444"/>
      <c r="Q47" s="543"/>
      <c r="R47" s="544"/>
      <c r="S47" s="545"/>
      <c r="T47" s="239"/>
      <c r="U47" s="237"/>
      <c r="V47" s="240"/>
      <c r="W47" s="549" t="s">
        <v>84</v>
      </c>
      <c r="X47" s="822"/>
      <c r="Y47" s="822"/>
      <c r="Z47" s="238"/>
      <c r="AA47" s="241"/>
      <c r="AB47" s="242"/>
      <c r="AC47" s="1402"/>
      <c r="AD47" s="1394"/>
      <c r="AE47" s="1394"/>
      <c r="AF47" s="1394"/>
      <c r="AG47" s="1394"/>
      <c r="AH47" s="1684">
        <f ca="1">N(OFFSET(BAZZS[[#This Row],[|]],-1,0))+1</f>
        <v>17</v>
      </c>
      <c r="AI47" s="1685" t="str">
        <f>IF(BAZZS[[#This Row],[уЧасове]],BAZZS[[#This Row],[нацид|монСпециалностМП]],"")</f>
        <v/>
      </c>
      <c r="AJ47" s="1686">
        <f>SUM(BAZZS[[#This Row],[чЛекции]:[чTO]],N(BAZZS[[#This Row],[КР]])*кКурсова_работа)</f>
        <v>0</v>
      </c>
      <c r="AK47" s="1746"/>
      <c r="AL47" s="1746"/>
      <c r="AM47" s="1746"/>
      <c r="AN47" s="1746"/>
      <c r="AO47" s="1746"/>
      <c r="AP47" s="1746"/>
      <c r="AQ47" s="1746"/>
      <c r="AR47" s="1746"/>
      <c r="AS47" s="1746"/>
      <c r="AT47" s="1746"/>
    </row>
    <row r="48" spans="2:46" s="41" customFormat="1" x14ac:dyDescent="0.3">
      <c r="B48" s="236">
        <f t="shared" si="0"/>
        <v>18</v>
      </c>
      <c r="C48" s="110">
        <f>IFERROR(AND(LEN(BAZZS[[#This Row],[Дисциплина]]&amp;BAZZS[[#This Row],[Специалност]]&amp;BAZZS[[#This Row],[Факултет]])&gt;0,LEN(BAZZS[[#This Row],[Вид]])=0)*1,0)</f>
        <v>0</v>
      </c>
      <c r="D48" s="110">
        <f>AND(BAZZS[[#This Row],[Дисциплина]]&lt;&gt;0,OR(N(BAZZS[[#This Row],[Лекции]])&lt;&gt;0,N(BAZZS[[#This Row],[Упражнения]])&lt;&gt;0),N(BAZZS[[#This Row],[Студенти]])=0)*1</f>
        <v>0</v>
      </c>
      <c r="E48" s="110">
        <f>AND(N(BAZZS[[#This Row],[Изпитани]])&gt;0,BAZZS[[#This Row],[Изпитващ]]=0)*1</f>
        <v>0</v>
      </c>
      <c r="F48" s="111">
        <f>IFERROR(VLOOKUP(BAZZS[[#This Row],[Език]],ТобЕзик[[обЕзик]:[Коеф.]],2,0),0)</f>
        <v>1</v>
      </c>
      <c r="G48" s="110" cm="1">
        <f t="array" ref="G48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8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8" s="686">
        <f>IFERROR(VLOOKUP(BAZZS[[#This Row],[ФормаОб]],тТО[[обФорма]:[Коеф.]],2,0),0)</f>
        <v>0</v>
      </c>
      <c r="J48" s="110">
        <f>N(BAZZS[[#This Row],[Лекции]])*BAZZS[[#This Row],[кЕзик]]*BAZZS[[#This Row],[кСтуденти]]*кЛекции</f>
        <v>0</v>
      </c>
      <c r="K48" s="110">
        <f>N(BAZZS[[#This Row],[Упражнения]])*BAZZS[[#This Row],[кЕзик]]*BAZZS[[#This Row],[кСтуденти]]*кУпражнение</f>
        <v>0</v>
      </c>
      <c r="L48" s="110">
        <f>N(BAZZS[[#This Row],[Изпитани]])*BAZZS[[#This Row],[кИзпитващ]]</f>
        <v>0</v>
      </c>
      <c r="M48" s="666">
        <f>N(BAZZS[[#This Row],[ТО]])*BAZZS[[#This Row],[кTO]]</f>
        <v>0</v>
      </c>
      <c r="N48" s="539"/>
      <c r="O48" s="1444"/>
      <c r="P48" s="1444"/>
      <c r="Q48" s="543"/>
      <c r="R48" s="544"/>
      <c r="S48" s="545"/>
      <c r="T48" s="239"/>
      <c r="U48" s="237"/>
      <c r="V48" s="240"/>
      <c r="W48" s="549" t="s">
        <v>84</v>
      </c>
      <c r="X48" s="822"/>
      <c r="Y48" s="895"/>
      <c r="Z48" s="238"/>
      <c r="AA48" s="241"/>
      <c r="AB48" s="242"/>
      <c r="AC48" s="1402"/>
      <c r="AD48" s="1394"/>
      <c r="AE48" s="1394"/>
      <c r="AF48" s="1394"/>
      <c r="AG48" s="1394"/>
      <c r="AH48" s="1684">
        <f ca="1">N(OFFSET(BAZZS[[#This Row],[|]],-1,0))+1</f>
        <v>18</v>
      </c>
      <c r="AI48" s="1685" t="str">
        <f>IF(BAZZS[[#This Row],[уЧасове]],BAZZS[[#This Row],[нацид|монСпециалностМП]],"")</f>
        <v/>
      </c>
      <c r="AJ48" s="1686">
        <f>SUM(BAZZS[[#This Row],[чЛекции]:[чTO]],N(BAZZS[[#This Row],[КР]])*кКурсова_работа)</f>
        <v>0</v>
      </c>
      <c r="AK48" s="1746"/>
      <c r="AL48" s="1746"/>
      <c r="AM48" s="1746"/>
      <c r="AN48" s="1746"/>
      <c r="AO48" s="1746"/>
      <c r="AP48" s="1746"/>
      <c r="AQ48" s="1746"/>
      <c r="AR48" s="1746"/>
      <c r="AS48" s="1746"/>
      <c r="AT48" s="1746"/>
    </row>
    <row r="49" spans="2:46" s="41" customFormat="1" ht="17.25" thickBot="1" x14ac:dyDescent="0.35">
      <c r="B49" s="236">
        <f t="shared" si="0"/>
        <v>19</v>
      </c>
      <c r="C49" s="110">
        <f>IFERROR(AND(LEN(BAZZS[[#This Row],[Дисциплина]]&amp;BAZZS[[#This Row],[Специалност]]&amp;BAZZS[[#This Row],[Факултет]])&gt;0,LEN(BAZZS[[#This Row],[Вид]])=0)*1,0)</f>
        <v>0</v>
      </c>
      <c r="D49" s="110">
        <f>AND(BAZZS[[#This Row],[Дисциплина]]&lt;&gt;0,OR(N(BAZZS[[#This Row],[Лекции]])&lt;&gt;0,N(BAZZS[[#This Row],[Упражнения]])&lt;&gt;0),N(BAZZS[[#This Row],[Студенти]])=0)*1</f>
        <v>0</v>
      </c>
      <c r="E49" s="110">
        <f>AND(N(BAZZS[[#This Row],[Изпитани]])&gt;0,BAZZS[[#This Row],[Изпитващ]]=0)*1</f>
        <v>0</v>
      </c>
      <c r="F49" s="111">
        <f>IFERROR(VLOOKUP(BAZZS[[#This Row],[Език]],ТобЕзик[[обЕзик]:[Коеф.]],2,0),0)</f>
        <v>1</v>
      </c>
      <c r="G49" s="110" cm="1">
        <f t="array" ref="G49">IFERROR(IF(AND(BAZZS[[#This Row],[Студенти]]&gt;0,OR(BAZZS[[#This Row],[Вид]]="З",BAZZS[[#This Row],[Студенти]]&gt;=6,BAZZS[[#This Row],[ФормаОб]]="ИП",SUMPRODUCT(COUNTIF(BAZZS[[#This Row],[Факултет]],"*"&amp;тЗСпец[Факултет]&amp;"*"),COUNTIF(BAZZS[[#This Row],[Специалност]],тЗСпец[Бак]&amp;"*")))),1,VLOOKUP(BAZZS[[#This Row],[Студенти]],ТкСтуденти[[брСтуденти]:[Коеф.]],2,0)),0)</f>
        <v>0</v>
      </c>
      <c r="H49" s="110">
        <f>IFERROR(IF(AND(COUNTIF(nФакултетОтчет,"*математика*"),BAZZS[[#This Row],[ФормаОц]]="КИ"),0.9,IF(T(BAZZS[[#This Row],[Изпитващ]])="",0,VLOOKUP(BAZZS[[#This Row],[Изпитващ]],ТвидИзпитващ[[видИзпитващ]:[Коеф.]],2,0))),0)</f>
        <v>0</v>
      </c>
      <c r="I49" s="686">
        <f>IFERROR(VLOOKUP(BAZZS[[#This Row],[ФормаОб]],тТО[[обФорма]:[Коеф.]],2,0),0)</f>
        <v>0</v>
      </c>
      <c r="J49" s="110">
        <f>N(BAZZS[[#This Row],[Лекции]])*BAZZS[[#This Row],[кЕзик]]*BAZZS[[#This Row],[кСтуденти]]*кЛекции</f>
        <v>0</v>
      </c>
      <c r="K49" s="110">
        <f>N(BAZZS[[#This Row],[Упражнения]])*BAZZS[[#This Row],[кЕзик]]*BAZZS[[#This Row],[кСтуденти]]*кУпражнение</f>
        <v>0</v>
      </c>
      <c r="L49" s="110">
        <f>N(BAZZS[[#This Row],[Изпитани]])*BAZZS[[#This Row],[кИзпитващ]]</f>
        <v>0</v>
      </c>
      <c r="M49" s="666">
        <f>N(BAZZS[[#This Row],[ТО]])*BAZZS[[#This Row],[кTO]]</f>
        <v>0</v>
      </c>
      <c r="N49" s="1446"/>
      <c r="O49" s="1447"/>
      <c r="P49" s="1447"/>
      <c r="Q49" s="546"/>
      <c r="R49" s="547"/>
      <c r="S49" s="548"/>
      <c r="T49" s="514"/>
      <c r="U49" s="885"/>
      <c r="V49" s="886"/>
      <c r="W49" s="1448" t="s">
        <v>84</v>
      </c>
      <c r="X49" s="897"/>
      <c r="Y49" s="897"/>
      <c r="Z49" s="1229"/>
      <c r="AA49" s="263"/>
      <c r="AB49" s="264"/>
      <c r="AC49" s="1402"/>
      <c r="AD49" s="1394"/>
      <c r="AE49" s="1394"/>
      <c r="AF49" s="1394"/>
      <c r="AG49" s="1394"/>
      <c r="AH49" s="1687">
        <f ca="1">N(OFFSET(BAZZS[[#This Row],[|]],-1,0))+1</f>
        <v>19</v>
      </c>
      <c r="AI49" s="1685" t="str">
        <f>IF(BAZZS[[#This Row],[уЧасове]],BAZZS[[#This Row],[нацид|монСпециалностМП]],"")</f>
        <v/>
      </c>
      <c r="AJ49" s="1686">
        <f>SUM(BAZZS[[#This Row],[чЛекции]:[чTO]],N(BAZZS[[#This Row],[КР]])*кКурсова_работа)</f>
        <v>0</v>
      </c>
      <c r="AK49" s="1746"/>
      <c r="AL49" s="1746"/>
      <c r="AM49" s="1746"/>
      <c r="AN49" s="1746"/>
      <c r="AO49" s="1746"/>
      <c r="AP49" s="1746"/>
      <c r="AQ49" s="1746"/>
      <c r="AR49" s="1746"/>
      <c r="AS49" s="1746"/>
      <c r="AT49" s="1746"/>
    </row>
    <row r="50" spans="2:46" s="42" customFormat="1" ht="9.9499999999999993" customHeight="1" x14ac:dyDescent="0.3">
      <c r="B50" s="107" t="s">
        <v>412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 s="234"/>
      <c r="AD50" s="234"/>
      <c r="AE50" s="234"/>
      <c r="AF50" s="234"/>
      <c r="AG50" s="234"/>
      <c r="AH50" s="234"/>
      <c r="AI50" s="234"/>
      <c r="AJ50" s="1741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</row>
    <row r="51" spans="2:46" s="42" customFormat="1" ht="26.25" customHeight="1" x14ac:dyDescent="0.3">
      <c r="B51" s="176" t="s">
        <v>415</v>
      </c>
      <c r="M51" s="441" t="str">
        <f>IF(M25,2,"1.2")</f>
        <v>1.2</v>
      </c>
      <c r="N51" s="2594" t="str">
        <f>M51&amp;". ОКС ""бакалавър"" и ""магистър"" след средно образование – практики и курсови работи – ЗИМЕН семестър"</f>
        <v>1.2. ОКС "бакалавър" и "магистър" след средно образование – практики и курсови работи – ЗИМЕН семестър</v>
      </c>
      <c r="O51" s="2595"/>
      <c r="P51" s="2595"/>
      <c r="Q51" s="2595"/>
      <c r="R51" s="2595"/>
      <c r="S51" s="2595"/>
      <c r="T51" s="2595"/>
      <c r="U51" s="2595"/>
      <c r="V51" s="2595"/>
      <c r="W51" s="2595"/>
      <c r="X51" s="2595"/>
      <c r="Y51" s="2595"/>
      <c r="Z51" s="2595"/>
      <c r="AA51" s="2595"/>
      <c r="AB51" s="2596"/>
      <c r="AC51" s="234"/>
      <c r="AD51" s="234"/>
      <c r="AE51" s="234"/>
      <c r="AF51" s="234"/>
      <c r="AG51" s="234"/>
      <c r="AH51" s="234"/>
      <c r="AI51" s="234"/>
      <c r="AJ51" s="1741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</row>
    <row r="52" spans="2:46" s="42" customFormat="1" ht="21" customHeight="1" thickBot="1" x14ac:dyDescent="0.35">
      <c r="B52" s="106" t="s">
        <v>471</v>
      </c>
      <c r="C52" s="36"/>
      <c r="D52" s="36"/>
      <c r="E52" s="36"/>
      <c r="F52" s="36"/>
      <c r="G52" s="36"/>
      <c r="K52" s="36"/>
      <c r="L52" s="36"/>
      <c r="N52" s="2597" t="s">
        <v>786</v>
      </c>
      <c r="O52" s="2598"/>
      <c r="P52" s="2598"/>
      <c r="Q52" s="2598"/>
      <c r="R52" s="2598"/>
      <c r="S52" s="2598"/>
      <c r="T52" s="2598"/>
      <c r="U52" s="2598"/>
      <c r="V52" s="2598"/>
      <c r="W52" s="2598"/>
      <c r="X52" s="2598"/>
      <c r="Y52" s="2598"/>
      <c r="Z52" s="2598"/>
      <c r="AA52" s="2598"/>
      <c r="AB52" s="2599"/>
      <c r="AC52" s="234"/>
      <c r="AD52" s="234"/>
      <c r="AE52" s="234"/>
      <c r="AF52" s="234"/>
      <c r="AG52" s="234"/>
      <c r="AH52" s="234"/>
      <c r="AI52" s="234"/>
      <c r="AJ52" s="1741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</row>
    <row r="53" spans="2:46" s="348" customFormat="1" ht="21.75" customHeight="1" thickBot="1" x14ac:dyDescent="0.3">
      <c r="B53" s="346" t="s">
        <v>413</v>
      </c>
      <c r="C53" s="347"/>
      <c r="D53" s="347"/>
      <c r="E53" s="347"/>
      <c r="N53" s="2643" t="s">
        <v>22</v>
      </c>
      <c r="O53" s="2607" t="s">
        <v>17</v>
      </c>
      <c r="P53" s="2644" t="s">
        <v>18</v>
      </c>
      <c r="Q53" s="2643" t="s">
        <v>19</v>
      </c>
      <c r="R53" s="2607" t="s">
        <v>20</v>
      </c>
      <c r="S53" s="2575" t="s">
        <v>562</v>
      </c>
      <c r="T53" s="2605" t="s">
        <v>502</v>
      </c>
      <c r="U53" s="2604" t="s">
        <v>551</v>
      </c>
      <c r="V53" s="2605"/>
      <c r="W53" s="2606"/>
      <c r="X53" s="2639" t="s">
        <v>468</v>
      </c>
      <c r="Y53" s="2641" t="s">
        <v>309</v>
      </c>
      <c r="Z53" s="2643" t="s">
        <v>332</v>
      </c>
      <c r="AA53" s="2607"/>
      <c r="AB53" s="2609"/>
      <c r="AC53" s="1511"/>
      <c r="AD53" s="1511"/>
      <c r="AE53" s="1511"/>
      <c r="AF53" s="1511"/>
      <c r="AG53" s="1511"/>
      <c r="AH53" s="1511"/>
      <c r="AI53" s="1511"/>
      <c r="AJ53" s="1511"/>
      <c r="AK53" s="1747"/>
      <c r="AL53" s="1747"/>
      <c r="AM53" s="1747"/>
      <c r="AN53" s="1747"/>
      <c r="AO53" s="1747"/>
      <c r="AP53" s="1747"/>
      <c r="AQ53" s="1747"/>
      <c r="AR53" s="1747"/>
      <c r="AS53" s="1747"/>
      <c r="AT53" s="1747"/>
    </row>
    <row r="54" spans="2:46" s="347" customFormat="1" ht="26.25" thickBot="1" x14ac:dyDescent="0.3">
      <c r="B54" s="346" t="s">
        <v>414</v>
      </c>
      <c r="C54" s="2580" t="s">
        <v>568</v>
      </c>
      <c r="D54" s="2600"/>
      <c r="E54" s="2600"/>
      <c r="F54" s="2581"/>
      <c r="G54" s="2580" t="s">
        <v>313</v>
      </c>
      <c r="H54" s="2581"/>
      <c r="I54" s="2580" t="s">
        <v>310</v>
      </c>
      <c r="J54" s="2581"/>
      <c r="K54" s="2611" t="s">
        <v>336</v>
      </c>
      <c r="L54" s="2611"/>
      <c r="M54" s="2612"/>
      <c r="N54" s="2646"/>
      <c r="O54" s="2608"/>
      <c r="P54" s="2645"/>
      <c r="Q54" s="2646"/>
      <c r="R54" s="2608"/>
      <c r="S54" s="2576"/>
      <c r="T54" s="2647"/>
      <c r="U54" s="369" t="s">
        <v>550</v>
      </c>
      <c r="V54" s="370" t="s">
        <v>774</v>
      </c>
      <c r="W54" s="371" t="s">
        <v>775</v>
      </c>
      <c r="X54" s="2640"/>
      <c r="Y54" s="2642"/>
      <c r="Z54" s="220" t="s">
        <v>327</v>
      </c>
      <c r="AA54" s="221" t="s">
        <v>328</v>
      </c>
      <c r="AB54" s="222" t="s">
        <v>389</v>
      </c>
      <c r="AC54" s="2564" t="s">
        <v>7821</v>
      </c>
      <c r="AD54" s="2568"/>
      <c r="AE54" s="2568"/>
      <c r="AF54" s="2568"/>
      <c r="AG54" s="2565"/>
      <c r="AH54" s="2564" t="s">
        <v>9528</v>
      </c>
      <c r="AI54" s="2568"/>
      <c r="AJ54" s="2565"/>
      <c r="AK54" s="1747"/>
      <c r="AL54" s="1747"/>
      <c r="AM54" s="1747"/>
      <c r="AN54" s="1747"/>
      <c r="AO54" s="1747"/>
      <c r="AP54" s="1747"/>
      <c r="AQ54" s="1747"/>
      <c r="AR54" s="1747"/>
      <c r="AS54" s="1747"/>
      <c r="AT54" s="1747"/>
    </row>
    <row r="55" spans="2:46" ht="21" hidden="1" thickBot="1" x14ac:dyDescent="0.35">
      <c r="B55" s="106" t="s">
        <v>419</v>
      </c>
      <c r="C55" s="380" t="s">
        <v>575</v>
      </c>
      <c r="D55" s="810" t="s">
        <v>894</v>
      </c>
      <c r="E55" s="375" t="s">
        <v>569</v>
      </c>
      <c r="F55" s="123" t="s">
        <v>616</v>
      </c>
      <c r="G55" s="122" t="s">
        <v>390</v>
      </c>
      <c r="H55" s="123" t="s">
        <v>335</v>
      </c>
      <c r="I55" s="122" t="s">
        <v>391</v>
      </c>
      <c r="J55" s="668" t="s">
        <v>333</v>
      </c>
      <c r="K55" s="363" t="s">
        <v>572</v>
      </c>
      <c r="L55" s="363" t="s">
        <v>387</v>
      </c>
      <c r="M55" s="675" t="s">
        <v>334</v>
      </c>
      <c r="N55" s="1419" t="s">
        <v>22</v>
      </c>
      <c r="O55" s="1420" t="s">
        <v>17</v>
      </c>
      <c r="P55" s="1420" t="s">
        <v>18</v>
      </c>
      <c r="Q55" s="1419" t="s">
        <v>19</v>
      </c>
      <c r="R55" s="1420" t="s">
        <v>20</v>
      </c>
      <c r="S55" s="1420" t="s">
        <v>620</v>
      </c>
      <c r="T55" s="1421" t="s">
        <v>618</v>
      </c>
      <c r="U55" s="1422" t="s">
        <v>571</v>
      </c>
      <c r="V55" s="1423" t="s">
        <v>547</v>
      </c>
      <c r="W55" s="1424" t="s">
        <v>564</v>
      </c>
      <c r="X55" s="1422" t="s">
        <v>621</v>
      </c>
      <c r="Y55" s="1421" t="s">
        <v>330</v>
      </c>
      <c r="Z55" s="1425" t="s">
        <v>327</v>
      </c>
      <c r="AA55" s="1425" t="s">
        <v>86</v>
      </c>
      <c r="AB55" s="1426" t="s">
        <v>329</v>
      </c>
      <c r="AC55" s="1742" t="s">
        <v>1093</v>
      </c>
      <c r="AD55" s="1742" t="s">
        <v>1094</v>
      </c>
      <c r="AE55" s="1742" t="s">
        <v>1095</v>
      </c>
      <c r="AF55" s="1743" t="s">
        <v>1097</v>
      </c>
      <c r="AG55" s="1742" t="s">
        <v>7735</v>
      </c>
      <c r="AH55" s="1744" t="s">
        <v>1092</v>
      </c>
      <c r="AI55" s="1742" t="s">
        <v>7736</v>
      </c>
      <c r="AJ55" s="1742" t="s">
        <v>7828</v>
      </c>
    </row>
    <row r="56" spans="2:46" x14ac:dyDescent="0.3">
      <c r="B56" s="236">
        <f t="shared" ref="B56:B65" si="1">N(B55)+1</f>
        <v>1</v>
      </c>
      <c r="C56" s="110">
        <f>IFERROR(MATCH(BPZS[[#This Row],[ВидПрактика]],T_УчПрактики[Практика и курсова работа],0),0)</f>
        <v>0</v>
      </c>
      <c r="D56" s="111" t="str" cm="1">
        <f t="array" ref="D56">IF(BPZS[[#This Row],[пВидПрактика]],INDEX(T_УчПрактики[Студенти],BPZS[[#This Row],[пВидПрактика]]),"-")</f>
        <v>-</v>
      </c>
      <c r="E56" s="811" t="str" cm="1">
        <f t="array" ref="E56">IF(BPZS[[#This Row],[пВидПрактика]],INDEX(T_УчПрактики[Група],BPZS[[#This Row],[пВидПрактика]])*2,"-")</f>
        <v>-</v>
      </c>
      <c r="F56" s="366" t="str" cm="1">
        <f t="array" ref="F56">IF(BPZS[[#This Row],[пВидПрактика]],INDEX(T_УчПрактики[Ден],BPZS[[#This Row],[пВидПрактика]])*4,"-")</f>
        <v>-</v>
      </c>
      <c r="G56" s="110">
        <f>IFERROR(AND(BPZS[[#This Row],[ТО]]&lt;&gt;0,BPZS[[#This Row],[ФормаОб]]=0)*1,0)</f>
        <v>0</v>
      </c>
      <c r="H56" s="355">
        <f>IFERROR(AND(BPZS[[#This Row],[Изпитани]]&lt;&gt;0,LEN(BPZS[[#This Row],[Изпитващ]])=0)*1,0)</f>
        <v>0</v>
      </c>
      <c r="I56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56" s="666">
        <f>IFERROR(VLOOKUP(BPZS[[#This Row],[ФормаОб]],тТО[[обФорма]:[Коеф.]],2,0),0)</f>
        <v>0</v>
      </c>
      <c r="K56" s="412" cm="1">
        <f t="array" ref="K56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56" s="365">
        <f>N(BPZS[[#This Row],[Изпитани]])*BPZS[[#This Row],[кИзпитващ]]</f>
        <v>0</v>
      </c>
      <c r="M56" s="1409">
        <f>N(BPZS[[#This Row],[ТО]])*BPZS[[#This Row],[кTO]]</f>
        <v>0</v>
      </c>
      <c r="N56" s="1438"/>
      <c r="O56" s="1449"/>
      <c r="P56" s="1450"/>
      <c r="Q56" s="1054"/>
      <c r="R56" s="589"/>
      <c r="S56" s="1056"/>
      <c r="T56" s="1186"/>
      <c r="U56" s="1451"/>
      <c r="V56" s="1452"/>
      <c r="W56" s="1186"/>
      <c r="X56" s="1453"/>
      <c r="Y56" s="1453"/>
      <c r="Z56" s="934"/>
      <c r="AA56" s="935"/>
      <c r="AB56" s="936"/>
      <c r="AC56" s="1392"/>
      <c r="AD56" s="1393"/>
      <c r="AE56" s="1393"/>
      <c r="AF56" s="1393"/>
      <c r="AG56" s="1393"/>
      <c r="AH56" s="1144">
        <f ca="1">N(OFFSET(BPZS[[#This Row],[|]],-1,0))+1</f>
        <v>1</v>
      </c>
      <c r="AI56" s="1688" t="str">
        <f>IF(BPZS[[#This Row],[уЧасове]],BPZS[[#This Row],[нацид|монСпециалностМП]],"")</f>
        <v/>
      </c>
      <c r="AJ56" s="1689">
        <f>SUM(BPZS[[#This Row],[чПрактика]:[чTO]],N(BPZS[[#This Row],[КР]])*кКурсова_работа)</f>
        <v>0</v>
      </c>
    </row>
    <row r="57" spans="2:46" x14ac:dyDescent="0.3">
      <c r="B57" s="236">
        <f t="shared" si="1"/>
        <v>2</v>
      </c>
      <c r="C57" s="110">
        <f>IFERROR(MATCH(BPZS[[#This Row],[ВидПрактика]],T_УчПрактики[Практика и курсова работа],0),0)</f>
        <v>0</v>
      </c>
      <c r="D57" s="111" t="str" cm="1">
        <f t="array" ref="D57">IF(BPZS[[#This Row],[пВидПрактика]],INDEX(T_УчПрактики[Студенти],BPZS[[#This Row],[пВидПрактика]]),"-")</f>
        <v>-</v>
      </c>
      <c r="E57" s="811" t="str" cm="1">
        <f t="array" ref="E57">IF(BPZS[[#This Row],[пВидПрактика]],INDEX(T_УчПрактики[Група],BPZS[[#This Row],[пВидПрактика]])*2,"-")</f>
        <v>-</v>
      </c>
      <c r="F57" s="358" t="str" cm="1">
        <f t="array" ref="F57">IF(BPZS[[#This Row],[пВидПрактика]],INDEX(T_УчПрактики[Ден],BPZS[[#This Row],[пВидПрактика]])*4,"-")</f>
        <v>-</v>
      </c>
      <c r="G57" s="110">
        <f>IFERROR(AND(BPZS[[#This Row],[ТО]]&lt;&gt;0,BPZS[[#This Row],[ФормаОб]]=0)*1,0)</f>
        <v>0</v>
      </c>
      <c r="H57" s="355">
        <f>IFERROR(AND(BPZS[[#This Row],[Изпитани]]&lt;&gt;0,LEN(BPZS[[#This Row],[Изпитващ]])=0)*1,0)</f>
        <v>0</v>
      </c>
      <c r="I57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57" s="666">
        <f>IFERROR(VLOOKUP(BPZS[[#This Row],[ФормаОб]],тТО[[обФорма]:[Коеф.]],2,0),0)</f>
        <v>0</v>
      </c>
      <c r="K57" s="413" cm="1">
        <f t="array" ref="K57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57" s="360">
        <f>N(BPZS[[#This Row],[Изпитани]])*BPZS[[#This Row],[кИзпитващ]]</f>
        <v>0</v>
      </c>
      <c r="M57" s="1410">
        <f>N(BPZS[[#This Row],[ТО]])*BPZS[[#This Row],[кTO]]</f>
        <v>0</v>
      </c>
      <c r="N57" s="539"/>
      <c r="O57" s="550"/>
      <c r="P57" s="895"/>
      <c r="Q57" s="1055"/>
      <c r="R57" s="588"/>
      <c r="S57" s="1057"/>
      <c r="T57" s="1132"/>
      <c r="U57" s="551"/>
      <c r="V57" s="1131"/>
      <c r="W57" s="1132"/>
      <c r="X57" s="1026"/>
      <c r="Y57" s="1026"/>
      <c r="Z57" s="813"/>
      <c r="AA57" s="814"/>
      <c r="AB57" s="815"/>
      <c r="AC57" s="1392"/>
      <c r="AD57" s="1393"/>
      <c r="AE57" s="1393"/>
      <c r="AF57" s="1393"/>
      <c r="AG57" s="1393"/>
      <c r="AH57" s="1144">
        <f ca="1">N(OFFSET(BPZS[[#This Row],[|]],-1,0))+1</f>
        <v>2</v>
      </c>
      <c r="AI57" s="1688" t="str">
        <f>IF(BPZS[[#This Row],[уЧасове]],BPZS[[#This Row],[нацид|монСпециалностМП]],"")</f>
        <v/>
      </c>
      <c r="AJ57" s="1689">
        <f>SUM(BPZS[[#This Row],[чПрактика]:[чTO]],N(BPZS[[#This Row],[КР]])*кКурсова_работа)</f>
        <v>0</v>
      </c>
    </row>
    <row r="58" spans="2:46" x14ac:dyDescent="0.3">
      <c r="B58" s="236">
        <f t="shared" si="1"/>
        <v>3</v>
      </c>
      <c r="C58" s="110">
        <f>IFERROR(MATCH(BPZS[[#This Row],[ВидПрактика]],T_УчПрактики[Практика и курсова работа],0),0)</f>
        <v>0</v>
      </c>
      <c r="D58" s="111" t="str" cm="1">
        <f t="array" ref="D58">IF(BPZS[[#This Row],[пВидПрактика]],INDEX(T_УчПрактики[Студенти],BPZS[[#This Row],[пВидПрактика]]),"-")</f>
        <v>-</v>
      </c>
      <c r="E58" s="811" t="str" cm="1">
        <f t="array" ref="E58">IF(BPZS[[#This Row],[пВидПрактика]],INDEX(T_УчПрактики[Група],BPZS[[#This Row],[пВидПрактика]])*2,"-")</f>
        <v>-</v>
      </c>
      <c r="F58" s="358" t="str" cm="1">
        <f t="array" ref="F58">IF(BPZS[[#This Row],[пВидПрактика]],INDEX(T_УчПрактики[Ден],BPZS[[#This Row],[пВидПрактика]])*4,"-")</f>
        <v>-</v>
      </c>
      <c r="G58" s="110">
        <f>IFERROR(AND(BPZS[[#This Row],[ТО]]&lt;&gt;0,BPZS[[#This Row],[ФормаОб]]=0)*1,0)</f>
        <v>0</v>
      </c>
      <c r="H58" s="355">
        <f>IFERROR(AND(BPZS[[#This Row],[Изпитани]]&lt;&gt;0,LEN(BPZS[[#This Row],[Изпитващ]])=0)*1,0)</f>
        <v>0</v>
      </c>
      <c r="I58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58" s="666">
        <f>IFERROR(VLOOKUP(BPZS[[#This Row],[ФормаОб]],тТО[[обФорма]:[Коеф.]],2,0),0)</f>
        <v>0</v>
      </c>
      <c r="K58" s="413" cm="1">
        <f t="array" ref="K58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58" s="360">
        <f>N(BPZS[[#This Row],[Изпитани]])*BPZS[[#This Row],[кИзпитващ]]</f>
        <v>0</v>
      </c>
      <c r="M58" s="1410">
        <f>N(BPZS[[#This Row],[ТО]])*BPZS[[#This Row],[кTO]]</f>
        <v>0</v>
      </c>
      <c r="N58" s="539"/>
      <c r="O58" s="550"/>
      <c r="P58" s="895"/>
      <c r="Q58" s="1055"/>
      <c r="R58" s="588"/>
      <c r="S58" s="1057"/>
      <c r="T58" s="1132"/>
      <c r="U58" s="551"/>
      <c r="V58" s="1131"/>
      <c r="W58" s="1132"/>
      <c r="X58" s="1026"/>
      <c r="Y58" s="1026"/>
      <c r="Z58" s="813"/>
      <c r="AA58" s="814"/>
      <c r="AB58" s="815"/>
      <c r="AC58" s="1392"/>
      <c r="AD58" s="1393"/>
      <c r="AE58" s="1393"/>
      <c r="AF58" s="1393"/>
      <c r="AG58" s="1393"/>
      <c r="AH58" s="1144">
        <f ca="1">N(OFFSET(BPZS[[#This Row],[|]],-1,0))+1</f>
        <v>3</v>
      </c>
      <c r="AI58" s="1688" t="str">
        <f>IF(BPZS[[#This Row],[уЧасове]],BPZS[[#This Row],[нацид|монСпециалностМП]],"")</f>
        <v/>
      </c>
      <c r="AJ58" s="1689">
        <f>SUM(BPZS[[#This Row],[чПрактика]:[чTO]],N(BPZS[[#This Row],[КР]])*кКурсова_работа)</f>
        <v>0</v>
      </c>
    </row>
    <row r="59" spans="2:46" x14ac:dyDescent="0.3">
      <c r="B59" s="236">
        <f t="shared" si="1"/>
        <v>4</v>
      </c>
      <c r="C59" s="110">
        <f>IFERROR(MATCH(BPZS[[#This Row],[ВидПрактика]],T_УчПрактики[Практика и курсова работа],0),0)</f>
        <v>0</v>
      </c>
      <c r="D59" s="111" t="str" cm="1">
        <f t="array" ref="D59">IF(BPZS[[#This Row],[пВидПрактика]],INDEX(T_УчПрактики[Студенти],BPZS[[#This Row],[пВидПрактика]]),"-")</f>
        <v>-</v>
      </c>
      <c r="E59" s="811" t="str" cm="1">
        <f t="array" ref="E59">IF(BPZS[[#This Row],[пВидПрактика]],INDEX(T_УчПрактики[Група],BPZS[[#This Row],[пВидПрактика]])*2,"-")</f>
        <v>-</v>
      </c>
      <c r="F59" s="358" t="str" cm="1">
        <f t="array" ref="F59">IF(BPZS[[#This Row],[пВидПрактика]],INDEX(T_УчПрактики[Ден],BPZS[[#This Row],[пВидПрактика]])*4,"-")</f>
        <v>-</v>
      </c>
      <c r="G59" s="110">
        <f>IFERROR(AND(BPZS[[#This Row],[ТО]]&lt;&gt;0,BPZS[[#This Row],[ФормаОб]]=0)*1,0)</f>
        <v>0</v>
      </c>
      <c r="H59" s="355">
        <f>IFERROR(AND(BPZS[[#This Row],[Изпитани]]&lt;&gt;0,LEN(BPZS[[#This Row],[Изпитващ]])=0)*1,0)</f>
        <v>0</v>
      </c>
      <c r="I59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59" s="666">
        <f>IFERROR(VLOOKUP(BPZS[[#This Row],[ФормаОб]],тТО[[обФорма]:[Коеф.]],2,0),0)</f>
        <v>0</v>
      </c>
      <c r="K59" s="413" cm="1">
        <f t="array" ref="K59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59" s="360">
        <f>N(BPZS[[#This Row],[Изпитани]])*BPZS[[#This Row],[кИзпитващ]]</f>
        <v>0</v>
      </c>
      <c r="M59" s="1410">
        <f>N(BPZS[[#This Row],[ТО]])*BPZS[[#This Row],[кTO]]</f>
        <v>0</v>
      </c>
      <c r="N59" s="539"/>
      <c r="O59" s="550"/>
      <c r="P59" s="895"/>
      <c r="Q59" s="1055"/>
      <c r="R59" s="588"/>
      <c r="S59" s="1057"/>
      <c r="T59" s="1132"/>
      <c r="U59" s="551"/>
      <c r="V59" s="1131"/>
      <c r="W59" s="1132"/>
      <c r="X59" s="1026"/>
      <c r="Y59" s="1026"/>
      <c r="Z59" s="813"/>
      <c r="AA59" s="814"/>
      <c r="AB59" s="815"/>
      <c r="AC59" s="1392"/>
      <c r="AD59" s="1393"/>
      <c r="AE59" s="1393"/>
      <c r="AF59" s="1393"/>
      <c r="AG59" s="1393"/>
      <c r="AH59" s="1144">
        <f ca="1">N(OFFSET(BPZS[[#This Row],[|]],-1,0))+1</f>
        <v>4</v>
      </c>
      <c r="AI59" s="1688" t="str">
        <f>IF(BPZS[[#This Row],[уЧасове]],BPZS[[#This Row],[нацид|монСпециалностМП]],"")</f>
        <v/>
      </c>
      <c r="AJ59" s="1689">
        <f>SUM(BPZS[[#This Row],[чПрактика]:[чTO]],N(BPZS[[#This Row],[КР]])*кКурсова_работа)</f>
        <v>0</v>
      </c>
    </row>
    <row r="60" spans="2:46" x14ac:dyDescent="0.3">
      <c r="B60" s="236">
        <f t="shared" si="1"/>
        <v>5</v>
      </c>
      <c r="C60" s="110">
        <f>IFERROR(MATCH(BPZS[[#This Row],[ВидПрактика]],T_УчПрактики[Практика и курсова работа],0),0)</f>
        <v>0</v>
      </c>
      <c r="D60" s="111" t="str" cm="1">
        <f t="array" ref="D60">IF(BPZS[[#This Row],[пВидПрактика]],INDEX(T_УчПрактики[Студенти],BPZS[[#This Row],[пВидПрактика]]),"-")</f>
        <v>-</v>
      </c>
      <c r="E60" s="811" t="str" cm="1">
        <f t="array" ref="E60">IF(BPZS[[#This Row],[пВидПрактика]],INDEX(T_УчПрактики[Група],BPZS[[#This Row],[пВидПрактика]])*2,"-")</f>
        <v>-</v>
      </c>
      <c r="F60" s="358" t="str" cm="1">
        <f t="array" ref="F60">IF(BPZS[[#This Row],[пВидПрактика]],INDEX(T_УчПрактики[Ден],BPZS[[#This Row],[пВидПрактика]])*4,"-")</f>
        <v>-</v>
      </c>
      <c r="G60" s="110">
        <f>IFERROR(AND(BPZS[[#This Row],[ТО]]&lt;&gt;0,BPZS[[#This Row],[ФормаОб]]=0)*1,0)</f>
        <v>0</v>
      </c>
      <c r="H60" s="355">
        <f>IFERROR(AND(BPZS[[#This Row],[Изпитани]]&lt;&gt;0,LEN(BPZS[[#This Row],[Изпитващ]])=0)*1,0)</f>
        <v>0</v>
      </c>
      <c r="I60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60" s="666">
        <f>IFERROR(VLOOKUP(BPZS[[#This Row],[ФормаОб]],тТО[[обФорма]:[Коеф.]],2,0),0)</f>
        <v>0</v>
      </c>
      <c r="K60" s="413" cm="1">
        <f t="array" ref="K60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60" s="360">
        <f>N(BPZS[[#This Row],[Изпитани]])*BPZS[[#This Row],[кИзпитващ]]</f>
        <v>0</v>
      </c>
      <c r="M60" s="1410">
        <f>N(BPZS[[#This Row],[ТО]])*BPZS[[#This Row],[кTO]]</f>
        <v>0</v>
      </c>
      <c r="N60" s="539"/>
      <c r="O60" s="550"/>
      <c r="P60" s="895"/>
      <c r="Q60" s="1055"/>
      <c r="R60" s="588"/>
      <c r="S60" s="1057"/>
      <c r="T60" s="1132"/>
      <c r="U60" s="551"/>
      <c r="V60" s="1131"/>
      <c r="W60" s="1132"/>
      <c r="X60" s="1026"/>
      <c r="Y60" s="1026"/>
      <c r="Z60" s="813"/>
      <c r="AA60" s="814"/>
      <c r="AB60" s="815"/>
      <c r="AC60" s="1392"/>
      <c r="AD60" s="1393"/>
      <c r="AE60" s="1393"/>
      <c r="AF60" s="1393"/>
      <c r="AG60" s="1393"/>
      <c r="AH60" s="1144">
        <f ca="1">N(OFFSET(BPZS[[#This Row],[|]],-1,0))+1</f>
        <v>5</v>
      </c>
      <c r="AI60" s="1688" t="str">
        <f>IF(BPZS[[#This Row],[уЧасове]],BPZS[[#This Row],[нацид|монСпециалностМП]],"")</f>
        <v/>
      </c>
      <c r="AJ60" s="1689">
        <f>SUM(BPZS[[#This Row],[чПрактика]:[чTO]],N(BPZS[[#This Row],[КР]])*кКурсова_работа)</f>
        <v>0</v>
      </c>
    </row>
    <row r="61" spans="2:46" s="42" customFormat="1" x14ac:dyDescent="0.3">
      <c r="B61" s="236">
        <f t="shared" si="1"/>
        <v>6</v>
      </c>
      <c r="C61" s="110">
        <f>IFERROR(MATCH(BPZS[[#This Row],[ВидПрактика]],T_УчПрактики[Практика и курсова работа],0),0)</f>
        <v>0</v>
      </c>
      <c r="D61" s="111" t="str" cm="1">
        <f t="array" ref="D61">IF(BPZS[[#This Row],[пВидПрактика]],INDEX(T_УчПрактики[Студенти],BPZS[[#This Row],[пВидПрактика]]),"-")</f>
        <v>-</v>
      </c>
      <c r="E61" s="811" t="str" cm="1">
        <f t="array" ref="E61">IF(BPZS[[#This Row],[пВидПрактика]],INDEX(T_УчПрактики[Група],BPZS[[#This Row],[пВидПрактика]])*2,"-")</f>
        <v>-</v>
      </c>
      <c r="F61" s="358" t="str" cm="1">
        <f t="array" ref="F61">IF(BPZS[[#This Row],[пВидПрактика]],INDEX(T_УчПрактики[Ден],BPZS[[#This Row],[пВидПрактика]])*4,"-")</f>
        <v>-</v>
      </c>
      <c r="G61" s="110">
        <f>IFERROR(AND(BPZS[[#This Row],[ТО]]&lt;&gt;0,BPZS[[#This Row],[ФормаОб]]=0)*1,0)</f>
        <v>0</v>
      </c>
      <c r="H61" s="355">
        <f>IFERROR(AND(BPZS[[#This Row],[Изпитани]]&lt;&gt;0,LEN(BPZS[[#This Row],[Изпитващ]])=0)*1,0)</f>
        <v>0</v>
      </c>
      <c r="I61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61" s="666">
        <f>IFERROR(VLOOKUP(BPZS[[#This Row],[ФормаОб]],тТО[[обФорма]:[Коеф.]],2,0),0)</f>
        <v>0</v>
      </c>
      <c r="K61" s="413" cm="1">
        <f t="array" ref="K61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61" s="360">
        <f>N(BPZS[[#This Row],[Изпитани]])*BPZS[[#This Row],[кИзпитващ]]</f>
        <v>0</v>
      </c>
      <c r="M61" s="1410">
        <f>N(BPZS[[#This Row],[ТО]])*BPZS[[#This Row],[кTO]]</f>
        <v>0</v>
      </c>
      <c r="N61" s="539"/>
      <c r="O61" s="550"/>
      <c r="P61" s="895"/>
      <c r="Q61" s="1055"/>
      <c r="R61" s="588"/>
      <c r="S61" s="1057"/>
      <c r="T61" s="1132"/>
      <c r="U61" s="551"/>
      <c r="V61" s="1131"/>
      <c r="W61" s="1132"/>
      <c r="X61" s="1026"/>
      <c r="Y61" s="1026"/>
      <c r="Z61" s="813"/>
      <c r="AA61" s="814"/>
      <c r="AB61" s="815"/>
      <c r="AC61" s="1392"/>
      <c r="AD61" s="1393"/>
      <c r="AE61" s="1393"/>
      <c r="AF61" s="1393"/>
      <c r="AG61" s="1393"/>
      <c r="AH61" s="1144">
        <f ca="1">N(OFFSET(BPZS[[#This Row],[|]],-1,0))+1</f>
        <v>6</v>
      </c>
      <c r="AI61" s="1688" t="str">
        <f>IF(BPZS[[#This Row],[уЧасове]],BPZS[[#This Row],[нацид|монСпециалностМП]],"")</f>
        <v/>
      </c>
      <c r="AJ61" s="1689">
        <f>SUM(BPZS[[#This Row],[чПрактика]:[чTO]],N(BPZS[[#This Row],[КР]])*кКурсова_работа)</f>
        <v>0</v>
      </c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</row>
    <row r="62" spans="2:46" s="42" customFormat="1" x14ac:dyDescent="0.3">
      <c r="B62" s="236">
        <f t="shared" si="1"/>
        <v>7</v>
      </c>
      <c r="C62" s="110">
        <f>IFERROR(MATCH(BPZS[[#This Row],[ВидПрактика]],T_УчПрактики[Практика и курсова работа],0),0)</f>
        <v>0</v>
      </c>
      <c r="D62" s="111" t="str" cm="1">
        <f t="array" ref="D62">IF(BPZS[[#This Row],[пВидПрактика]],INDEX(T_УчПрактики[Студенти],BPZS[[#This Row],[пВидПрактика]]),"-")</f>
        <v>-</v>
      </c>
      <c r="E62" s="811" t="str" cm="1">
        <f t="array" ref="E62">IF(BPZS[[#This Row],[пВидПрактика]],INDEX(T_УчПрактики[Група],BPZS[[#This Row],[пВидПрактика]])*2,"-")</f>
        <v>-</v>
      </c>
      <c r="F62" s="358" t="str" cm="1">
        <f t="array" ref="F62">IF(BPZS[[#This Row],[пВидПрактика]],INDEX(T_УчПрактики[Ден],BPZS[[#This Row],[пВидПрактика]])*4,"-")</f>
        <v>-</v>
      </c>
      <c r="G62" s="110">
        <f>IFERROR(AND(BPZS[[#This Row],[ТО]]&lt;&gt;0,BPZS[[#This Row],[ФормаОб]]=0)*1,0)</f>
        <v>0</v>
      </c>
      <c r="H62" s="355">
        <f>IFERROR(AND(BPZS[[#This Row],[Изпитани]]&lt;&gt;0,LEN(BPZS[[#This Row],[Изпитващ]])=0)*1,0)</f>
        <v>0</v>
      </c>
      <c r="I62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62" s="666">
        <f>IFERROR(VLOOKUP(BPZS[[#This Row],[ФормаОб]],тТО[[обФорма]:[Коеф.]],2,0),0)</f>
        <v>0</v>
      </c>
      <c r="K62" s="413" cm="1">
        <f t="array" ref="K62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62" s="360">
        <f>N(BPZS[[#This Row],[Изпитани]])*BPZS[[#This Row],[кИзпитващ]]</f>
        <v>0</v>
      </c>
      <c r="M62" s="1410">
        <f>N(BPZS[[#This Row],[ТО]])*BPZS[[#This Row],[кTO]]</f>
        <v>0</v>
      </c>
      <c r="N62" s="539"/>
      <c r="O62" s="550"/>
      <c r="P62" s="895"/>
      <c r="Q62" s="1055"/>
      <c r="R62" s="588"/>
      <c r="S62" s="1057"/>
      <c r="T62" s="1132"/>
      <c r="U62" s="551"/>
      <c r="V62" s="1131"/>
      <c r="W62" s="1132"/>
      <c r="X62" s="1026"/>
      <c r="Y62" s="1026"/>
      <c r="Z62" s="813"/>
      <c r="AA62" s="814"/>
      <c r="AB62" s="815"/>
      <c r="AC62" s="1392"/>
      <c r="AD62" s="1393"/>
      <c r="AE62" s="1393"/>
      <c r="AF62" s="1393"/>
      <c r="AG62" s="1393"/>
      <c r="AH62" s="1144">
        <f ca="1">N(OFFSET(BPZS[[#This Row],[|]],-1,0))+1</f>
        <v>7</v>
      </c>
      <c r="AI62" s="1688" t="str">
        <f>IF(BPZS[[#This Row],[уЧасове]],BPZS[[#This Row],[нацид|монСпециалностМП]],"")</f>
        <v/>
      </c>
      <c r="AJ62" s="1689">
        <f>SUM(BPZS[[#This Row],[чПрактика]:[чTO]],N(BPZS[[#This Row],[КР]])*кКурсова_работа)</f>
        <v>0</v>
      </c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</row>
    <row r="63" spans="2:46" s="42" customFormat="1" x14ac:dyDescent="0.3">
      <c r="B63" s="236">
        <f t="shared" si="1"/>
        <v>8</v>
      </c>
      <c r="C63" s="110">
        <f>IFERROR(MATCH(BPZS[[#This Row],[ВидПрактика]],T_УчПрактики[Практика и курсова работа],0),0)</f>
        <v>0</v>
      </c>
      <c r="D63" s="111" t="str" cm="1">
        <f t="array" ref="D63">IF(BPZS[[#This Row],[пВидПрактика]],INDEX(T_УчПрактики[Студенти],BPZS[[#This Row],[пВидПрактика]]),"-")</f>
        <v>-</v>
      </c>
      <c r="E63" s="811" t="str" cm="1">
        <f t="array" ref="E63">IF(BPZS[[#This Row],[пВидПрактика]],INDEX(T_УчПрактики[Група],BPZS[[#This Row],[пВидПрактика]])*2,"-")</f>
        <v>-</v>
      </c>
      <c r="F63" s="358" t="str" cm="1">
        <f t="array" ref="F63">IF(BPZS[[#This Row],[пВидПрактика]],INDEX(T_УчПрактики[Ден],BPZS[[#This Row],[пВидПрактика]])*4,"-")</f>
        <v>-</v>
      </c>
      <c r="G63" s="110">
        <f>IFERROR(AND(BPZS[[#This Row],[ТО]]&lt;&gt;0,BPZS[[#This Row],[ФормаОб]]=0)*1,0)</f>
        <v>0</v>
      </c>
      <c r="H63" s="355">
        <f>IFERROR(AND(BPZS[[#This Row],[Изпитани]]&lt;&gt;0,LEN(BPZS[[#This Row],[Изпитващ]])=0)*1,0)</f>
        <v>0</v>
      </c>
      <c r="I63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63" s="666">
        <f>IFERROR(VLOOKUP(BPZS[[#This Row],[ФормаОб]],тТО[[обФорма]:[Коеф.]],2,0),0)</f>
        <v>0</v>
      </c>
      <c r="K63" s="413" cm="1">
        <f t="array" ref="K63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63" s="360">
        <f>N(BPZS[[#This Row],[Изпитани]])*BPZS[[#This Row],[кИзпитващ]]</f>
        <v>0</v>
      </c>
      <c r="M63" s="1410">
        <f>N(BPZS[[#This Row],[ТО]])*BPZS[[#This Row],[кTO]]</f>
        <v>0</v>
      </c>
      <c r="N63" s="539"/>
      <c r="O63" s="550"/>
      <c r="P63" s="895"/>
      <c r="Q63" s="1055"/>
      <c r="R63" s="588"/>
      <c r="S63" s="1057"/>
      <c r="T63" s="1132"/>
      <c r="U63" s="551"/>
      <c r="V63" s="1131"/>
      <c r="W63" s="1132"/>
      <c r="X63" s="1026"/>
      <c r="Y63" s="1026"/>
      <c r="Z63" s="813"/>
      <c r="AA63" s="814"/>
      <c r="AB63" s="815"/>
      <c r="AC63" s="1392"/>
      <c r="AD63" s="1393"/>
      <c r="AE63" s="1393"/>
      <c r="AF63" s="1393"/>
      <c r="AG63" s="1393"/>
      <c r="AH63" s="1144">
        <f ca="1">N(OFFSET(BPZS[[#This Row],[|]],-1,0))+1</f>
        <v>8</v>
      </c>
      <c r="AI63" s="1688" t="str">
        <f>IF(BPZS[[#This Row],[уЧасове]],BPZS[[#This Row],[нацид|монСпециалностМП]],"")</f>
        <v/>
      </c>
      <c r="AJ63" s="1689">
        <f>SUM(BPZS[[#This Row],[чПрактика]:[чTO]],N(BPZS[[#This Row],[КР]])*кКурсова_работа)</f>
        <v>0</v>
      </c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</row>
    <row r="64" spans="2:46" s="42" customFormat="1" x14ac:dyDescent="0.3">
      <c r="B64" s="236">
        <f t="shared" si="1"/>
        <v>9</v>
      </c>
      <c r="C64" s="110">
        <f>IFERROR(MATCH(BPZS[[#This Row],[ВидПрактика]],T_УчПрактики[Практика и курсова работа],0),0)</f>
        <v>0</v>
      </c>
      <c r="D64" s="111" t="str" cm="1">
        <f t="array" ref="D64">IF(BPZS[[#This Row],[пВидПрактика]],INDEX(T_УчПрактики[Студенти],BPZS[[#This Row],[пВидПрактика]]),"-")</f>
        <v>-</v>
      </c>
      <c r="E64" s="811" t="str" cm="1">
        <f t="array" ref="E64">IF(BPZS[[#This Row],[пВидПрактика]],INDEX(T_УчПрактики[Група],BPZS[[#This Row],[пВидПрактика]])*2,"-")</f>
        <v>-</v>
      </c>
      <c r="F64" s="358" t="str" cm="1">
        <f t="array" ref="F64">IF(BPZS[[#This Row],[пВидПрактика]],INDEX(T_УчПрактики[Ден],BPZS[[#This Row],[пВидПрактика]])*4,"-")</f>
        <v>-</v>
      </c>
      <c r="G64" s="110">
        <f>IFERROR(AND(BPZS[[#This Row],[ТО]]&lt;&gt;0,BPZS[[#This Row],[ФормаОб]]=0)*1,0)</f>
        <v>0</v>
      </c>
      <c r="H64" s="355">
        <f>IFERROR(AND(BPZS[[#This Row],[Изпитани]]&lt;&gt;0,LEN(BPZS[[#This Row],[Изпитващ]])=0)*1,0)</f>
        <v>0</v>
      </c>
      <c r="I64" s="367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64" s="666">
        <f>IFERROR(VLOOKUP(BPZS[[#This Row],[ФормаОб]],тТО[[обФорма]:[Коеф.]],2,0),0)</f>
        <v>0</v>
      </c>
      <c r="K64" s="413" cm="1">
        <f t="array" ref="K64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64" s="360">
        <f>N(BPZS[[#This Row],[Изпитани]])*BPZS[[#This Row],[кИзпитващ]]</f>
        <v>0</v>
      </c>
      <c r="M64" s="1410">
        <f>N(BPZS[[#This Row],[ТО]])*BPZS[[#This Row],[кTO]]</f>
        <v>0</v>
      </c>
      <c r="N64" s="539"/>
      <c r="O64" s="550"/>
      <c r="P64" s="895"/>
      <c r="Q64" s="1055"/>
      <c r="R64" s="588"/>
      <c r="S64" s="1057"/>
      <c r="T64" s="1132"/>
      <c r="U64" s="551"/>
      <c r="V64" s="1131"/>
      <c r="W64" s="1132"/>
      <c r="X64" s="1026"/>
      <c r="Y64" s="1026"/>
      <c r="Z64" s="813"/>
      <c r="AA64" s="814"/>
      <c r="AB64" s="815"/>
      <c r="AC64" s="1392"/>
      <c r="AD64" s="1393"/>
      <c r="AE64" s="1393"/>
      <c r="AF64" s="1393"/>
      <c r="AG64" s="1393"/>
      <c r="AH64" s="1144">
        <f ca="1">N(OFFSET(BPZS[[#This Row],[|]],-1,0))+1</f>
        <v>9</v>
      </c>
      <c r="AI64" s="1688" t="str">
        <f>IF(BPZS[[#This Row],[уЧасове]],BPZS[[#This Row],[нацид|монСпециалностМП]],"")</f>
        <v/>
      </c>
      <c r="AJ64" s="1689">
        <f>SUM(BPZS[[#This Row],[чПрактика]:[чTO]],N(BPZS[[#This Row],[КР]])*кКурсова_работа)</f>
        <v>0</v>
      </c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</row>
    <row r="65" spans="2:46" s="42" customFormat="1" ht="17.25" thickBot="1" x14ac:dyDescent="0.35">
      <c r="B65" s="236">
        <f t="shared" si="1"/>
        <v>10</v>
      </c>
      <c r="C65" s="261">
        <f>IFERROR(MATCH(BPZS[[#This Row],[ВидПрактика]],T_УчПрактики[Практика и курсова работа],0),0)</f>
        <v>0</v>
      </c>
      <c r="D65" s="260" t="str" cm="1">
        <f t="array" ref="D65">IF(BPZS[[#This Row],[пВидПрактика]],INDEX(T_УчПрактики[Студенти],BPZS[[#This Row],[пВидПрактика]]),"-")</f>
        <v>-</v>
      </c>
      <c r="E65" s="812" t="str" cm="1">
        <f t="array" ref="E65">IF(BPZS[[#This Row],[пВидПрактика]],INDEX(T_УчПрактики[Група],BPZS[[#This Row],[пВидПрактика]])*2,"-")</f>
        <v>-</v>
      </c>
      <c r="F65" s="359" t="str" cm="1">
        <f t="array" ref="F65">IF(BPZS[[#This Row],[пВидПрактика]],INDEX(T_УчПрактики[Ден],BPZS[[#This Row],[пВидПрактика]])*4,"-")</f>
        <v>-</v>
      </c>
      <c r="G65" s="261">
        <f>IFERROR(AND(BPZS[[#This Row],[ТО]]&lt;&gt;0,BPZS[[#This Row],[ФормаОб]]=0)*1,0)</f>
        <v>0</v>
      </c>
      <c r="H65" s="362">
        <f>IFERROR(AND(BPZS[[#This Row],[Изпитани]]&lt;&gt;0,LEN(BPZS[[#This Row],[Изпитващ]])=0)*1,0)</f>
        <v>0</v>
      </c>
      <c r="I65" s="368">
        <f>IFERROR(IF(AND(COUNTIF(nФакултетОтчет,"*математика*"),BPZS[[#This Row],[ФормаОц]]="КИ"),0.9,IF(T(BPZS[[#This Row],[Изпитващ]])="",0,VLOOKUP(BPZS[[#This Row],[Изпитващ]],ТвидИзпитващ[[видИзпитващ]:[Коеф.]],2,0))),0)</f>
        <v>0</v>
      </c>
      <c r="J65" s="667">
        <f>IFERROR(VLOOKUP(BPZS[[#This Row],[ФормаОб]],тТО[[обФорма]:[Коеф.]],2,0),0)</f>
        <v>0</v>
      </c>
      <c r="K65" s="414" cm="1">
        <f t="array" ref="K65">IFERROR(IF(BPZS[[#This Row],[пВидПрактика]]&gt;0,INDEX(T_УчПрактики[Час],BPZS[[#This Row],[пВидПрактика]])*CHOOSE(SUM(BPZS[[#This Row],[уфСтуденти]:[уфДен]])+1,0,0,N(BPZS[[#This Row],[Група]]),,N(BPZS[[#This Row],[Ден]]),N(BPZS[[#This Row],[Студенти]])*N(BPZS[[#This Row],[Ден]]),N(BPZS[[#This Row],[Група]])*N(BPZS[[#This Row],[Ден]])),0),0)</f>
        <v>0</v>
      </c>
      <c r="L65" s="361">
        <f>N(BPZS[[#This Row],[Изпитани]])*BPZS[[#This Row],[кИзпитващ]]</f>
        <v>0</v>
      </c>
      <c r="M65" s="1411">
        <f>N(BPZS[[#This Row],[ТО]])*BPZS[[#This Row],[кTO]]</f>
        <v>0</v>
      </c>
      <c r="N65" s="1446"/>
      <c r="O65" s="592"/>
      <c r="P65" s="1454"/>
      <c r="Q65" s="1455"/>
      <c r="R65" s="1408"/>
      <c r="S65" s="1456"/>
      <c r="T65" s="1134"/>
      <c r="U65" s="552"/>
      <c r="V65" s="1133"/>
      <c r="W65" s="1134"/>
      <c r="X65" s="1457"/>
      <c r="Y65" s="1457"/>
      <c r="Z65" s="938"/>
      <c r="AA65" s="939"/>
      <c r="AB65" s="940"/>
      <c r="AC65" s="1392"/>
      <c r="AD65" s="1393"/>
      <c r="AE65" s="1393"/>
      <c r="AF65" s="1393"/>
      <c r="AG65" s="1393"/>
      <c r="AH65" s="1145">
        <f ca="1">N(OFFSET(BPZS[[#This Row],[|]],-1,0))+1</f>
        <v>10</v>
      </c>
      <c r="AI65" s="1688" t="str">
        <f>IF(BPZS[[#This Row],[уЧасове]],BPZS[[#This Row],[нацид|монСпециалностМП]],"")</f>
        <v/>
      </c>
      <c r="AJ65" s="1689">
        <f>SUM(BPZS[[#This Row],[чПрактика]:[чTO]],N(BPZS[[#This Row],[КР]])*кКурсова_работа)</f>
        <v>0</v>
      </c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</row>
    <row r="66" spans="2:46" s="42" customFormat="1" ht="9.9499999999999993" customHeight="1" x14ac:dyDescent="0.3">
      <c r="B66" s="106" t="s">
        <v>412</v>
      </c>
      <c r="C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AC66" s="234"/>
      <c r="AD66" s="234"/>
      <c r="AE66" s="234"/>
      <c r="AF66" s="234"/>
      <c r="AG66" s="234"/>
      <c r="AH66" s="234"/>
      <c r="AI66" s="234"/>
      <c r="AJ66" s="1741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</row>
    <row r="67" spans="2:46" s="42" customFormat="1" ht="26.25" thickBot="1" x14ac:dyDescent="0.35">
      <c r="B67" s="176" t="s">
        <v>415</v>
      </c>
      <c r="C67"/>
      <c r="D67" s="36"/>
      <c r="E67" s="36"/>
      <c r="F67" s="36"/>
      <c r="G67" s="36"/>
      <c r="H67" s="36"/>
      <c r="I67" s="36"/>
      <c r="J67" s="36"/>
      <c r="K67" s="36"/>
      <c r="L67" s="36"/>
      <c r="M67" s="99" t="str">
        <f>IF(M25,3,"1.3")</f>
        <v>1.3</v>
      </c>
      <c r="N67" s="2577" t="str">
        <f>M67&amp;". ОКС ""бакалавър"" и ""магистър"" след средно образование – дипломиране – ЗИМЕН семестър"</f>
        <v>1.3. ОКС "бакалавър" и "магистър" след средно образование – дипломиране – ЗИМЕН семестър</v>
      </c>
      <c r="O67" s="2578"/>
      <c r="P67" s="2578"/>
      <c r="Q67" s="2578"/>
      <c r="R67" s="2578"/>
      <c r="S67" s="2579"/>
      <c r="T67" s="36"/>
      <c r="U67" s="36"/>
      <c r="V67" s="36"/>
      <c r="W67" s="36"/>
      <c r="X67" s="36"/>
      <c r="Y67" s="36"/>
      <c r="Z67" s="36"/>
      <c r="AA67" s="36"/>
      <c r="AB67" s="36"/>
      <c r="AC67" s="234"/>
      <c r="AD67" s="234"/>
      <c r="AE67" s="234"/>
      <c r="AF67" s="234"/>
      <c r="AG67" s="234"/>
      <c r="AH67" s="234"/>
      <c r="AI67" s="234"/>
      <c r="AJ67" s="1741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</row>
    <row r="68" spans="2:46" s="42" customFormat="1" ht="21" thickBot="1" x14ac:dyDescent="0.35">
      <c r="B68" s="106" t="s">
        <v>413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2582" t="s">
        <v>17</v>
      </c>
      <c r="O68" s="2654" t="s">
        <v>18</v>
      </c>
      <c r="P68" s="2575" t="s">
        <v>562</v>
      </c>
      <c r="Q68" s="2648" t="s">
        <v>332</v>
      </c>
      <c r="R68" s="2649"/>
      <c r="S68" s="2650"/>
      <c r="T68" s="36"/>
      <c r="X68" s="36"/>
      <c r="Y68" s="36"/>
      <c r="Z68" s="36"/>
      <c r="AA68" s="36"/>
      <c r="AB68" s="36"/>
      <c r="AC68" s="234"/>
      <c r="AD68" s="234"/>
      <c r="AE68" s="234"/>
      <c r="AF68" s="234"/>
      <c r="AG68" s="234"/>
      <c r="AH68" s="234"/>
      <c r="AI68" s="234"/>
      <c r="AJ68" s="1741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</row>
    <row r="69" spans="2:46" ht="29.25" customHeight="1" thickBot="1" x14ac:dyDescent="0.35">
      <c r="B69" s="106" t="s">
        <v>414</v>
      </c>
      <c r="H69" s="2572" t="s">
        <v>310</v>
      </c>
      <c r="I69" s="2573"/>
      <c r="J69" s="2574"/>
      <c r="K69" s="2569" t="s">
        <v>336</v>
      </c>
      <c r="L69" s="2570"/>
      <c r="M69" s="2571"/>
      <c r="N69" s="2583"/>
      <c r="O69" s="2655"/>
      <c r="P69" s="2576"/>
      <c r="Q69" s="224" t="s">
        <v>392</v>
      </c>
      <c r="R69" s="225" t="s">
        <v>393</v>
      </c>
      <c r="S69" s="226" t="s">
        <v>394</v>
      </c>
      <c r="AF69" s="2566" t="s">
        <v>1000</v>
      </c>
      <c r="AG69" s="2567"/>
      <c r="AH69" s="2564" t="s">
        <v>9528</v>
      </c>
      <c r="AI69" s="2568"/>
      <c r="AJ69" s="2565"/>
    </row>
    <row r="70" spans="2:46" ht="21" hidden="1" thickBot="1" x14ac:dyDescent="0.35">
      <c r="B70" s="106" t="s">
        <v>419</v>
      </c>
      <c r="H70" s="962" t="s">
        <v>7825</v>
      </c>
      <c r="I70" s="960" t="s">
        <v>7826</v>
      </c>
      <c r="J70" s="1639" t="s">
        <v>7827</v>
      </c>
      <c r="K70" s="962" t="s">
        <v>995</v>
      </c>
      <c r="L70" s="960" t="s">
        <v>7823</v>
      </c>
      <c r="M70" s="1639" t="s">
        <v>7824</v>
      </c>
      <c r="N70" s="109" t="s">
        <v>17</v>
      </c>
      <c r="O70" s="109" t="s">
        <v>18</v>
      </c>
      <c r="P70" s="1570" t="s">
        <v>620</v>
      </c>
      <c r="Q70" s="115" t="s">
        <v>358</v>
      </c>
      <c r="R70" s="109" t="s">
        <v>393</v>
      </c>
      <c r="S70" s="112" t="s">
        <v>619</v>
      </c>
      <c r="AF70" s="1749" t="s">
        <v>12873</v>
      </c>
      <c r="AG70" s="1750" t="s">
        <v>7735</v>
      </c>
      <c r="AH70" s="1765" t="s">
        <v>1092</v>
      </c>
      <c r="AI70" s="1749" t="s">
        <v>7736</v>
      </c>
      <c r="AJ70" s="1750" t="s">
        <v>7828</v>
      </c>
    </row>
    <row r="71" spans="2:46" s="42" customFormat="1" x14ac:dyDescent="0.3">
      <c r="B71" s="236">
        <f>N(B70)+1</f>
        <v>1</v>
      </c>
      <c r="G71" s="36"/>
      <c r="H71" s="1902">
        <f t="shared" ref="H71:H78" si="2">кДипломна_работа</f>
        <v>30</v>
      </c>
      <c r="I71" s="1902">
        <f t="shared" ref="I71:I78" si="3">кРецензия</f>
        <v>5</v>
      </c>
      <c r="J71" s="1902">
        <f t="shared" ref="J71:J78" si="4">кДИ_защита</f>
        <v>0.8</v>
      </c>
      <c r="K71" s="1896">
        <f>BDiplomiraneZS[[#This Row],[кДР]]*N(BDiplomiraneZS[[#This Row],[ДР]])</f>
        <v>0</v>
      </c>
      <c r="L71" s="1897">
        <f>BDiplomiraneZS[[#This Row],[кРецензии]]*N(BDiplomiraneZS[[#This Row],[Рецензии]])</f>
        <v>0</v>
      </c>
      <c r="M71" s="1898">
        <f>BDiplomiraneZS[[#This Row],[кИ/ДИ/З]]*N(BDiplomiraneZS[[#This Row],[И/ДИ/З]])</f>
        <v>0</v>
      </c>
      <c r="N71" s="1449"/>
      <c r="O71" s="1442"/>
      <c r="Q71" s="1443"/>
      <c r="R71" s="874"/>
      <c r="S71" s="875"/>
      <c r="AC71" s="234"/>
      <c r="AD71" s="234"/>
      <c r="AE71" s="234"/>
      <c r="AF71" s="1895" t="str">
        <f>"*"&amp;BDiplomiraneZS[[#This Row],[Специалност]]&amp;"*\"&amp;BDiplomiraneZS[[#This Row],[Факултет]]&amp;"\б"&amp;LEFT(BDiplomiraneZS[[#This Row],[ФормаОб]],1)</f>
        <v>**\\б</v>
      </c>
      <c r="AG71" s="1893" t="str">
        <f>IFERROR(VLOOKUP(BDiplomiraneZS1[[#This Row],[СпециалностМП]],EducPlans_кодНАЦИД_Спец[[кодСпецДР]:[кодНАЦИД]],3,0),"")</f>
        <v/>
      </c>
      <c r="AH71" s="1690">
        <f ca="1">N(OFFSET(BDiplomiraneZS1[[#This Row],[|]],-1,0))+1</f>
        <v>1</v>
      </c>
      <c r="AI71" s="1691" t="str">
        <f>IF(BDiplomiraneZS1[[#This Row],[уЧасове]],BDiplomiraneZS1[[#This Row],[нацид|монСпециалностМП]],"")</f>
        <v/>
      </c>
      <c r="AJ71" s="1692">
        <f>SUM(BDiplomiraneZS[[#This Row],[чДР]:[чИ/ДИ/З]])</f>
        <v>0</v>
      </c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</row>
    <row r="72" spans="2:46" s="42" customFormat="1" x14ac:dyDescent="0.3">
      <c r="B72" s="236">
        <f>N(B71)+1</f>
        <v>2</v>
      </c>
      <c r="H72" s="1902">
        <f t="shared" si="2"/>
        <v>30</v>
      </c>
      <c r="I72" s="1902">
        <f t="shared" si="3"/>
        <v>5</v>
      </c>
      <c r="J72" s="1902">
        <f t="shared" si="4"/>
        <v>0.8</v>
      </c>
      <c r="K72" s="1896">
        <f>BDiplomiraneZS[[#This Row],[кДР]]*N(BDiplomiraneZS[[#This Row],[ДР]])</f>
        <v>0</v>
      </c>
      <c r="L72" s="1897">
        <f>BDiplomiraneZS[[#This Row],[кРецензии]]*N(BDiplomiraneZS[[#This Row],[Рецензии]])</f>
        <v>0</v>
      </c>
      <c r="M72" s="1898">
        <f>BDiplomiraneZS[[#This Row],[кИ/ДИ/З]]*N(BDiplomiraneZS[[#This Row],[И/ДИ/З]])</f>
        <v>0</v>
      </c>
      <c r="N72" s="553"/>
      <c r="O72" s="895"/>
      <c r="Q72" s="265"/>
      <c r="R72" s="243"/>
      <c r="S72" s="244"/>
      <c r="AC72" s="234"/>
      <c r="AD72" s="234"/>
      <c r="AE72" s="234"/>
      <c r="AF72" s="1892" t="str">
        <f>"*"&amp;BDiplomiraneZS[[#This Row],[Специалност]]&amp;"*\"&amp;BDiplomiraneZS[[#This Row],[Факултет]]&amp;"\б"&amp;LEFT(BDiplomiraneZS[[#This Row],[ФормаОб]],1)</f>
        <v>**\\б</v>
      </c>
      <c r="AG72" s="1893" t="str">
        <f>IFERROR(VLOOKUP(BDiplomiraneZS1[[#This Row],[СпециалностМП]],EducPlans_кодНАЦИД_Спец[[кодСпецДР]:[кодНАЦИД]],3,0),"")</f>
        <v/>
      </c>
      <c r="AH72" s="1690">
        <f ca="1">N(OFFSET(BDiplomiraneZS1[[#This Row],[|]],-1,0))+1</f>
        <v>2</v>
      </c>
      <c r="AI72" s="1691" t="str">
        <f>IF(BDiplomiraneZS1[[#This Row],[уЧасове]],BDiplomiraneZS1[[#This Row],[нацид|монСпециалностМП]],"")</f>
        <v/>
      </c>
      <c r="AJ72" s="1692">
        <f>SUM(BDiplomiraneZS[[#This Row],[чДР]:[чИ/ДИ/З]])</f>
        <v>0</v>
      </c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</row>
    <row r="73" spans="2:46" s="42" customFormat="1" x14ac:dyDescent="0.3">
      <c r="B73" s="236">
        <f t="shared" ref="B73:B78" si="5">N(B72)+1</f>
        <v>3</v>
      </c>
      <c r="H73" s="1902">
        <f t="shared" si="2"/>
        <v>30</v>
      </c>
      <c r="I73" s="1902">
        <f t="shared" si="3"/>
        <v>5</v>
      </c>
      <c r="J73" s="1902">
        <f t="shared" si="4"/>
        <v>0.8</v>
      </c>
      <c r="K73" s="1896">
        <f>BDiplomiraneZS[[#This Row],[кДР]]*N(BDiplomiraneZS[[#This Row],[ДР]])</f>
        <v>0</v>
      </c>
      <c r="L73" s="1897">
        <f>BDiplomiraneZS[[#This Row],[кРецензии]]*N(BDiplomiraneZS[[#This Row],[Рецензии]])</f>
        <v>0</v>
      </c>
      <c r="M73" s="1898">
        <f>BDiplomiraneZS[[#This Row],[кИ/ДИ/З]]*N(BDiplomiraneZS[[#This Row],[И/ДИ/З]])</f>
        <v>0</v>
      </c>
      <c r="N73" s="553"/>
      <c r="O73" s="895"/>
      <c r="Q73" s="265"/>
      <c r="R73" s="243"/>
      <c r="S73" s="244"/>
      <c r="AC73" s="234"/>
      <c r="AD73" s="234"/>
      <c r="AE73" s="234"/>
      <c r="AF73" s="1892" t="str">
        <f>"*"&amp;BDiplomiraneZS[[#This Row],[Специалност]]&amp;"*\"&amp;BDiplomiraneZS[[#This Row],[Факултет]]&amp;"\б"&amp;LEFT(BDiplomiraneZS[[#This Row],[ФормаОб]],1)</f>
        <v>**\\б</v>
      </c>
      <c r="AG73" s="1893" t="str">
        <f>IFERROR(VLOOKUP(BDiplomiraneZS1[[#This Row],[СпециалностМП]],EducPlans_кодНАЦИД_Спец[[кодСпецДР]:[кодНАЦИД]],3,0),"")</f>
        <v/>
      </c>
      <c r="AH73" s="1690">
        <f ca="1">N(OFFSET(BDiplomiraneZS1[[#This Row],[|]],-1,0))+1</f>
        <v>3</v>
      </c>
      <c r="AI73" s="1691" t="str">
        <f>IF(BDiplomiraneZS1[[#This Row],[уЧасове]],BDiplomiraneZS1[[#This Row],[нацид|монСпециалностМП]],"")</f>
        <v/>
      </c>
      <c r="AJ73" s="1692">
        <f>SUM(BDiplomiraneZS[[#This Row],[чДР]:[чИ/ДИ/З]])</f>
        <v>0</v>
      </c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</row>
    <row r="74" spans="2:46" s="42" customFormat="1" x14ac:dyDescent="0.3">
      <c r="B74" s="236">
        <f t="shared" si="5"/>
        <v>4</v>
      </c>
      <c r="H74" s="1902">
        <f t="shared" si="2"/>
        <v>30</v>
      </c>
      <c r="I74" s="1902">
        <f t="shared" si="3"/>
        <v>5</v>
      </c>
      <c r="J74" s="1902">
        <f t="shared" si="4"/>
        <v>0.8</v>
      </c>
      <c r="K74" s="1896">
        <f>BDiplomiraneZS[[#This Row],[кДР]]*N(BDiplomiraneZS[[#This Row],[ДР]])</f>
        <v>0</v>
      </c>
      <c r="L74" s="1897">
        <f>BDiplomiraneZS[[#This Row],[кРецензии]]*N(BDiplomiraneZS[[#This Row],[Рецензии]])</f>
        <v>0</v>
      </c>
      <c r="M74" s="1898">
        <f>BDiplomiraneZS[[#This Row],[кИ/ДИ/З]]*N(BDiplomiraneZS[[#This Row],[И/ДИ/З]])</f>
        <v>0</v>
      </c>
      <c r="N74" s="553"/>
      <c r="O74" s="895"/>
      <c r="Q74" s="265"/>
      <c r="R74" s="243"/>
      <c r="S74" s="244"/>
      <c r="AC74" s="234"/>
      <c r="AD74" s="234"/>
      <c r="AE74" s="234"/>
      <c r="AF74" s="1892" t="str">
        <f>"*"&amp;BDiplomiraneZS[[#This Row],[Специалност]]&amp;"*\"&amp;BDiplomiraneZS[[#This Row],[Факултет]]&amp;"\б"&amp;LEFT(BDiplomiraneZS[[#This Row],[ФормаОб]],1)</f>
        <v>**\\б</v>
      </c>
      <c r="AG74" s="1893" t="str">
        <f>IFERROR(VLOOKUP(BDiplomiraneZS1[[#This Row],[СпециалностМП]],EducPlans_кодНАЦИД_Спец[[кодСпецДР]:[кодНАЦИД]],3,0),"")</f>
        <v/>
      </c>
      <c r="AH74" s="1690">
        <f ca="1">N(OFFSET(BDiplomiraneZS1[[#This Row],[|]],-1,0))+1</f>
        <v>4</v>
      </c>
      <c r="AI74" s="1691" t="str">
        <f>IF(BDiplomiraneZS1[[#This Row],[уЧасове]],BDiplomiraneZS1[[#This Row],[нацид|монСпециалностМП]],"")</f>
        <v/>
      </c>
      <c r="AJ74" s="1692">
        <f>SUM(BDiplomiraneZS[[#This Row],[чДР]:[чИ/ДИ/З]])</f>
        <v>0</v>
      </c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</row>
    <row r="75" spans="2:46" s="42" customFormat="1" x14ac:dyDescent="0.3">
      <c r="B75" s="236">
        <f t="shared" si="5"/>
        <v>5</v>
      </c>
      <c r="H75" s="1902">
        <f t="shared" si="2"/>
        <v>30</v>
      </c>
      <c r="I75" s="1902">
        <f t="shared" si="3"/>
        <v>5</v>
      </c>
      <c r="J75" s="1902">
        <f t="shared" si="4"/>
        <v>0.8</v>
      </c>
      <c r="K75" s="1896">
        <f>BDiplomiraneZS[[#This Row],[кДР]]*N(BDiplomiraneZS[[#This Row],[ДР]])</f>
        <v>0</v>
      </c>
      <c r="L75" s="1897">
        <f>BDiplomiraneZS[[#This Row],[кРецензии]]*N(BDiplomiraneZS[[#This Row],[Рецензии]])</f>
        <v>0</v>
      </c>
      <c r="M75" s="1898">
        <f>BDiplomiraneZS[[#This Row],[кИ/ДИ/З]]*N(BDiplomiraneZS[[#This Row],[И/ДИ/З]])</f>
        <v>0</v>
      </c>
      <c r="N75" s="553"/>
      <c r="O75" s="895"/>
      <c r="Q75" s="265"/>
      <c r="R75" s="243"/>
      <c r="S75" s="244"/>
      <c r="AC75" s="234"/>
      <c r="AD75" s="234"/>
      <c r="AE75" s="234"/>
      <c r="AF75" s="1892" t="str">
        <f>"*"&amp;BDiplomiraneZS[[#This Row],[Специалност]]&amp;"*\"&amp;BDiplomiraneZS[[#This Row],[Факултет]]&amp;"\б"&amp;LEFT(BDiplomiraneZS[[#This Row],[ФормаОб]],1)</f>
        <v>**\\б</v>
      </c>
      <c r="AG75" s="1893" t="str">
        <f>IFERROR(VLOOKUP(BDiplomiraneZS1[[#This Row],[СпециалностМП]],EducPlans_кодНАЦИД_Спец[[кодСпецДР]:[кодНАЦИД]],3,0),"")</f>
        <v/>
      </c>
      <c r="AH75" s="1690">
        <f ca="1">N(OFFSET(BDiplomiraneZS1[[#This Row],[|]],-1,0))+1</f>
        <v>5</v>
      </c>
      <c r="AI75" s="1691" t="str">
        <f>IF(BDiplomiraneZS1[[#This Row],[уЧасове]],BDiplomiraneZS1[[#This Row],[нацид|монСпециалностМП]],"")</f>
        <v/>
      </c>
      <c r="AJ75" s="1692">
        <f>SUM(BDiplomiraneZS[[#This Row],[чДР]:[чИ/ДИ/З]])</f>
        <v>0</v>
      </c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</row>
    <row r="76" spans="2:46" s="42" customFormat="1" x14ac:dyDescent="0.3">
      <c r="B76" s="236">
        <f t="shared" si="5"/>
        <v>6</v>
      </c>
      <c r="H76" s="1902">
        <f t="shared" si="2"/>
        <v>30</v>
      </c>
      <c r="I76" s="1902">
        <f t="shared" si="3"/>
        <v>5</v>
      </c>
      <c r="J76" s="1902">
        <f t="shared" si="4"/>
        <v>0.8</v>
      </c>
      <c r="K76" s="1896">
        <f>BDiplomiraneZS[[#This Row],[кДР]]*N(BDiplomiraneZS[[#This Row],[ДР]])</f>
        <v>0</v>
      </c>
      <c r="L76" s="1897">
        <f>BDiplomiraneZS[[#This Row],[кРецензии]]*N(BDiplomiraneZS[[#This Row],[Рецензии]])</f>
        <v>0</v>
      </c>
      <c r="M76" s="1898">
        <f>BDiplomiraneZS[[#This Row],[кИ/ДИ/З]]*N(BDiplomiraneZS[[#This Row],[И/ДИ/З]])</f>
        <v>0</v>
      </c>
      <c r="N76" s="553"/>
      <c r="O76" s="895"/>
      <c r="Q76" s="265"/>
      <c r="R76" s="243"/>
      <c r="S76" s="244"/>
      <c r="AC76" s="234"/>
      <c r="AD76" s="234"/>
      <c r="AE76" s="234"/>
      <c r="AF76" s="1892" t="str">
        <f>"*"&amp;BDiplomiraneZS[[#This Row],[Специалност]]&amp;"*\"&amp;BDiplomiraneZS[[#This Row],[Факултет]]&amp;"\б"&amp;LEFT(BDiplomiraneZS[[#This Row],[ФормаОб]],1)</f>
        <v>**\\б</v>
      </c>
      <c r="AG76" s="1893" t="str">
        <f>IFERROR(VLOOKUP(BDiplomiraneZS1[[#This Row],[СпециалностМП]],EducPlans_кодНАЦИД_Спец[[кодСпецДР]:[кодНАЦИД]],3,0),"")</f>
        <v/>
      </c>
      <c r="AH76" s="1690">
        <f ca="1">N(OFFSET(BDiplomiraneZS1[[#This Row],[|]],-1,0))+1</f>
        <v>6</v>
      </c>
      <c r="AI76" s="1691" t="str">
        <f>IF(BDiplomiraneZS1[[#This Row],[уЧасове]],BDiplomiraneZS1[[#This Row],[нацид|монСпециалностМП]],"")</f>
        <v/>
      </c>
      <c r="AJ76" s="1692">
        <f>SUM(BDiplomiraneZS[[#This Row],[чДР]:[чИ/ДИ/З]])</f>
        <v>0</v>
      </c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</row>
    <row r="77" spans="2:46" s="42" customFormat="1" x14ac:dyDescent="0.3">
      <c r="B77" s="236">
        <f t="shared" si="5"/>
        <v>7</v>
      </c>
      <c r="H77" s="1902">
        <f t="shared" si="2"/>
        <v>30</v>
      </c>
      <c r="I77" s="1902">
        <f t="shared" si="3"/>
        <v>5</v>
      </c>
      <c r="J77" s="1902">
        <f t="shared" si="4"/>
        <v>0.8</v>
      </c>
      <c r="K77" s="1896">
        <f>BDiplomiraneZS[[#This Row],[кДР]]*N(BDiplomiraneZS[[#This Row],[ДР]])</f>
        <v>0</v>
      </c>
      <c r="L77" s="1897">
        <f>BDiplomiraneZS[[#This Row],[кРецензии]]*N(BDiplomiraneZS[[#This Row],[Рецензии]])</f>
        <v>0</v>
      </c>
      <c r="M77" s="1898">
        <f>BDiplomiraneZS[[#This Row],[кИ/ДИ/З]]*N(BDiplomiraneZS[[#This Row],[И/ДИ/З]])</f>
        <v>0</v>
      </c>
      <c r="N77" s="553"/>
      <c r="O77" s="895"/>
      <c r="Q77" s="265"/>
      <c r="R77" s="243"/>
      <c r="S77" s="244"/>
      <c r="AC77" s="234"/>
      <c r="AD77" s="234"/>
      <c r="AE77" s="234"/>
      <c r="AF77" s="1892" t="str">
        <f>"*"&amp;BDiplomiraneZS[[#This Row],[Специалност]]&amp;"*\"&amp;BDiplomiraneZS[[#This Row],[Факултет]]&amp;"\б"&amp;LEFT(BDiplomiraneZS[[#This Row],[ФормаОб]],1)</f>
        <v>**\\б</v>
      </c>
      <c r="AG77" s="1893" t="str">
        <f>IFERROR(VLOOKUP(BDiplomiraneZS1[[#This Row],[СпециалностМП]],EducPlans_кодНАЦИД_Спец[[кодСпецДР]:[кодНАЦИД]],3,0),"")</f>
        <v/>
      </c>
      <c r="AH77" s="1690">
        <f ca="1">N(OFFSET(BDiplomiraneZS1[[#This Row],[|]],-1,0))+1</f>
        <v>7</v>
      </c>
      <c r="AI77" s="1691" t="str">
        <f>IF(BDiplomiraneZS1[[#This Row],[уЧасове]],BDiplomiraneZS1[[#This Row],[нацид|монСпециалностМП]],"")</f>
        <v/>
      </c>
      <c r="AJ77" s="1692">
        <f>SUM(BDiplomiraneZS[[#This Row],[чДР]:[чИ/ДИ/З]])</f>
        <v>0</v>
      </c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</row>
    <row r="78" spans="2:46" s="42" customFormat="1" ht="17.25" thickBot="1" x14ac:dyDescent="0.35">
      <c r="B78" s="236">
        <f t="shared" si="5"/>
        <v>8</v>
      </c>
      <c r="H78" s="1902">
        <f t="shared" si="2"/>
        <v>30</v>
      </c>
      <c r="I78" s="1902">
        <f t="shared" si="3"/>
        <v>5</v>
      </c>
      <c r="J78" s="1902">
        <f t="shared" si="4"/>
        <v>0.8</v>
      </c>
      <c r="K78" s="1899">
        <f>BDiplomiraneZS[[#This Row],[кДР]]*N(BDiplomiraneZS[[#This Row],[ДР]])</f>
        <v>0</v>
      </c>
      <c r="L78" s="1900">
        <f>BDiplomiraneZS[[#This Row],[кРецензии]]*N(BDiplomiraneZS[[#This Row],[Рецензии]])</f>
        <v>0</v>
      </c>
      <c r="M78" s="1901">
        <f>BDiplomiraneZS[[#This Row],[кИ/ДИ/З]]*N(BDiplomiraneZS[[#This Row],[И/ДИ/З]])</f>
        <v>0</v>
      </c>
      <c r="N78" s="592"/>
      <c r="O78" s="897"/>
      <c r="Q78" s="1229"/>
      <c r="R78" s="885"/>
      <c r="S78" s="886"/>
      <c r="AC78" s="234"/>
      <c r="AD78" s="234"/>
      <c r="AE78" s="234"/>
      <c r="AF78" s="1894" t="str">
        <f>"*"&amp;BDiplomiraneZS[[#This Row],[Специалност]]&amp;"*\"&amp;BDiplomiraneZS[[#This Row],[Факултет]]&amp;"\б"&amp;LEFT(BDiplomiraneZS[[#This Row],[ФормаОб]],1)</f>
        <v>**\\б</v>
      </c>
      <c r="AG78" s="1893" t="str">
        <f>IFERROR(VLOOKUP(BDiplomiraneZS1[[#This Row],[СпециалностМП]],EducPlans_кодНАЦИД_Спец[[кодСпецДР]:[кодНАЦИД]],3,0),"")</f>
        <v/>
      </c>
      <c r="AH78" s="1690">
        <f ca="1">N(OFFSET(BDiplomiraneZS1[[#This Row],[|]],-1,0))+1</f>
        <v>8</v>
      </c>
      <c r="AI78" s="1691" t="str">
        <f>IF(BDiplomiraneZS1[[#This Row],[уЧасове]],BDiplomiraneZS1[[#This Row],[нацид|монСпециалностМП]],"")</f>
        <v/>
      </c>
      <c r="AJ78" s="1692">
        <f>SUM(BDiplomiraneZS[[#This Row],[чДР]:[чИ/ДИ/З]])</f>
        <v>0</v>
      </c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</row>
    <row r="79" spans="2:46" ht="9.9499999999999993" customHeight="1" x14ac:dyDescent="0.3">
      <c r="B79" s="106" t="s">
        <v>412</v>
      </c>
      <c r="L79" s="36" t="s">
        <v>407</v>
      </c>
      <c r="M79" s="36" t="b">
        <f>ПЕРИОД!D10="Летен"</f>
        <v>0</v>
      </c>
      <c r="N79"/>
      <c r="O79"/>
      <c r="P79"/>
      <c r="Q79"/>
      <c r="R79"/>
      <c r="AJ79" s="1741"/>
    </row>
    <row r="80" spans="2:46" ht="27" customHeight="1" x14ac:dyDescent="0.3">
      <c r="B80" s="176" t="s">
        <v>415</v>
      </c>
      <c r="M80" s="99" t="str">
        <f>IF($M$79,1,"2.1")</f>
        <v>2.1</v>
      </c>
      <c r="N80" s="2586" t="str">
        <f>M80&amp;". ОКС ""бакалавър"" и ""магистър"" след средно образование – аудиторна заетост и изпитани студенти – ЛЕТЕН семестър"</f>
        <v>2.1. ОКС "бакалавър" и "магистър" след средно образование – аудиторна заетост и изпитани студенти – ЛЕТЕН семестър</v>
      </c>
      <c r="O80" s="2586"/>
      <c r="P80" s="2586"/>
      <c r="Q80" s="2586"/>
      <c r="R80" s="2586"/>
      <c r="S80" s="2586"/>
      <c r="T80" s="2586"/>
      <c r="U80" s="2586"/>
      <c r="V80" s="2586"/>
      <c r="W80" s="2586"/>
      <c r="X80" s="2586"/>
      <c r="Y80" s="2586"/>
      <c r="Z80" s="2586"/>
      <c r="AA80" s="2586"/>
      <c r="AB80" s="2586"/>
      <c r="AI80" s="1741"/>
    </row>
    <row r="81" spans="2:46" ht="21" thickBot="1" x14ac:dyDescent="0.35">
      <c r="B81" s="106" t="s">
        <v>471</v>
      </c>
      <c r="N81" s="2637" t="s">
        <v>884</v>
      </c>
      <c r="O81" s="2638"/>
      <c r="P81" s="2638"/>
      <c r="Q81" s="2638"/>
      <c r="R81" s="2638"/>
      <c r="S81" s="2638"/>
      <c r="T81" s="2638"/>
      <c r="U81" s="2638"/>
      <c r="V81" s="2638"/>
      <c r="W81" s="2638"/>
      <c r="X81" s="2638"/>
      <c r="Y81" s="2638"/>
      <c r="Z81" s="2638"/>
      <c r="AA81" s="2638"/>
      <c r="AB81" s="2638"/>
      <c r="AI81" s="1741"/>
    </row>
    <row r="82" spans="2:46" ht="21" thickBot="1" x14ac:dyDescent="0.35">
      <c r="B82" s="106" t="s">
        <v>413</v>
      </c>
      <c r="C82" s="99"/>
      <c r="D82" s="99"/>
      <c r="E82" s="99"/>
      <c r="F82" s="99"/>
      <c r="G82" s="99"/>
      <c r="H82" s="99"/>
      <c r="I82" s="99"/>
      <c r="J82" s="99"/>
      <c r="L82" s="99"/>
      <c r="M82" s="99"/>
      <c r="N82" s="2584" t="s">
        <v>16</v>
      </c>
      <c r="O82" s="2575" t="s">
        <v>467</v>
      </c>
      <c r="P82" s="2592" t="s">
        <v>18</v>
      </c>
      <c r="Q82" s="2584" t="s">
        <v>19</v>
      </c>
      <c r="R82" s="2575" t="s">
        <v>20</v>
      </c>
      <c r="S82" s="2575" t="s">
        <v>562</v>
      </c>
      <c r="T82" s="2587" t="s">
        <v>502</v>
      </c>
      <c r="U82" s="2590" t="str">
        <f>IF(ПЕРИОД!D10="План","Възложени часове","Проведени часове")</f>
        <v>Проведени часове</v>
      </c>
      <c r="V82" s="2591"/>
      <c r="W82" s="2584" t="s">
        <v>21</v>
      </c>
      <c r="X82" s="2575" t="s">
        <v>468</v>
      </c>
      <c r="Y82" s="2587" t="s">
        <v>309</v>
      </c>
      <c r="Z82" s="2589" t="s">
        <v>332</v>
      </c>
      <c r="AA82" s="2575"/>
      <c r="AB82" s="2587"/>
      <c r="AC82" s="1511"/>
      <c r="AD82" s="1511"/>
      <c r="AE82" s="1511"/>
      <c r="AF82" s="1511"/>
      <c r="AG82" s="1511"/>
      <c r="AH82" s="1511"/>
      <c r="AI82" s="1511"/>
      <c r="AJ82" s="1511"/>
    </row>
    <row r="83" spans="2:46" ht="33" customHeight="1" thickBot="1" x14ac:dyDescent="0.35">
      <c r="B83" s="106" t="s">
        <v>414</v>
      </c>
      <c r="C83" s="2613" t="s">
        <v>313</v>
      </c>
      <c r="D83" s="2614"/>
      <c r="E83" s="2614"/>
      <c r="F83" s="2613" t="s">
        <v>310</v>
      </c>
      <c r="G83" s="2614"/>
      <c r="H83" s="2614"/>
      <c r="I83" s="2615"/>
      <c r="J83" s="2614" t="s">
        <v>336</v>
      </c>
      <c r="K83" s="2614"/>
      <c r="L83" s="2614"/>
      <c r="M83" s="2614"/>
      <c r="N83" s="2585"/>
      <c r="O83" s="2576"/>
      <c r="P83" s="2593"/>
      <c r="Q83" s="2585"/>
      <c r="R83" s="2576"/>
      <c r="S83" s="2576"/>
      <c r="T83" s="2588"/>
      <c r="U83" s="229" t="s">
        <v>326</v>
      </c>
      <c r="V83" s="230" t="s">
        <v>388</v>
      </c>
      <c r="W83" s="2585"/>
      <c r="X83" s="2576"/>
      <c r="Y83" s="2588"/>
      <c r="Z83" s="231" t="s">
        <v>327</v>
      </c>
      <c r="AA83" s="221" t="s">
        <v>328</v>
      </c>
      <c r="AB83" s="222" t="s">
        <v>389</v>
      </c>
      <c r="AC83" s="2564" t="s">
        <v>7821</v>
      </c>
      <c r="AD83" s="2568"/>
      <c r="AE83" s="2568"/>
      <c r="AF83" s="2568"/>
      <c r="AG83" s="2565"/>
      <c r="AH83" s="2564" t="s">
        <v>9528</v>
      </c>
      <c r="AI83" s="2568"/>
      <c r="AJ83" s="2565"/>
    </row>
    <row r="84" spans="2:46" s="40" customFormat="1" ht="21" hidden="1" thickBot="1" x14ac:dyDescent="0.25">
      <c r="B84" s="106" t="s">
        <v>419</v>
      </c>
      <c r="C84" s="116" t="s">
        <v>314</v>
      </c>
      <c r="D84" s="117" t="s">
        <v>315</v>
      </c>
      <c r="E84" s="117" t="s">
        <v>335</v>
      </c>
      <c r="F84" s="116" t="s">
        <v>311</v>
      </c>
      <c r="G84" s="117" t="s">
        <v>418</v>
      </c>
      <c r="H84" s="117" t="s">
        <v>391</v>
      </c>
      <c r="I84" s="685" t="s">
        <v>333</v>
      </c>
      <c r="J84" s="117" t="s">
        <v>338</v>
      </c>
      <c r="K84" s="117" t="s">
        <v>399</v>
      </c>
      <c r="L84" s="117" t="s">
        <v>387</v>
      </c>
      <c r="M84" s="687" t="s">
        <v>334</v>
      </c>
      <c r="N84" s="616" t="s">
        <v>16</v>
      </c>
      <c r="O84" s="1427" t="s">
        <v>17</v>
      </c>
      <c r="P84" s="1427" t="s">
        <v>18</v>
      </c>
      <c r="Q84" s="1428" t="s">
        <v>19</v>
      </c>
      <c r="R84" s="1429" t="s">
        <v>20</v>
      </c>
      <c r="S84" s="1430" t="s">
        <v>620</v>
      </c>
      <c r="T84" s="1431" t="s">
        <v>618</v>
      </c>
      <c r="U84" s="1427" t="s">
        <v>331</v>
      </c>
      <c r="V84" s="617" t="s">
        <v>339</v>
      </c>
      <c r="W84" s="616" t="s">
        <v>21</v>
      </c>
      <c r="X84" s="1430" t="s">
        <v>621</v>
      </c>
      <c r="Y84" s="1427" t="s">
        <v>330</v>
      </c>
      <c r="Z84" s="616" t="s">
        <v>327</v>
      </c>
      <c r="AA84" s="1427" t="s">
        <v>86</v>
      </c>
      <c r="AB84" s="617" t="s">
        <v>329</v>
      </c>
      <c r="AC84" s="1742" t="s">
        <v>1093</v>
      </c>
      <c r="AD84" s="1742" t="s">
        <v>1094</v>
      </c>
      <c r="AE84" s="1742" t="s">
        <v>1095</v>
      </c>
      <c r="AF84" s="1743" t="s">
        <v>1097</v>
      </c>
      <c r="AG84" s="1742" t="s">
        <v>7735</v>
      </c>
      <c r="AH84" s="1744" t="s">
        <v>1092</v>
      </c>
      <c r="AI84" s="1742" t="s">
        <v>7736</v>
      </c>
      <c r="AJ84" s="1742" t="s">
        <v>7828</v>
      </c>
      <c r="AK84" s="1751"/>
      <c r="AL84" s="1752"/>
      <c r="AM84" s="1752"/>
      <c r="AN84" s="1752"/>
      <c r="AO84" s="1752"/>
      <c r="AP84" s="1752"/>
      <c r="AQ84" s="1752"/>
      <c r="AR84" s="1752"/>
      <c r="AS84" s="1752"/>
      <c r="AT84" s="1752"/>
    </row>
    <row r="85" spans="2:46" s="41" customFormat="1" x14ac:dyDescent="0.3">
      <c r="B85" s="236">
        <f t="shared" ref="B85:B103" si="6">N(B84)+1</f>
        <v>1</v>
      </c>
      <c r="C85" s="110">
        <f>IFERROR(AND(LEN(BAZLS[[#This Row],[Дисциплина]]&amp;BAZLS[[#This Row],[Специалност]]&amp;BAZLS[[#This Row],[Факултет]])&gt;0,LEN(BAZLS[[#This Row],[Вид]])=0)*1,0)</f>
        <v>0</v>
      </c>
      <c r="D85" s="110">
        <f>AND(BAZLS[[#This Row],[Дисциплина]]&lt;&gt;0,OR(N(BAZLS[[#This Row],[Лекции]])&lt;&gt;0,N(BAZLS[[#This Row],[Упражнения]])&lt;&gt;0),N(BAZLS[[#This Row],[Студенти]])=0)*1</f>
        <v>0</v>
      </c>
      <c r="E85" s="110">
        <f>AND(N(BAZLS[[#This Row],[Изпитани]])&gt;0,BAZLS[[#This Row],[Изпитващ]]=0)*1</f>
        <v>0</v>
      </c>
      <c r="F85" s="111">
        <f>IFERROR(VLOOKUP(BAZLS[[#This Row],[Език]],ТобЕзик[[обЕзик]:[Коеф.]],2,0),0)</f>
        <v>1</v>
      </c>
      <c r="G85" s="110" cm="1">
        <f t="array" ref="G85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85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85" s="686">
        <f>IFERROR(VLOOKUP(BAZLS[[#This Row],[ФормаОб]],тТО[[обФорма]:[Коеф.]],2,0),0)</f>
        <v>0</v>
      </c>
      <c r="J85" s="110">
        <f>N(BAZLS[[#This Row],[Лекции]])*BAZLS[[#This Row],[кЕзик]]*BAZLS[[#This Row],[кСтуденти]]*кЛекции</f>
        <v>0</v>
      </c>
      <c r="K85" s="110">
        <f>N(BAZLS[[#This Row],[Упражнения]])*BAZLS[[#This Row],[кЕзик]]*BAZLS[[#This Row],[кСтуденти]]*кУпражнение</f>
        <v>0</v>
      </c>
      <c r="L85" s="110">
        <f>N(BAZLS[[#This Row],[Изпитани]])*BAZLS[[#This Row],[кИзпитващ]]</f>
        <v>0</v>
      </c>
      <c r="M85" s="666">
        <f>N(BAZLS[[#This Row],[ТО]])*BAZLS[[#This Row],[кTO]]</f>
        <v>0</v>
      </c>
      <c r="N85" s="1458"/>
      <c r="O85" s="1459"/>
      <c r="P85" s="1194"/>
      <c r="Q85" s="1460"/>
      <c r="R85" s="1461"/>
      <c r="S85" s="1462"/>
      <c r="T85" s="1463"/>
      <c r="U85" s="245"/>
      <c r="V85" s="246"/>
      <c r="W85" s="1464" t="s">
        <v>84</v>
      </c>
      <c r="X85" s="1465"/>
      <c r="Y85" s="1194"/>
      <c r="Z85" s="1230"/>
      <c r="AA85" s="1231"/>
      <c r="AB85" s="1232"/>
      <c r="AC85" s="1402"/>
      <c r="AD85" s="1394"/>
      <c r="AE85" s="1394"/>
      <c r="AF85" s="1394"/>
      <c r="AG85" s="1394"/>
      <c r="AH85" s="1684">
        <f ca="1">N(OFFSET(BAZLS[[#This Row],[|]],-1,0))+1</f>
        <v>1</v>
      </c>
      <c r="AI85" s="1671" t="str">
        <f>IF(BAZLS[[#This Row],[уЧасове]],BAZLS[[#This Row],[нацид|монСпециалностМП]],"")</f>
        <v/>
      </c>
      <c r="AJ85" s="1644">
        <f>SUM(BAZLS[[#This Row],[чЛекции]:[чTO]],N(BAZLS[[#This Row],[КР]])*кКурсова_работа)</f>
        <v>0</v>
      </c>
      <c r="AK85" s="1746"/>
      <c r="AL85" s="1753"/>
      <c r="AM85" s="1746"/>
      <c r="AN85" s="1746"/>
      <c r="AO85" s="1746"/>
      <c r="AP85" s="1746"/>
      <c r="AQ85" s="1746"/>
      <c r="AR85" s="1746"/>
      <c r="AS85" s="1746"/>
      <c r="AT85" s="1746"/>
    </row>
    <row r="86" spans="2:46" s="41" customFormat="1" x14ac:dyDescent="0.3">
      <c r="B86" s="236">
        <f t="shared" si="6"/>
        <v>2</v>
      </c>
      <c r="C86" s="110">
        <f>IFERROR(AND(LEN(BAZLS[[#This Row],[Дисциплина]]&amp;BAZLS[[#This Row],[Специалност]]&amp;BAZLS[[#This Row],[Факултет]])&gt;0,LEN(BAZLS[[#This Row],[Вид]])=0)*1,0)</f>
        <v>0</v>
      </c>
      <c r="D86" s="110">
        <f>AND(BAZLS[[#This Row],[Дисциплина]]&lt;&gt;0,OR(N(BAZLS[[#This Row],[Лекции]])&lt;&gt;0,N(BAZLS[[#This Row],[Упражнения]])&lt;&gt;0),N(BAZLS[[#This Row],[Студенти]])=0)*1</f>
        <v>0</v>
      </c>
      <c r="E86" s="110">
        <f>AND(N(BAZLS[[#This Row],[Изпитани]])&gt;0,BAZLS[[#This Row],[Изпитващ]]=0)*1</f>
        <v>0</v>
      </c>
      <c r="F86" s="111">
        <f>IFERROR(VLOOKUP(BAZLS[[#This Row],[Език]],Коефициент_Eзик[],2,0),0)</f>
        <v>1</v>
      </c>
      <c r="G86" s="110" cm="1">
        <f t="array" ref="G86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86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86" s="686">
        <f>IFERROR(VLOOKUP(BAZLS[[#This Row],[ФормаОб]],тТО[[обФорма]:[Коеф.]],2,0),0)</f>
        <v>0</v>
      </c>
      <c r="J86" s="110">
        <f>N(BAZLS[[#This Row],[Лекции]])*BAZLS[[#This Row],[кЕзик]]*BAZLS[[#This Row],[кСтуденти]]*кЛекции</f>
        <v>0</v>
      </c>
      <c r="K86" s="110">
        <f>N(BAZLS[[#This Row],[Упражнения]])*BAZLS[[#This Row],[кЕзик]]*BAZLS[[#This Row],[кСтуденти]]*кУпражнение</f>
        <v>0</v>
      </c>
      <c r="L86" s="110">
        <f>N(BAZLS[[#This Row],[Изпитани]])*BAZLS[[#This Row],[кИзпитващ]]</f>
        <v>0</v>
      </c>
      <c r="M86" s="666">
        <f>N(BAZLS[[#This Row],[ТО]])*BAZLS[[#This Row],[кTO]]</f>
        <v>0</v>
      </c>
      <c r="N86" s="867"/>
      <c r="O86" s="555"/>
      <c r="P86" s="896"/>
      <c r="Q86" s="898"/>
      <c r="R86" s="591"/>
      <c r="S86" s="901"/>
      <c r="T86" s="248"/>
      <c r="U86" s="249"/>
      <c r="V86" s="250"/>
      <c r="W86" s="580" t="s">
        <v>84</v>
      </c>
      <c r="X86" s="903"/>
      <c r="Y86" s="896"/>
      <c r="Z86" s="247"/>
      <c r="AA86" s="241"/>
      <c r="AB86" s="242"/>
      <c r="AC86" s="1402"/>
      <c r="AD86" s="1394"/>
      <c r="AE86" s="1394"/>
      <c r="AF86" s="1394"/>
      <c r="AG86" s="1394"/>
      <c r="AH86" s="1684">
        <f ca="1">N(OFFSET(BAZLS[[#This Row],[|]],-1,0))+1</f>
        <v>2</v>
      </c>
      <c r="AI86" s="1671" t="str">
        <f>IF(BAZLS[[#This Row],[уЧасове]],BAZLS[[#This Row],[нацид|монСпециалностМП]],"")</f>
        <v/>
      </c>
      <c r="AJ86" s="1644">
        <f>SUM(BAZLS[[#This Row],[чЛекции]:[чTO]],N(BAZLS[[#This Row],[КР]])*кКурсова_работа)</f>
        <v>0</v>
      </c>
      <c r="AK86" s="1746"/>
      <c r="AL86" s="1753"/>
      <c r="AM86" s="1746"/>
      <c r="AN86" s="1746"/>
      <c r="AO86" s="1746"/>
      <c r="AP86" s="1746"/>
      <c r="AQ86" s="1746"/>
      <c r="AR86" s="1746"/>
      <c r="AS86" s="1746"/>
      <c r="AT86" s="1746"/>
    </row>
    <row r="87" spans="2:46" s="41" customFormat="1" x14ac:dyDescent="0.3">
      <c r="B87" s="236">
        <f t="shared" si="6"/>
        <v>3</v>
      </c>
      <c r="C87" s="110">
        <f>IFERROR(AND(LEN(BAZLS[[#This Row],[Дисциплина]]&amp;BAZLS[[#This Row],[Специалност]]&amp;BAZLS[[#This Row],[Факултет]])&gt;0,LEN(BAZLS[[#This Row],[Вид]])=0)*1,0)</f>
        <v>0</v>
      </c>
      <c r="D87" s="110">
        <f>AND(BAZLS[[#This Row],[Дисциплина]]&lt;&gt;0,OR(N(BAZLS[[#This Row],[Лекции]])&lt;&gt;0,N(BAZLS[[#This Row],[Упражнения]])&lt;&gt;0),N(BAZLS[[#This Row],[Студенти]])=0)*1</f>
        <v>0</v>
      </c>
      <c r="E87" s="110">
        <f>AND(N(BAZLS[[#This Row],[Изпитани]])&gt;0,BAZLS[[#This Row],[Изпитващ]]=0)*1</f>
        <v>0</v>
      </c>
      <c r="F87" s="111">
        <f>IFERROR(VLOOKUP(BAZLS[[#This Row],[Език]],Коефициент_Eзик[],2,0),0)</f>
        <v>1</v>
      </c>
      <c r="G87" s="110" cm="1">
        <f t="array" ref="G87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87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87" s="686">
        <f>IFERROR(VLOOKUP(BAZLS[[#This Row],[ФормаОб]],тТО[[обФорма]:[Коеф.]],2,0),0)</f>
        <v>0</v>
      </c>
      <c r="J87" s="110">
        <f>N(BAZLS[[#This Row],[Лекции]])*BAZLS[[#This Row],[кЕзик]]*BAZLS[[#This Row],[кСтуденти]]*кЛекции</f>
        <v>0</v>
      </c>
      <c r="K87" s="110">
        <f>N(BAZLS[[#This Row],[Упражнения]])*BAZLS[[#This Row],[кЕзик]]*BAZLS[[#This Row],[кСтуденти]]*кУпражнение</f>
        <v>0</v>
      </c>
      <c r="L87" s="110">
        <f>N(BAZLS[[#This Row],[Изпитани]])*BAZLS[[#This Row],[кИзпитващ]]</f>
        <v>0</v>
      </c>
      <c r="M87" s="666">
        <f>N(BAZLS[[#This Row],[ТО]])*BAZLS[[#This Row],[кTO]]</f>
        <v>0</v>
      </c>
      <c r="N87" s="868"/>
      <c r="O87" s="550"/>
      <c r="P87" s="822"/>
      <c r="Q87" s="898"/>
      <c r="R87" s="591"/>
      <c r="S87" s="901"/>
      <c r="T87" s="248"/>
      <c r="U87" s="249"/>
      <c r="V87" s="250"/>
      <c r="W87" s="580" t="s">
        <v>84</v>
      </c>
      <c r="X87" s="903"/>
      <c r="Y87" s="896"/>
      <c r="Z87" s="247"/>
      <c r="AA87" s="241"/>
      <c r="AB87" s="242"/>
      <c r="AC87" s="1402"/>
      <c r="AD87" s="1394"/>
      <c r="AE87" s="1394"/>
      <c r="AF87" s="1394"/>
      <c r="AG87" s="1394"/>
      <c r="AH87" s="1684">
        <f ca="1">N(OFFSET(BAZLS[[#This Row],[|]],-1,0))+1</f>
        <v>3</v>
      </c>
      <c r="AI87" s="1671" t="str">
        <f>IF(BAZLS[[#This Row],[уЧасове]],BAZLS[[#This Row],[нацид|монСпециалностМП]],"")</f>
        <v/>
      </c>
      <c r="AJ87" s="1644">
        <f>SUM(BAZLS[[#This Row],[чЛекции]:[чTO]],N(BAZLS[[#This Row],[КР]])*кКурсова_работа)</f>
        <v>0</v>
      </c>
      <c r="AK87" s="1746"/>
      <c r="AL87" s="1753"/>
      <c r="AM87" s="1746"/>
      <c r="AN87" s="1746"/>
      <c r="AO87" s="1746"/>
      <c r="AP87" s="1746"/>
      <c r="AQ87" s="1746"/>
      <c r="AR87" s="1746"/>
      <c r="AS87" s="1746"/>
      <c r="AT87" s="1746"/>
    </row>
    <row r="88" spans="2:46" s="41" customFormat="1" x14ac:dyDescent="0.3">
      <c r="B88" s="236">
        <f t="shared" si="6"/>
        <v>4</v>
      </c>
      <c r="C88" s="110">
        <f>IFERROR(AND(LEN(BAZLS[[#This Row],[Дисциплина]]&amp;BAZLS[[#This Row],[Специалност]]&amp;BAZLS[[#This Row],[Факултет]])&gt;0,LEN(BAZLS[[#This Row],[Вид]])=0)*1,0)</f>
        <v>0</v>
      </c>
      <c r="D88" s="110">
        <f>AND(BAZLS[[#This Row],[Дисциплина]]&lt;&gt;0,OR(N(BAZLS[[#This Row],[Лекции]])&lt;&gt;0,N(BAZLS[[#This Row],[Упражнения]])&lt;&gt;0),N(BAZLS[[#This Row],[Студенти]])=0)*1</f>
        <v>0</v>
      </c>
      <c r="E88" s="110">
        <f>AND(N(BAZLS[[#This Row],[Изпитани]])&gt;0,BAZLS[[#This Row],[Изпитващ]]=0)*1</f>
        <v>0</v>
      </c>
      <c r="F88" s="111">
        <f>IFERROR(VLOOKUP(BAZLS[[#This Row],[Език]],Коефициент_Eзик[],2,0),0)</f>
        <v>1</v>
      </c>
      <c r="G88" s="110" cm="1">
        <f t="array" ref="G88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88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88" s="686">
        <f>IFERROR(VLOOKUP(BAZLS[[#This Row],[ФормаОб]],тТО[[обФорма]:[Коеф.]],2,0),0)</f>
        <v>0</v>
      </c>
      <c r="J88" s="110">
        <f>N(BAZLS[[#This Row],[Лекции]])*BAZLS[[#This Row],[кЕзик]]*BAZLS[[#This Row],[кСтуденти]]*кЛекции</f>
        <v>0</v>
      </c>
      <c r="K88" s="110">
        <f>N(BAZLS[[#This Row],[Упражнения]])*BAZLS[[#This Row],[кЕзик]]*BAZLS[[#This Row],[кСтуденти]]*кУпражнение</f>
        <v>0</v>
      </c>
      <c r="L88" s="110">
        <f>N(BAZLS[[#This Row],[Изпитани]])*BAZLS[[#This Row],[кИзпитващ]]</f>
        <v>0</v>
      </c>
      <c r="M88" s="666">
        <f>N(BAZLS[[#This Row],[ТО]])*BAZLS[[#This Row],[кTO]]</f>
        <v>0</v>
      </c>
      <c r="N88" s="869"/>
      <c r="O88" s="553"/>
      <c r="P88" s="895"/>
      <c r="Q88" s="898"/>
      <c r="R88" s="591"/>
      <c r="S88" s="901"/>
      <c r="T88" s="248"/>
      <c r="U88" s="249"/>
      <c r="V88" s="250"/>
      <c r="W88" s="580" t="s">
        <v>84</v>
      </c>
      <c r="X88" s="903"/>
      <c r="Y88" s="896"/>
      <c r="Z88" s="247"/>
      <c r="AA88" s="241"/>
      <c r="AB88" s="242"/>
      <c r="AC88" s="1402"/>
      <c r="AD88" s="1394"/>
      <c r="AE88" s="1394"/>
      <c r="AF88" s="1394"/>
      <c r="AG88" s="1394"/>
      <c r="AH88" s="1684">
        <f ca="1">N(OFFSET(BAZLS[[#This Row],[|]],-1,0))+1</f>
        <v>4</v>
      </c>
      <c r="AI88" s="1671" t="str">
        <f>IF(BAZLS[[#This Row],[уЧасове]],BAZLS[[#This Row],[нацид|монСпециалностМП]],"")</f>
        <v/>
      </c>
      <c r="AJ88" s="1644">
        <f>SUM(BAZLS[[#This Row],[чЛекции]:[чTO]],N(BAZLS[[#This Row],[КР]])*кКурсова_работа)</f>
        <v>0</v>
      </c>
      <c r="AK88" s="1746"/>
      <c r="AL88" s="1753"/>
      <c r="AM88" s="1746"/>
      <c r="AN88" s="1746"/>
      <c r="AO88" s="1746"/>
      <c r="AP88" s="1746"/>
      <c r="AQ88" s="1746"/>
      <c r="AR88" s="1746"/>
      <c r="AS88" s="1746"/>
      <c r="AT88" s="1746"/>
    </row>
    <row r="89" spans="2:46" s="41" customFormat="1" x14ac:dyDescent="0.3">
      <c r="B89" s="236">
        <f t="shared" si="6"/>
        <v>5</v>
      </c>
      <c r="C89" s="110">
        <f>IFERROR(AND(LEN(BAZLS[[#This Row],[Дисциплина]]&amp;BAZLS[[#This Row],[Специалност]]&amp;BAZLS[[#This Row],[Факултет]])&gt;0,LEN(BAZLS[[#This Row],[Вид]])=0)*1,0)</f>
        <v>0</v>
      </c>
      <c r="D89" s="110">
        <f>AND(BAZLS[[#This Row],[Дисциплина]]&lt;&gt;0,OR(N(BAZLS[[#This Row],[Лекции]])&lt;&gt;0,N(BAZLS[[#This Row],[Упражнения]])&lt;&gt;0),N(BAZLS[[#This Row],[Студенти]])=0)*1</f>
        <v>0</v>
      </c>
      <c r="E89" s="110">
        <f>AND(N(BAZLS[[#This Row],[Изпитани]])&gt;0,BAZLS[[#This Row],[Изпитващ]]=0)*1</f>
        <v>0</v>
      </c>
      <c r="F89" s="111">
        <f>IFERROR(VLOOKUP(BAZLS[[#This Row],[Език]],Коефициент_Eзик[],2,0),0)</f>
        <v>1</v>
      </c>
      <c r="G89" s="110" cm="1">
        <f t="array" ref="G89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89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89" s="686">
        <f>IFERROR(VLOOKUP(BAZLS[[#This Row],[ФормаОб]],тТО[[обФорма]:[Коеф.]],2,0),0)</f>
        <v>0</v>
      </c>
      <c r="J89" s="110">
        <f>N(BAZLS[[#This Row],[Лекции]])*BAZLS[[#This Row],[кЕзик]]*BAZLS[[#This Row],[кСтуденти]]*кЛекции</f>
        <v>0</v>
      </c>
      <c r="K89" s="110">
        <f>N(BAZLS[[#This Row],[Упражнения]])*BAZLS[[#This Row],[кЕзик]]*BAZLS[[#This Row],[кСтуденти]]*кУпражнение</f>
        <v>0</v>
      </c>
      <c r="L89" s="110">
        <f>N(BAZLS[[#This Row],[Изпитани]])*BAZLS[[#This Row],[кИзпитващ]]</f>
        <v>0</v>
      </c>
      <c r="M89" s="666">
        <f>N(BAZLS[[#This Row],[ТО]])*BAZLS[[#This Row],[кTO]]</f>
        <v>0</v>
      </c>
      <c r="N89" s="868"/>
      <c r="O89" s="550"/>
      <c r="P89" s="822"/>
      <c r="Q89" s="898"/>
      <c r="R89" s="591"/>
      <c r="S89" s="901"/>
      <c r="T89" s="248"/>
      <c r="U89" s="249"/>
      <c r="V89" s="250"/>
      <c r="W89" s="580" t="s">
        <v>84</v>
      </c>
      <c r="X89" s="903"/>
      <c r="Y89" s="896"/>
      <c r="Z89" s="247"/>
      <c r="AA89" s="241"/>
      <c r="AB89" s="242"/>
      <c r="AC89" s="1402"/>
      <c r="AD89" s="1394"/>
      <c r="AE89" s="1394"/>
      <c r="AF89" s="1394"/>
      <c r="AG89" s="1394"/>
      <c r="AH89" s="1684">
        <f ca="1">N(OFFSET(BAZLS[[#This Row],[|]],-1,0))+1</f>
        <v>5</v>
      </c>
      <c r="AI89" s="1671" t="str">
        <f>IF(BAZLS[[#This Row],[уЧасове]],BAZLS[[#This Row],[нацид|монСпециалностМП]],"")</f>
        <v/>
      </c>
      <c r="AJ89" s="1644">
        <f>SUM(BAZLS[[#This Row],[чЛекции]:[чTO]],N(BAZLS[[#This Row],[КР]])*кКурсова_работа)</f>
        <v>0</v>
      </c>
      <c r="AK89" s="1746"/>
      <c r="AL89" s="1753"/>
      <c r="AM89" s="1746"/>
      <c r="AN89" s="1746"/>
      <c r="AO89" s="1746"/>
      <c r="AP89" s="1746"/>
      <c r="AQ89" s="1746"/>
      <c r="AR89" s="1746"/>
      <c r="AS89" s="1746"/>
      <c r="AT89" s="1746"/>
    </row>
    <row r="90" spans="2:46" s="41" customFormat="1" x14ac:dyDescent="0.3">
      <c r="B90" s="236">
        <f t="shared" si="6"/>
        <v>6</v>
      </c>
      <c r="C90" s="110">
        <f>IFERROR(AND(LEN(BAZLS[[#This Row],[Дисциплина]]&amp;BAZLS[[#This Row],[Специалност]]&amp;BAZLS[[#This Row],[Факултет]])&gt;0,LEN(BAZLS[[#This Row],[Вид]])=0)*1,0)</f>
        <v>0</v>
      </c>
      <c r="D90" s="110">
        <f>AND(BAZLS[[#This Row],[Дисциплина]]&lt;&gt;0,OR(N(BAZLS[[#This Row],[Лекции]])&lt;&gt;0,N(BAZLS[[#This Row],[Упражнения]])&lt;&gt;0),N(BAZLS[[#This Row],[Студенти]])=0)*1</f>
        <v>0</v>
      </c>
      <c r="E90" s="110">
        <f>AND(N(BAZLS[[#This Row],[Изпитани]])&gt;0,BAZLS[[#This Row],[Изпитващ]]=0)*1</f>
        <v>0</v>
      </c>
      <c r="F90" s="111">
        <f>IFERROR(VLOOKUP(BAZLS[[#This Row],[Език]],Коефициент_Eзик[],2,0),0)</f>
        <v>1</v>
      </c>
      <c r="G90" s="110" cm="1">
        <f t="array" ref="G90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0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0" s="686">
        <f>IFERROR(VLOOKUP(BAZLS[[#This Row],[ФормаОб]],тТО[[обФорма]:[Коеф.]],2,0),0)</f>
        <v>0</v>
      </c>
      <c r="J90" s="110">
        <f>N(BAZLS[[#This Row],[Лекции]])*BAZLS[[#This Row],[кЕзик]]*BAZLS[[#This Row],[кСтуденти]]*кЛекции</f>
        <v>0</v>
      </c>
      <c r="K90" s="110">
        <f>N(BAZLS[[#This Row],[Упражнения]])*BAZLS[[#This Row],[кЕзик]]*BAZLS[[#This Row],[кСтуденти]]*кУпражнение</f>
        <v>0</v>
      </c>
      <c r="L90" s="110">
        <f>N(BAZLS[[#This Row],[Изпитани]])*BAZLS[[#This Row],[кИзпитващ]]</f>
        <v>0</v>
      </c>
      <c r="M90" s="666">
        <f>N(BAZLS[[#This Row],[ТО]])*BAZLS[[#This Row],[кTO]]</f>
        <v>0</v>
      </c>
      <c r="N90" s="869"/>
      <c r="O90" s="553"/>
      <c r="P90" s="895"/>
      <c r="Q90" s="898"/>
      <c r="R90" s="591"/>
      <c r="S90" s="901"/>
      <c r="T90" s="248"/>
      <c r="U90" s="249"/>
      <c r="V90" s="250"/>
      <c r="W90" s="580" t="s">
        <v>84</v>
      </c>
      <c r="X90" s="903"/>
      <c r="Y90" s="896"/>
      <c r="Z90" s="247"/>
      <c r="AA90" s="241"/>
      <c r="AB90" s="242"/>
      <c r="AC90" s="1402"/>
      <c r="AD90" s="1394"/>
      <c r="AE90" s="1394"/>
      <c r="AF90" s="1394"/>
      <c r="AG90" s="1394"/>
      <c r="AH90" s="1684">
        <f ca="1">N(OFFSET(BAZLS[[#This Row],[|]],-1,0))+1</f>
        <v>6</v>
      </c>
      <c r="AI90" s="1671" t="str">
        <f>IF(BAZLS[[#This Row],[уЧасове]],BAZLS[[#This Row],[нацид|монСпециалностМП]],"")</f>
        <v/>
      </c>
      <c r="AJ90" s="1644">
        <f>SUM(BAZLS[[#This Row],[чЛекции]:[чTO]],N(BAZLS[[#This Row],[КР]])*кКурсова_работа)</f>
        <v>0</v>
      </c>
      <c r="AK90" s="1746"/>
      <c r="AL90" s="1753"/>
      <c r="AM90" s="1746"/>
      <c r="AN90" s="1746"/>
      <c r="AO90" s="1746"/>
      <c r="AP90" s="1746"/>
      <c r="AQ90" s="1746"/>
      <c r="AR90" s="1746"/>
      <c r="AS90" s="1746"/>
      <c r="AT90" s="1746"/>
    </row>
    <row r="91" spans="2:46" s="41" customFormat="1" x14ac:dyDescent="0.3">
      <c r="B91" s="236">
        <f t="shared" si="6"/>
        <v>7</v>
      </c>
      <c r="C91" s="110">
        <f>IFERROR(AND(LEN(BAZLS[[#This Row],[Дисциплина]]&amp;BAZLS[[#This Row],[Специалност]]&amp;BAZLS[[#This Row],[Факултет]])&gt;0,LEN(BAZLS[[#This Row],[Вид]])=0)*1,0)</f>
        <v>0</v>
      </c>
      <c r="D91" s="110">
        <f>AND(BAZLS[[#This Row],[Дисциплина]]&lt;&gt;0,OR(N(BAZLS[[#This Row],[Лекции]])&lt;&gt;0,N(BAZLS[[#This Row],[Упражнения]])&lt;&gt;0),N(BAZLS[[#This Row],[Студенти]])=0)*1</f>
        <v>0</v>
      </c>
      <c r="E91" s="110">
        <f>AND(N(BAZLS[[#This Row],[Изпитани]])&gt;0,BAZLS[[#This Row],[Изпитващ]]=0)*1</f>
        <v>0</v>
      </c>
      <c r="F91" s="111">
        <f>IFERROR(VLOOKUP(BAZLS[[#This Row],[Език]],Коефициент_Eзик[],2,0),0)</f>
        <v>1</v>
      </c>
      <c r="G91" s="110" cm="1">
        <f t="array" ref="G91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1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1" s="686">
        <f>IFERROR(VLOOKUP(BAZLS[[#This Row],[ФормаОб]],тТО[[обФорма]:[Коеф.]],2,0),0)</f>
        <v>0</v>
      </c>
      <c r="J91" s="110">
        <f>N(BAZLS[[#This Row],[Лекции]])*BAZLS[[#This Row],[кЕзик]]*BAZLS[[#This Row],[кСтуденти]]*кЛекции</f>
        <v>0</v>
      </c>
      <c r="K91" s="110">
        <f>N(BAZLS[[#This Row],[Упражнения]])*BAZLS[[#This Row],[кЕзик]]*BAZLS[[#This Row],[кСтуденти]]*кУпражнение</f>
        <v>0</v>
      </c>
      <c r="L91" s="110">
        <f>N(BAZLS[[#This Row],[Изпитани]])*BAZLS[[#This Row],[кИзпитващ]]</f>
        <v>0</v>
      </c>
      <c r="M91" s="666">
        <f>N(BAZLS[[#This Row],[ТО]])*BAZLS[[#This Row],[кTO]]</f>
        <v>0</v>
      </c>
      <c r="N91" s="868"/>
      <c r="O91" s="550"/>
      <c r="P91" s="822"/>
      <c r="Q91" s="898"/>
      <c r="R91" s="591"/>
      <c r="S91" s="901"/>
      <c r="T91" s="248"/>
      <c r="U91" s="249"/>
      <c r="V91" s="250"/>
      <c r="W91" s="580" t="s">
        <v>84</v>
      </c>
      <c r="X91" s="903"/>
      <c r="Y91" s="896"/>
      <c r="Z91" s="247"/>
      <c r="AA91" s="241"/>
      <c r="AB91" s="242"/>
      <c r="AC91" s="1402"/>
      <c r="AD91" s="1394"/>
      <c r="AE91" s="1394"/>
      <c r="AF91" s="1394"/>
      <c r="AG91" s="1394"/>
      <c r="AH91" s="1684">
        <f ca="1">N(OFFSET(BAZLS[[#This Row],[|]],-1,0))+1</f>
        <v>7</v>
      </c>
      <c r="AI91" s="1671" t="str">
        <f>IF(BAZLS[[#This Row],[уЧасове]],BAZLS[[#This Row],[нацид|монСпециалностМП]],"")</f>
        <v/>
      </c>
      <c r="AJ91" s="1644">
        <f>SUM(BAZLS[[#This Row],[чЛекции]:[чTO]],N(BAZLS[[#This Row],[КР]])*кКурсова_работа)</f>
        <v>0</v>
      </c>
      <c r="AK91" s="1746"/>
      <c r="AL91" s="1753"/>
      <c r="AM91" s="1746"/>
      <c r="AN91" s="1746"/>
      <c r="AO91" s="1746"/>
      <c r="AP91" s="1746"/>
      <c r="AQ91" s="1746"/>
      <c r="AR91" s="1746"/>
      <c r="AS91" s="1746"/>
      <c r="AT91" s="1746"/>
    </row>
    <row r="92" spans="2:46" s="41" customFormat="1" x14ac:dyDescent="0.3">
      <c r="B92" s="236">
        <f t="shared" si="6"/>
        <v>8</v>
      </c>
      <c r="C92" s="110">
        <f>IFERROR(AND(LEN(BAZLS[[#This Row],[Дисциплина]]&amp;BAZLS[[#This Row],[Специалност]]&amp;BAZLS[[#This Row],[Факултет]])&gt;0,LEN(BAZLS[[#This Row],[Вид]])=0)*1,0)</f>
        <v>0</v>
      </c>
      <c r="D92" s="110">
        <f>AND(BAZLS[[#This Row],[Дисциплина]]&lt;&gt;0,OR(N(BAZLS[[#This Row],[Лекции]])&lt;&gt;0,N(BAZLS[[#This Row],[Упражнения]])&lt;&gt;0),N(BAZLS[[#This Row],[Студенти]])=0)*1</f>
        <v>0</v>
      </c>
      <c r="E92" s="110">
        <f>AND(N(BAZLS[[#This Row],[Изпитани]])&gt;0,BAZLS[[#This Row],[Изпитващ]]=0)*1</f>
        <v>0</v>
      </c>
      <c r="F92" s="111">
        <f>IFERROR(VLOOKUP(BAZLS[[#This Row],[Език]],Коефициент_Eзик[],2,0),0)</f>
        <v>1</v>
      </c>
      <c r="G92" s="110" cm="1">
        <f t="array" ref="G92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2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2" s="686">
        <f>IFERROR(VLOOKUP(BAZLS[[#This Row],[ФормаОб]],тТО[[обФорма]:[Коеф.]],2,0),0)</f>
        <v>0</v>
      </c>
      <c r="J92" s="110">
        <f>N(BAZLS[[#This Row],[Лекции]])*BAZLS[[#This Row],[кЕзик]]*BAZLS[[#This Row],[кСтуденти]]*кЛекции</f>
        <v>0</v>
      </c>
      <c r="K92" s="110">
        <f>N(BAZLS[[#This Row],[Упражнения]])*BAZLS[[#This Row],[кЕзик]]*BAZLS[[#This Row],[кСтуденти]]*кУпражнение</f>
        <v>0</v>
      </c>
      <c r="L92" s="110">
        <f>N(BAZLS[[#This Row],[Изпитани]])*BAZLS[[#This Row],[кИзпитващ]]</f>
        <v>0</v>
      </c>
      <c r="M92" s="666">
        <f>N(BAZLS[[#This Row],[ТО]])*BAZLS[[#This Row],[кTO]]</f>
        <v>0</v>
      </c>
      <c r="N92" s="869"/>
      <c r="O92" s="553"/>
      <c r="P92" s="895"/>
      <c r="Q92" s="898"/>
      <c r="R92" s="591"/>
      <c r="S92" s="901"/>
      <c r="T92" s="248"/>
      <c r="U92" s="249"/>
      <c r="V92" s="250"/>
      <c r="W92" s="580" t="s">
        <v>84</v>
      </c>
      <c r="X92" s="903"/>
      <c r="Y92" s="896"/>
      <c r="Z92" s="247"/>
      <c r="AA92" s="241"/>
      <c r="AB92" s="242"/>
      <c r="AC92" s="1402"/>
      <c r="AD92" s="1394"/>
      <c r="AE92" s="1394"/>
      <c r="AF92" s="1394"/>
      <c r="AG92" s="1394"/>
      <c r="AH92" s="1684">
        <f ca="1">N(OFFSET(BAZLS[[#This Row],[|]],-1,0))+1</f>
        <v>8</v>
      </c>
      <c r="AI92" s="1671" t="str">
        <f>IF(BAZLS[[#This Row],[уЧасове]],BAZLS[[#This Row],[нацид|монСпециалностМП]],"")</f>
        <v/>
      </c>
      <c r="AJ92" s="1644">
        <f>SUM(BAZLS[[#This Row],[чЛекции]:[чTO]],N(BAZLS[[#This Row],[КР]])*кКурсова_работа)</f>
        <v>0</v>
      </c>
      <c r="AK92" s="1746"/>
      <c r="AL92" s="1753"/>
      <c r="AM92" s="1746"/>
      <c r="AN92" s="1746"/>
      <c r="AO92" s="1746"/>
      <c r="AP92" s="1746"/>
      <c r="AQ92" s="1746"/>
      <c r="AR92" s="1746"/>
      <c r="AS92" s="1746"/>
      <c r="AT92" s="1746"/>
    </row>
    <row r="93" spans="2:46" s="41" customFormat="1" x14ac:dyDescent="0.3">
      <c r="B93" s="236">
        <f t="shared" si="6"/>
        <v>9</v>
      </c>
      <c r="C93" s="110">
        <f>IFERROR(AND(LEN(BAZLS[[#This Row],[Дисциплина]]&amp;BAZLS[[#This Row],[Специалност]]&amp;BAZLS[[#This Row],[Факултет]])&gt;0,LEN(BAZLS[[#This Row],[Вид]])=0)*1,0)</f>
        <v>0</v>
      </c>
      <c r="D93" s="110">
        <f>AND(BAZLS[[#This Row],[Дисциплина]]&lt;&gt;0,OR(N(BAZLS[[#This Row],[Лекции]])&lt;&gt;0,N(BAZLS[[#This Row],[Упражнения]])&lt;&gt;0),N(BAZLS[[#This Row],[Студенти]])=0)*1</f>
        <v>0</v>
      </c>
      <c r="E93" s="110">
        <f>AND(N(BAZLS[[#This Row],[Изпитани]])&gt;0,BAZLS[[#This Row],[Изпитващ]]=0)*1</f>
        <v>0</v>
      </c>
      <c r="F93" s="111">
        <f>IFERROR(VLOOKUP(BAZLS[[#This Row],[Език]],Коефициент_Eзик[],2,0),0)</f>
        <v>1</v>
      </c>
      <c r="G93" s="110" cm="1">
        <f t="array" ref="G93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3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3" s="686">
        <f>IFERROR(VLOOKUP(BAZLS[[#This Row],[ФормаОб]],тТО[[обФорма]:[Коеф.]],2,0),0)</f>
        <v>0</v>
      </c>
      <c r="J93" s="110">
        <f>N(BAZLS[[#This Row],[Лекции]])*BAZLS[[#This Row],[кЕзик]]*BAZLS[[#This Row],[кСтуденти]]*кЛекции</f>
        <v>0</v>
      </c>
      <c r="K93" s="110">
        <f>N(BAZLS[[#This Row],[Упражнения]])*BAZLS[[#This Row],[кЕзик]]*BAZLS[[#This Row],[кСтуденти]]*кУпражнение</f>
        <v>0</v>
      </c>
      <c r="L93" s="110">
        <f>N(BAZLS[[#This Row],[Изпитани]])*BAZLS[[#This Row],[кИзпитващ]]</f>
        <v>0</v>
      </c>
      <c r="M93" s="666">
        <f>N(BAZLS[[#This Row],[ТО]])*BAZLS[[#This Row],[кTO]]</f>
        <v>0</v>
      </c>
      <c r="N93" s="868"/>
      <c r="O93" s="550"/>
      <c r="P93" s="822"/>
      <c r="Q93" s="898"/>
      <c r="R93" s="591"/>
      <c r="S93" s="901"/>
      <c r="T93" s="248"/>
      <c r="U93" s="249"/>
      <c r="V93" s="250"/>
      <c r="W93" s="580" t="s">
        <v>84</v>
      </c>
      <c r="X93" s="903"/>
      <c r="Y93" s="896"/>
      <c r="Z93" s="247"/>
      <c r="AA93" s="241"/>
      <c r="AB93" s="242"/>
      <c r="AC93" s="1402"/>
      <c r="AD93" s="1394"/>
      <c r="AE93" s="1394"/>
      <c r="AF93" s="1394"/>
      <c r="AG93" s="1394"/>
      <c r="AH93" s="1684">
        <f ca="1">N(OFFSET(BAZLS[[#This Row],[|]],-1,0))+1</f>
        <v>9</v>
      </c>
      <c r="AI93" s="1671" t="str">
        <f>IF(BAZLS[[#This Row],[уЧасове]],BAZLS[[#This Row],[нацид|монСпециалностМП]],"")</f>
        <v/>
      </c>
      <c r="AJ93" s="1644">
        <f>SUM(BAZLS[[#This Row],[чЛекции]:[чTO]],N(BAZLS[[#This Row],[КР]])*кКурсова_работа)</f>
        <v>0</v>
      </c>
      <c r="AK93" s="1746"/>
      <c r="AL93" s="1746"/>
      <c r="AM93" s="1746"/>
      <c r="AN93" s="1746"/>
      <c r="AO93" s="1746"/>
      <c r="AP93" s="1746"/>
      <c r="AQ93" s="1746"/>
      <c r="AR93" s="1746"/>
      <c r="AS93" s="1746"/>
      <c r="AT93" s="1746"/>
    </row>
    <row r="94" spans="2:46" s="41" customFormat="1" x14ac:dyDescent="0.3">
      <c r="B94" s="236">
        <f t="shared" si="6"/>
        <v>10</v>
      </c>
      <c r="C94" s="110">
        <f>IFERROR(AND(LEN(BAZLS[[#This Row],[Дисциплина]]&amp;BAZLS[[#This Row],[Специалност]]&amp;BAZLS[[#This Row],[Факултет]])&gt;0,LEN(BAZLS[[#This Row],[Вид]])=0)*1,0)</f>
        <v>0</v>
      </c>
      <c r="D94" s="110">
        <f>AND(BAZLS[[#This Row],[Дисциплина]]&lt;&gt;0,OR(N(BAZLS[[#This Row],[Лекции]])&lt;&gt;0,N(BAZLS[[#This Row],[Упражнения]])&lt;&gt;0),N(BAZLS[[#This Row],[Студенти]])=0)*1</f>
        <v>0</v>
      </c>
      <c r="E94" s="110">
        <f>AND(N(BAZLS[[#This Row],[Изпитани]])&gt;0,BAZLS[[#This Row],[Изпитващ]]=0)*1</f>
        <v>0</v>
      </c>
      <c r="F94" s="111">
        <f>IFERROR(VLOOKUP(BAZLS[[#This Row],[Език]],Коефициент_Eзик[],2,0),0)</f>
        <v>1</v>
      </c>
      <c r="G94" s="110" cm="1">
        <f t="array" ref="G94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4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4" s="686">
        <f>IFERROR(VLOOKUP(BAZLS[[#This Row],[ФормаОб]],тТО[[обФорма]:[Коеф.]],2,0),0)</f>
        <v>0</v>
      </c>
      <c r="J94" s="110">
        <f>N(BAZLS[[#This Row],[Лекции]])*BAZLS[[#This Row],[кЕзик]]*BAZLS[[#This Row],[кСтуденти]]*кЛекции</f>
        <v>0</v>
      </c>
      <c r="K94" s="110">
        <f>N(BAZLS[[#This Row],[Упражнения]])*BAZLS[[#This Row],[кЕзик]]*BAZLS[[#This Row],[кСтуденти]]*кУпражнение</f>
        <v>0</v>
      </c>
      <c r="L94" s="110">
        <f>N(BAZLS[[#This Row],[Изпитани]])*BAZLS[[#This Row],[кИзпитващ]]</f>
        <v>0</v>
      </c>
      <c r="M94" s="666">
        <f>N(BAZLS[[#This Row],[ТО]])*BAZLS[[#This Row],[кTO]]</f>
        <v>0</v>
      </c>
      <c r="N94" s="869"/>
      <c r="O94" s="553"/>
      <c r="P94" s="895"/>
      <c r="Q94" s="898"/>
      <c r="R94" s="591"/>
      <c r="S94" s="901"/>
      <c r="T94" s="248"/>
      <c r="U94" s="249"/>
      <c r="V94" s="250"/>
      <c r="W94" s="580" t="s">
        <v>84</v>
      </c>
      <c r="X94" s="903"/>
      <c r="Y94" s="896"/>
      <c r="Z94" s="247"/>
      <c r="AA94" s="241"/>
      <c r="AB94" s="242"/>
      <c r="AC94" s="1402"/>
      <c r="AD94" s="1394"/>
      <c r="AE94" s="1394"/>
      <c r="AF94" s="1394"/>
      <c r="AG94" s="1394"/>
      <c r="AH94" s="1684">
        <f ca="1">N(OFFSET(BAZLS[[#This Row],[|]],-1,0))+1</f>
        <v>10</v>
      </c>
      <c r="AI94" s="1671" t="str">
        <f>IF(BAZLS[[#This Row],[уЧасове]],BAZLS[[#This Row],[нацид|монСпециалностМП]],"")</f>
        <v/>
      </c>
      <c r="AJ94" s="1644">
        <f>SUM(BAZLS[[#This Row],[чЛекции]:[чTO]],N(BAZLS[[#This Row],[КР]])*кКурсова_работа)</f>
        <v>0</v>
      </c>
      <c r="AK94" s="1746"/>
      <c r="AL94" s="1746"/>
      <c r="AM94" s="1746"/>
      <c r="AN94" s="1746"/>
      <c r="AO94" s="1746"/>
      <c r="AP94" s="1746"/>
      <c r="AQ94" s="1746"/>
      <c r="AR94" s="1746"/>
      <c r="AS94" s="1746"/>
      <c r="AT94" s="1746"/>
    </row>
    <row r="95" spans="2:46" s="41" customFormat="1" x14ac:dyDescent="0.3">
      <c r="B95" s="236">
        <f t="shared" si="6"/>
        <v>11</v>
      </c>
      <c r="C95" s="110">
        <f>IFERROR(AND(LEN(BAZLS[[#This Row],[Дисциплина]]&amp;BAZLS[[#This Row],[Специалност]]&amp;BAZLS[[#This Row],[Факултет]])&gt;0,LEN(BAZLS[[#This Row],[Вид]])=0)*1,0)</f>
        <v>0</v>
      </c>
      <c r="D95" s="110">
        <f>AND(BAZLS[[#This Row],[Дисциплина]]&lt;&gt;0,OR(N(BAZLS[[#This Row],[Лекции]])&lt;&gt;0,N(BAZLS[[#This Row],[Упражнения]])&lt;&gt;0),N(BAZLS[[#This Row],[Студенти]])=0)*1</f>
        <v>0</v>
      </c>
      <c r="E95" s="110">
        <f>AND(N(BAZLS[[#This Row],[Изпитани]])&gt;0,BAZLS[[#This Row],[Изпитващ]]=0)*1</f>
        <v>0</v>
      </c>
      <c r="F95" s="111">
        <f>IFERROR(VLOOKUP(BAZLS[[#This Row],[Език]],Коефициент_Eзик[],2,0),0)</f>
        <v>1</v>
      </c>
      <c r="G95" s="110" cm="1">
        <f t="array" ref="G95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5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5" s="686">
        <f>IFERROR(VLOOKUP(BAZLS[[#This Row],[ФормаОб]],тТО[[обФорма]:[Коеф.]],2,0),0)</f>
        <v>0</v>
      </c>
      <c r="J95" s="110">
        <f>N(BAZLS[[#This Row],[Лекции]])*BAZLS[[#This Row],[кЕзик]]*BAZLS[[#This Row],[кСтуденти]]*кЛекции</f>
        <v>0</v>
      </c>
      <c r="K95" s="110">
        <f>N(BAZLS[[#This Row],[Упражнения]])*BAZLS[[#This Row],[кЕзик]]*BAZLS[[#This Row],[кСтуденти]]*кУпражнение</f>
        <v>0</v>
      </c>
      <c r="L95" s="110">
        <f>N(BAZLS[[#This Row],[Изпитани]])*BAZLS[[#This Row],[кИзпитващ]]</f>
        <v>0</v>
      </c>
      <c r="M95" s="666">
        <f>N(BAZLS[[#This Row],[ТО]])*BAZLS[[#This Row],[кTO]]</f>
        <v>0</v>
      </c>
      <c r="N95" s="868"/>
      <c r="O95" s="550"/>
      <c r="P95" s="822"/>
      <c r="Q95" s="898"/>
      <c r="R95" s="591"/>
      <c r="S95" s="901"/>
      <c r="T95" s="248"/>
      <c r="U95" s="249"/>
      <c r="V95" s="250"/>
      <c r="W95" s="580" t="s">
        <v>84</v>
      </c>
      <c r="X95" s="903"/>
      <c r="Y95" s="896"/>
      <c r="Z95" s="247"/>
      <c r="AA95" s="241"/>
      <c r="AB95" s="242"/>
      <c r="AC95" s="1402"/>
      <c r="AD95" s="1394"/>
      <c r="AE95" s="1394"/>
      <c r="AF95" s="1394"/>
      <c r="AG95" s="1394"/>
      <c r="AH95" s="1684">
        <f ca="1">N(OFFSET(BAZLS[[#This Row],[|]],-1,0))+1</f>
        <v>11</v>
      </c>
      <c r="AI95" s="1671" t="str">
        <f>IF(BAZLS[[#This Row],[уЧасове]],BAZLS[[#This Row],[нацид|монСпециалностМП]],"")</f>
        <v/>
      </c>
      <c r="AJ95" s="1644">
        <f>SUM(BAZLS[[#This Row],[чЛекции]:[чTO]],N(BAZLS[[#This Row],[КР]])*кКурсова_работа)</f>
        <v>0</v>
      </c>
      <c r="AK95" s="1746"/>
      <c r="AL95" s="1746"/>
      <c r="AM95" s="1746"/>
      <c r="AN95" s="1746"/>
      <c r="AO95" s="1746"/>
      <c r="AP95" s="1746"/>
      <c r="AQ95" s="1746"/>
      <c r="AR95" s="1746"/>
      <c r="AS95" s="1746"/>
      <c r="AT95" s="1746"/>
    </row>
    <row r="96" spans="2:46" s="41" customFormat="1" x14ac:dyDescent="0.3">
      <c r="B96" s="236">
        <f t="shared" si="6"/>
        <v>12</v>
      </c>
      <c r="C96" s="110">
        <f>IFERROR(AND(LEN(BAZLS[[#This Row],[Дисциплина]]&amp;BAZLS[[#This Row],[Специалност]]&amp;BAZLS[[#This Row],[Факултет]])&gt;0,LEN(BAZLS[[#This Row],[Вид]])=0)*1,0)</f>
        <v>0</v>
      </c>
      <c r="D96" s="110">
        <f>AND(BAZLS[[#This Row],[Дисциплина]]&lt;&gt;0,OR(N(BAZLS[[#This Row],[Лекции]])&lt;&gt;0,N(BAZLS[[#This Row],[Упражнения]])&lt;&gt;0),N(BAZLS[[#This Row],[Студенти]])=0)*1</f>
        <v>0</v>
      </c>
      <c r="E96" s="110">
        <f>AND(N(BAZLS[[#This Row],[Изпитани]])&gt;0,BAZLS[[#This Row],[Изпитващ]]=0)*1</f>
        <v>0</v>
      </c>
      <c r="F96" s="111">
        <f>IFERROR(VLOOKUP(BAZLS[[#This Row],[Език]],Коефициент_Eзик[],2,0),0)</f>
        <v>1</v>
      </c>
      <c r="G96" s="110" cm="1">
        <f t="array" ref="G96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6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6" s="686">
        <f>IFERROR(VLOOKUP(BAZLS[[#This Row],[ФормаОб]],тТО[[обФорма]:[Коеф.]],2,0),0)</f>
        <v>0</v>
      </c>
      <c r="J96" s="110">
        <f>N(BAZLS[[#This Row],[Лекции]])*BAZLS[[#This Row],[кЕзик]]*BAZLS[[#This Row],[кСтуденти]]*кЛекции</f>
        <v>0</v>
      </c>
      <c r="K96" s="110">
        <f>N(BAZLS[[#This Row],[Упражнения]])*BAZLS[[#This Row],[кЕзик]]*BAZLS[[#This Row],[кСтуденти]]*кУпражнение</f>
        <v>0</v>
      </c>
      <c r="L96" s="110">
        <f>N(BAZLS[[#This Row],[Изпитани]])*BAZLS[[#This Row],[кИзпитващ]]</f>
        <v>0</v>
      </c>
      <c r="M96" s="666">
        <f>N(BAZLS[[#This Row],[ТО]])*BAZLS[[#This Row],[кTO]]</f>
        <v>0</v>
      </c>
      <c r="N96" s="869"/>
      <c r="O96" s="553"/>
      <c r="P96" s="895"/>
      <c r="Q96" s="898"/>
      <c r="R96" s="591"/>
      <c r="S96" s="901"/>
      <c r="T96" s="248"/>
      <c r="U96" s="249"/>
      <c r="V96" s="250"/>
      <c r="W96" s="580" t="s">
        <v>84</v>
      </c>
      <c r="X96" s="903"/>
      <c r="Y96" s="896"/>
      <c r="Z96" s="247"/>
      <c r="AA96" s="241"/>
      <c r="AB96" s="242"/>
      <c r="AC96" s="1402"/>
      <c r="AD96" s="1394"/>
      <c r="AE96" s="1394"/>
      <c r="AF96" s="1394"/>
      <c r="AG96" s="1394"/>
      <c r="AH96" s="1684">
        <f ca="1">N(OFFSET(BAZLS[[#This Row],[|]],-1,0))+1</f>
        <v>12</v>
      </c>
      <c r="AI96" s="1671" t="str">
        <f>IF(BAZLS[[#This Row],[уЧасове]],BAZLS[[#This Row],[нацид|монСпециалностМП]],"")</f>
        <v/>
      </c>
      <c r="AJ96" s="1644">
        <f>SUM(BAZLS[[#This Row],[чЛекции]:[чTO]],N(BAZLS[[#This Row],[КР]])*кКурсова_работа)</f>
        <v>0</v>
      </c>
      <c r="AK96" s="1746"/>
      <c r="AL96" s="1746"/>
      <c r="AM96" s="1746"/>
      <c r="AN96" s="1746"/>
      <c r="AO96" s="1746"/>
      <c r="AP96" s="1746"/>
      <c r="AQ96" s="1746"/>
      <c r="AR96" s="1746"/>
      <c r="AS96" s="1746"/>
      <c r="AT96" s="1746"/>
    </row>
    <row r="97" spans="2:46" s="41" customFormat="1" x14ac:dyDescent="0.3">
      <c r="B97" s="236">
        <f t="shared" si="6"/>
        <v>13</v>
      </c>
      <c r="C97" s="110">
        <f>IFERROR(AND(LEN(BAZLS[[#This Row],[Дисциплина]]&amp;BAZLS[[#This Row],[Специалност]]&amp;BAZLS[[#This Row],[Факултет]])&gt;0,LEN(BAZLS[[#This Row],[Вид]])=0)*1,0)</f>
        <v>0</v>
      </c>
      <c r="D97" s="110">
        <f>AND(BAZLS[[#This Row],[Дисциплина]]&lt;&gt;0,OR(N(BAZLS[[#This Row],[Лекции]])&lt;&gt;0,N(BAZLS[[#This Row],[Упражнения]])&lt;&gt;0),N(BAZLS[[#This Row],[Студенти]])=0)*1</f>
        <v>0</v>
      </c>
      <c r="E97" s="110">
        <f>AND(N(BAZLS[[#This Row],[Изпитани]])&gt;0,BAZLS[[#This Row],[Изпитващ]]=0)*1</f>
        <v>0</v>
      </c>
      <c r="F97" s="111">
        <f>IFERROR(VLOOKUP(BAZLS[[#This Row],[Език]],Коефициент_Eзик[],2,0),0)</f>
        <v>1</v>
      </c>
      <c r="G97" s="110" cm="1">
        <f t="array" ref="G97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7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7" s="686">
        <f>IFERROR(VLOOKUP(BAZLS[[#This Row],[ФормаОб]],тТО[[обФорма]:[Коеф.]],2,0),0)</f>
        <v>0</v>
      </c>
      <c r="J97" s="110">
        <f>N(BAZLS[[#This Row],[Лекции]])*BAZLS[[#This Row],[кЕзик]]*BAZLS[[#This Row],[кСтуденти]]*кЛекции</f>
        <v>0</v>
      </c>
      <c r="K97" s="110">
        <f>N(BAZLS[[#This Row],[Упражнения]])*BAZLS[[#This Row],[кЕзик]]*BAZLS[[#This Row],[кСтуденти]]*кУпражнение</f>
        <v>0</v>
      </c>
      <c r="L97" s="110">
        <f>N(BAZLS[[#This Row],[Изпитани]])*BAZLS[[#This Row],[кИзпитващ]]</f>
        <v>0</v>
      </c>
      <c r="M97" s="666">
        <f>N(BAZLS[[#This Row],[ТО]])*BAZLS[[#This Row],[кTO]]</f>
        <v>0</v>
      </c>
      <c r="N97" s="868"/>
      <c r="O97" s="550"/>
      <c r="P97" s="822"/>
      <c r="Q97" s="898"/>
      <c r="R97" s="591"/>
      <c r="S97" s="901"/>
      <c r="T97" s="248"/>
      <c r="U97" s="249"/>
      <c r="V97" s="250"/>
      <c r="W97" s="580" t="s">
        <v>84</v>
      </c>
      <c r="X97" s="903"/>
      <c r="Y97" s="896"/>
      <c r="Z97" s="247"/>
      <c r="AA97" s="241"/>
      <c r="AB97" s="242"/>
      <c r="AC97" s="1402"/>
      <c r="AD97" s="1394"/>
      <c r="AE97" s="1394"/>
      <c r="AF97" s="1394"/>
      <c r="AG97" s="1394"/>
      <c r="AH97" s="1684">
        <f ca="1">N(OFFSET(BAZLS[[#This Row],[|]],-1,0))+1</f>
        <v>13</v>
      </c>
      <c r="AI97" s="1671" t="str">
        <f>IF(BAZLS[[#This Row],[уЧасове]],BAZLS[[#This Row],[нацид|монСпециалностМП]],"")</f>
        <v/>
      </c>
      <c r="AJ97" s="1644">
        <f>SUM(BAZLS[[#This Row],[чЛекции]:[чTO]],N(BAZLS[[#This Row],[КР]])*кКурсова_работа)</f>
        <v>0</v>
      </c>
      <c r="AK97" s="1746"/>
      <c r="AL97" s="1746"/>
      <c r="AM97" s="1746"/>
      <c r="AN97" s="1746"/>
      <c r="AO97" s="1746"/>
      <c r="AP97" s="1746"/>
      <c r="AQ97" s="1746"/>
      <c r="AR97" s="1746"/>
      <c r="AS97" s="1746"/>
      <c r="AT97" s="1746"/>
    </row>
    <row r="98" spans="2:46" s="41" customFormat="1" x14ac:dyDescent="0.3">
      <c r="B98" s="236">
        <f t="shared" si="6"/>
        <v>14</v>
      </c>
      <c r="C98" s="110">
        <f>IFERROR(AND(LEN(BAZLS[[#This Row],[Дисциплина]]&amp;BAZLS[[#This Row],[Специалност]]&amp;BAZLS[[#This Row],[Факултет]])&gt;0,LEN(BAZLS[[#This Row],[Вид]])=0)*1,0)</f>
        <v>0</v>
      </c>
      <c r="D98" s="110">
        <f>AND(BAZLS[[#This Row],[Дисциплина]]&lt;&gt;0,OR(N(BAZLS[[#This Row],[Лекции]])&lt;&gt;0,N(BAZLS[[#This Row],[Упражнения]])&lt;&gt;0),N(BAZLS[[#This Row],[Студенти]])=0)*1</f>
        <v>0</v>
      </c>
      <c r="E98" s="110">
        <f>AND(N(BAZLS[[#This Row],[Изпитани]])&gt;0,BAZLS[[#This Row],[Изпитващ]]=0)*1</f>
        <v>0</v>
      </c>
      <c r="F98" s="111">
        <f>IFERROR(VLOOKUP(BAZLS[[#This Row],[Език]],Коефициент_Eзик[],2,0),0)</f>
        <v>1</v>
      </c>
      <c r="G98" s="110" cm="1">
        <f t="array" ref="G98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8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8" s="686">
        <f>IFERROR(VLOOKUP(BAZLS[[#This Row],[ФормаОб]],тТО[[обФорма]:[Коеф.]],2,0),0)</f>
        <v>0</v>
      </c>
      <c r="J98" s="110">
        <f>N(BAZLS[[#This Row],[Лекции]])*BAZLS[[#This Row],[кЕзик]]*BAZLS[[#This Row],[кСтуденти]]*кЛекции</f>
        <v>0</v>
      </c>
      <c r="K98" s="110">
        <f>N(BAZLS[[#This Row],[Упражнения]])*BAZLS[[#This Row],[кЕзик]]*BAZLS[[#This Row],[кСтуденти]]*кУпражнение</f>
        <v>0</v>
      </c>
      <c r="L98" s="110">
        <f>N(BAZLS[[#This Row],[Изпитани]])*BAZLS[[#This Row],[кИзпитващ]]</f>
        <v>0</v>
      </c>
      <c r="M98" s="666">
        <f>N(BAZLS[[#This Row],[ТО]])*BAZLS[[#This Row],[кTO]]</f>
        <v>0</v>
      </c>
      <c r="N98" s="869"/>
      <c r="O98" s="553"/>
      <c r="P98" s="895"/>
      <c r="Q98" s="898"/>
      <c r="R98" s="591"/>
      <c r="S98" s="901"/>
      <c r="T98" s="248"/>
      <c r="U98" s="249"/>
      <c r="V98" s="250"/>
      <c r="W98" s="580" t="s">
        <v>84</v>
      </c>
      <c r="X98" s="903"/>
      <c r="Y98" s="896"/>
      <c r="Z98" s="247"/>
      <c r="AA98" s="241"/>
      <c r="AB98" s="242"/>
      <c r="AC98" s="1402"/>
      <c r="AD98" s="1394"/>
      <c r="AE98" s="1394"/>
      <c r="AF98" s="1394"/>
      <c r="AG98" s="1394"/>
      <c r="AH98" s="1684">
        <f ca="1">N(OFFSET(BAZLS[[#This Row],[|]],-1,0))+1</f>
        <v>14</v>
      </c>
      <c r="AI98" s="1671" t="str">
        <f>IF(BAZLS[[#This Row],[уЧасове]],BAZLS[[#This Row],[нацид|монСпециалностМП]],"")</f>
        <v/>
      </c>
      <c r="AJ98" s="1644">
        <f>SUM(BAZLS[[#This Row],[чЛекции]:[чTO]],N(BAZLS[[#This Row],[КР]])*кКурсова_работа)</f>
        <v>0</v>
      </c>
      <c r="AK98" s="1746"/>
      <c r="AL98" s="1746"/>
      <c r="AM98" s="1746"/>
      <c r="AN98" s="1746"/>
      <c r="AO98" s="1746"/>
      <c r="AP98" s="1746"/>
      <c r="AQ98" s="1746"/>
      <c r="AR98" s="1746"/>
      <c r="AS98" s="1746"/>
      <c r="AT98" s="1746"/>
    </row>
    <row r="99" spans="2:46" s="41" customFormat="1" x14ac:dyDescent="0.3">
      <c r="B99" s="236">
        <f t="shared" si="6"/>
        <v>15</v>
      </c>
      <c r="C99" s="110">
        <f>IFERROR(AND(LEN(BAZLS[[#This Row],[Дисциплина]]&amp;BAZLS[[#This Row],[Специалност]]&amp;BAZLS[[#This Row],[Факултет]])&gt;0,LEN(BAZLS[[#This Row],[Вид]])=0)*1,0)</f>
        <v>0</v>
      </c>
      <c r="D99" s="110">
        <f>AND(BAZLS[[#This Row],[Дисциплина]]&lt;&gt;0,OR(N(BAZLS[[#This Row],[Лекции]])&lt;&gt;0,N(BAZLS[[#This Row],[Упражнения]])&lt;&gt;0),N(BAZLS[[#This Row],[Студенти]])=0)*1</f>
        <v>0</v>
      </c>
      <c r="E99" s="110">
        <f>AND(N(BAZLS[[#This Row],[Изпитани]])&gt;0,BAZLS[[#This Row],[Изпитващ]]=0)*1</f>
        <v>0</v>
      </c>
      <c r="F99" s="111">
        <f>IFERROR(VLOOKUP(BAZLS[[#This Row],[Език]],Коефициент_Eзик[],2,0),0)</f>
        <v>1</v>
      </c>
      <c r="G99" s="110" cm="1">
        <f t="array" ref="G99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99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99" s="686">
        <f>IFERROR(VLOOKUP(BAZLS[[#This Row],[ФормаОб]],тТО[[обФорма]:[Коеф.]],2,0),0)</f>
        <v>0</v>
      </c>
      <c r="J99" s="110">
        <f>N(BAZLS[[#This Row],[Лекции]])*BAZLS[[#This Row],[кЕзик]]*BAZLS[[#This Row],[кСтуденти]]*кЛекции</f>
        <v>0</v>
      </c>
      <c r="K99" s="110">
        <f>N(BAZLS[[#This Row],[Упражнения]])*BAZLS[[#This Row],[кЕзик]]*BAZLS[[#This Row],[кСтуденти]]*кУпражнение</f>
        <v>0</v>
      </c>
      <c r="L99" s="110">
        <f>N(BAZLS[[#This Row],[Изпитани]])*BAZLS[[#This Row],[кИзпитващ]]</f>
        <v>0</v>
      </c>
      <c r="M99" s="666">
        <f>N(BAZLS[[#This Row],[ТО]])*BAZLS[[#This Row],[кTO]]</f>
        <v>0</v>
      </c>
      <c r="N99" s="868"/>
      <c r="O99" s="550"/>
      <c r="P99" s="822"/>
      <c r="Q99" s="898"/>
      <c r="R99" s="591"/>
      <c r="S99" s="901"/>
      <c r="T99" s="248"/>
      <c r="U99" s="249"/>
      <c r="V99" s="250"/>
      <c r="W99" s="580" t="s">
        <v>84</v>
      </c>
      <c r="X99" s="903"/>
      <c r="Y99" s="896"/>
      <c r="Z99" s="247"/>
      <c r="AA99" s="241"/>
      <c r="AB99" s="242"/>
      <c r="AC99" s="1402"/>
      <c r="AD99" s="1394"/>
      <c r="AE99" s="1394"/>
      <c r="AF99" s="1394"/>
      <c r="AG99" s="1394"/>
      <c r="AH99" s="1684">
        <f ca="1">N(OFFSET(BAZLS[[#This Row],[|]],-1,0))+1</f>
        <v>15</v>
      </c>
      <c r="AI99" s="1671" t="str">
        <f>IF(BAZLS[[#This Row],[уЧасове]],BAZLS[[#This Row],[нацид|монСпециалностМП]],"")</f>
        <v/>
      </c>
      <c r="AJ99" s="1644">
        <f>SUM(BAZLS[[#This Row],[чЛекции]:[чTO]],N(BAZLS[[#This Row],[КР]])*кКурсова_работа)</f>
        <v>0</v>
      </c>
      <c r="AK99" s="1746"/>
      <c r="AL99" s="1746"/>
      <c r="AM99" s="1746"/>
      <c r="AN99" s="1746"/>
      <c r="AO99" s="1746"/>
      <c r="AP99" s="1746"/>
      <c r="AQ99" s="1746"/>
      <c r="AR99" s="1746"/>
      <c r="AS99" s="1746"/>
      <c r="AT99" s="1746"/>
    </row>
    <row r="100" spans="2:46" s="41" customFormat="1" x14ac:dyDescent="0.3">
      <c r="B100" s="236">
        <f t="shared" si="6"/>
        <v>16</v>
      </c>
      <c r="C100" s="110">
        <f>IFERROR(AND(LEN(BAZLS[[#This Row],[Дисциплина]]&amp;BAZLS[[#This Row],[Специалност]]&amp;BAZLS[[#This Row],[Факултет]])&gt;0,LEN(BAZLS[[#This Row],[Вид]])=0)*1,0)</f>
        <v>0</v>
      </c>
      <c r="D100" s="110">
        <f>AND(BAZLS[[#This Row],[Дисциплина]]&lt;&gt;0,OR(N(BAZLS[[#This Row],[Лекции]])&lt;&gt;0,N(BAZLS[[#This Row],[Упражнения]])&lt;&gt;0),N(BAZLS[[#This Row],[Студенти]])=0)*1</f>
        <v>0</v>
      </c>
      <c r="E100" s="110">
        <f>AND(N(BAZLS[[#This Row],[Изпитани]])&gt;0,BAZLS[[#This Row],[Изпитващ]]=0)*1</f>
        <v>0</v>
      </c>
      <c r="F100" s="111">
        <f>IFERROR(VLOOKUP(BAZLS[[#This Row],[Език]],Коефициент_Eзик[],2,0),0)</f>
        <v>1</v>
      </c>
      <c r="G100" s="110" cm="1">
        <f t="array" ref="G100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100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100" s="686">
        <f>IFERROR(VLOOKUP(BAZLS[[#This Row],[ФормаОб]],тТО[[обФорма]:[Коеф.]],2,0),0)</f>
        <v>0</v>
      </c>
      <c r="J100" s="110">
        <f>N(BAZLS[[#This Row],[Лекции]])*BAZLS[[#This Row],[кЕзик]]*BAZLS[[#This Row],[кСтуденти]]*кЛекции</f>
        <v>0</v>
      </c>
      <c r="K100" s="110">
        <f>N(BAZLS[[#This Row],[Упражнения]])*BAZLS[[#This Row],[кЕзик]]*BAZLS[[#This Row],[кСтуденти]]*кУпражнение</f>
        <v>0</v>
      </c>
      <c r="L100" s="110">
        <f>N(BAZLS[[#This Row],[Изпитани]])*BAZLS[[#This Row],[кИзпитващ]]</f>
        <v>0</v>
      </c>
      <c r="M100" s="666">
        <f>N(BAZLS[[#This Row],[ТО]])*BAZLS[[#This Row],[кTO]]</f>
        <v>0</v>
      </c>
      <c r="N100" s="869"/>
      <c r="O100" s="553"/>
      <c r="P100" s="895"/>
      <c r="Q100" s="898"/>
      <c r="R100" s="591"/>
      <c r="S100" s="901"/>
      <c r="T100" s="248"/>
      <c r="U100" s="249"/>
      <c r="V100" s="250"/>
      <c r="W100" s="580" t="s">
        <v>84</v>
      </c>
      <c r="X100" s="903"/>
      <c r="Y100" s="896"/>
      <c r="Z100" s="247"/>
      <c r="AA100" s="241"/>
      <c r="AB100" s="242"/>
      <c r="AC100" s="1402"/>
      <c r="AD100" s="1394"/>
      <c r="AE100" s="1394"/>
      <c r="AF100" s="1394"/>
      <c r="AG100" s="1394"/>
      <c r="AH100" s="1684">
        <f ca="1">N(OFFSET(BAZLS[[#This Row],[|]],-1,0))+1</f>
        <v>16</v>
      </c>
      <c r="AI100" s="1671" t="str">
        <f>IF(BAZLS[[#This Row],[уЧасове]],BAZLS[[#This Row],[нацид|монСпециалностМП]],"")</f>
        <v/>
      </c>
      <c r="AJ100" s="1644">
        <f>SUM(BAZLS[[#This Row],[чЛекции]:[чTO]],N(BAZLS[[#This Row],[КР]])*кКурсова_работа)</f>
        <v>0</v>
      </c>
      <c r="AK100" s="1746"/>
      <c r="AL100" s="1746"/>
      <c r="AM100" s="1746"/>
      <c r="AN100" s="1746"/>
      <c r="AO100" s="1746"/>
      <c r="AP100" s="1746"/>
      <c r="AQ100" s="1746"/>
      <c r="AR100" s="1746"/>
      <c r="AS100" s="1746"/>
      <c r="AT100" s="1746"/>
    </row>
    <row r="101" spans="2:46" s="41" customFormat="1" x14ac:dyDescent="0.3">
      <c r="B101" s="236">
        <f t="shared" si="6"/>
        <v>17</v>
      </c>
      <c r="C101" s="110">
        <f>IFERROR(AND(LEN(BAZLS[[#This Row],[Дисциплина]]&amp;BAZLS[[#This Row],[Специалност]]&amp;BAZLS[[#This Row],[Факултет]])&gt;0,LEN(BAZLS[[#This Row],[Вид]])=0)*1,0)</f>
        <v>0</v>
      </c>
      <c r="D101" s="110">
        <f>AND(BAZLS[[#This Row],[Дисциплина]]&lt;&gt;0,OR(N(BAZLS[[#This Row],[Лекции]])&lt;&gt;0,N(BAZLS[[#This Row],[Упражнения]])&lt;&gt;0),N(BAZLS[[#This Row],[Студенти]])=0)*1</f>
        <v>0</v>
      </c>
      <c r="E101" s="110">
        <f>AND(N(BAZLS[[#This Row],[Изпитани]])&gt;0,BAZLS[[#This Row],[Изпитващ]]=0)*1</f>
        <v>0</v>
      </c>
      <c r="F101" s="111">
        <f>IFERROR(VLOOKUP(BAZLS[[#This Row],[Език]],Коефициент_Eзик[],2,0),0)</f>
        <v>1</v>
      </c>
      <c r="G101" s="110" cm="1">
        <f t="array" ref="G101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101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101" s="686">
        <f>IFERROR(VLOOKUP(BAZLS[[#This Row],[ФормаОб]],тТО[[обФорма]:[Коеф.]],2,0),0)</f>
        <v>0</v>
      </c>
      <c r="J101" s="110">
        <f>N(BAZLS[[#This Row],[Лекции]])*BAZLS[[#This Row],[кЕзик]]*BAZLS[[#This Row],[кСтуденти]]*кЛекции</f>
        <v>0</v>
      </c>
      <c r="K101" s="110">
        <f>N(BAZLS[[#This Row],[Упражнения]])*BAZLS[[#This Row],[кЕзик]]*BAZLS[[#This Row],[кСтуденти]]*кУпражнение</f>
        <v>0</v>
      </c>
      <c r="L101" s="110">
        <f>N(BAZLS[[#This Row],[Изпитани]])*BAZLS[[#This Row],[кИзпитващ]]</f>
        <v>0</v>
      </c>
      <c r="M101" s="666">
        <f>N(BAZLS[[#This Row],[ТО]])*BAZLS[[#This Row],[кTO]]</f>
        <v>0</v>
      </c>
      <c r="N101" s="868"/>
      <c r="O101" s="550"/>
      <c r="P101" s="822"/>
      <c r="Q101" s="898"/>
      <c r="R101" s="591"/>
      <c r="S101" s="901"/>
      <c r="T101" s="248"/>
      <c r="U101" s="249"/>
      <c r="V101" s="250"/>
      <c r="W101" s="580" t="s">
        <v>84</v>
      </c>
      <c r="X101" s="903"/>
      <c r="Y101" s="896"/>
      <c r="Z101" s="247"/>
      <c r="AA101" s="241"/>
      <c r="AB101" s="242"/>
      <c r="AC101" s="1402"/>
      <c r="AD101" s="1394"/>
      <c r="AE101" s="1394"/>
      <c r="AF101" s="1394"/>
      <c r="AG101" s="1394"/>
      <c r="AH101" s="1684">
        <f ca="1">N(OFFSET(BAZLS[[#This Row],[|]],-1,0))+1</f>
        <v>17</v>
      </c>
      <c r="AI101" s="1671" t="str">
        <f>IF(BAZLS[[#This Row],[уЧасове]],BAZLS[[#This Row],[нацид|монСпециалностМП]],"")</f>
        <v/>
      </c>
      <c r="AJ101" s="1644">
        <f>SUM(BAZLS[[#This Row],[чЛекции]:[чTO]],N(BAZLS[[#This Row],[КР]])*кКурсова_работа)</f>
        <v>0</v>
      </c>
      <c r="AK101" s="1746"/>
      <c r="AL101" s="1746"/>
      <c r="AM101" s="1746"/>
      <c r="AN101" s="1746"/>
      <c r="AO101" s="1746"/>
      <c r="AP101" s="1746"/>
      <c r="AQ101" s="1746"/>
      <c r="AR101" s="1746"/>
      <c r="AS101" s="1746"/>
      <c r="AT101" s="1746"/>
    </row>
    <row r="102" spans="2:46" s="41" customFormat="1" x14ac:dyDescent="0.3">
      <c r="B102" s="236">
        <f t="shared" si="6"/>
        <v>18</v>
      </c>
      <c r="C102" s="110">
        <f>IFERROR(AND(LEN(BAZLS[[#This Row],[Дисциплина]]&amp;BAZLS[[#This Row],[Специалност]]&amp;BAZLS[[#This Row],[Факултет]])&gt;0,LEN(BAZLS[[#This Row],[Вид]])=0)*1,0)</f>
        <v>0</v>
      </c>
      <c r="D102" s="110">
        <f>AND(BAZLS[[#This Row],[Дисциплина]]&lt;&gt;0,OR(N(BAZLS[[#This Row],[Лекции]])&lt;&gt;0,N(BAZLS[[#This Row],[Упражнения]])&lt;&gt;0),N(BAZLS[[#This Row],[Студенти]])=0)*1</f>
        <v>0</v>
      </c>
      <c r="E102" s="110">
        <f>AND(N(BAZLS[[#This Row],[Изпитани]])&gt;0,BAZLS[[#This Row],[Изпитващ]]=0)*1</f>
        <v>0</v>
      </c>
      <c r="F102" s="111">
        <f>IFERROR(VLOOKUP(BAZLS[[#This Row],[Език]],Коефициент_Eзик[],2,0),0)</f>
        <v>1</v>
      </c>
      <c r="G102" s="110" cm="1">
        <f t="array" ref="G102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102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102" s="686">
        <f>IFERROR(VLOOKUP(BAZLS[[#This Row],[ФормаОб]],тТО[[обФорма]:[Коеф.]],2,0),0)</f>
        <v>0</v>
      </c>
      <c r="J102" s="110">
        <f>N(BAZLS[[#This Row],[Лекции]])*BAZLS[[#This Row],[кЕзик]]*BAZLS[[#This Row],[кСтуденти]]*кЛекции</f>
        <v>0</v>
      </c>
      <c r="K102" s="110">
        <f>N(BAZLS[[#This Row],[Упражнения]])*BAZLS[[#This Row],[кЕзик]]*BAZLS[[#This Row],[кСтуденти]]*кУпражнение</f>
        <v>0</v>
      </c>
      <c r="L102" s="110">
        <f>N(BAZLS[[#This Row],[Изпитани]])*BAZLS[[#This Row],[кИзпитващ]]</f>
        <v>0</v>
      </c>
      <c r="M102" s="666">
        <f>N(BAZLS[[#This Row],[ТО]])*BAZLS[[#This Row],[кTO]]</f>
        <v>0</v>
      </c>
      <c r="N102" s="869"/>
      <c r="O102" s="553"/>
      <c r="P102" s="895"/>
      <c r="Q102" s="898"/>
      <c r="R102" s="591"/>
      <c r="S102" s="901"/>
      <c r="T102" s="248"/>
      <c r="U102" s="249"/>
      <c r="V102" s="250"/>
      <c r="W102" s="580" t="s">
        <v>84</v>
      </c>
      <c r="X102" s="903"/>
      <c r="Y102" s="896"/>
      <c r="Z102" s="247"/>
      <c r="AA102" s="241"/>
      <c r="AB102" s="242"/>
      <c r="AC102" s="1402"/>
      <c r="AD102" s="1394"/>
      <c r="AE102" s="1394"/>
      <c r="AF102" s="1394"/>
      <c r="AG102" s="1394"/>
      <c r="AH102" s="1684">
        <f ca="1">N(OFFSET(BAZLS[[#This Row],[|]],-1,0))+1</f>
        <v>18</v>
      </c>
      <c r="AI102" s="1671" t="str">
        <f>IF(BAZLS[[#This Row],[уЧасове]],BAZLS[[#This Row],[нацид|монСпециалностМП]],"")</f>
        <v/>
      </c>
      <c r="AJ102" s="1644">
        <f>SUM(BAZLS[[#This Row],[чЛекции]:[чTO]],N(BAZLS[[#This Row],[КР]])*кКурсова_работа)</f>
        <v>0</v>
      </c>
      <c r="AK102" s="1746"/>
      <c r="AL102" s="1746"/>
      <c r="AM102" s="1746"/>
      <c r="AN102" s="1746"/>
      <c r="AO102" s="1746"/>
      <c r="AP102" s="1746"/>
      <c r="AQ102" s="1746"/>
      <c r="AR102" s="1746"/>
      <c r="AS102" s="1746"/>
      <c r="AT102" s="1746"/>
    </row>
    <row r="103" spans="2:46" s="41" customFormat="1" ht="17.25" thickBot="1" x14ac:dyDescent="0.35">
      <c r="B103" s="236">
        <f t="shared" si="6"/>
        <v>19</v>
      </c>
      <c r="C103" s="110">
        <f>IFERROR(AND(LEN(BAZLS[[#This Row],[Дисциплина]]&amp;BAZLS[[#This Row],[Специалност]]&amp;BAZLS[[#This Row],[Факултет]])&gt;0,LEN(BAZLS[[#This Row],[Вид]])=0)*1,0)</f>
        <v>0</v>
      </c>
      <c r="D103" s="110">
        <f>AND(BAZLS[[#This Row],[Дисциплина]]&lt;&gt;0,OR(N(BAZLS[[#This Row],[Лекции]])&lt;&gt;0,N(BAZLS[[#This Row],[Упражнения]])&lt;&gt;0),N(BAZLS[[#This Row],[Студенти]])=0)*1</f>
        <v>0</v>
      </c>
      <c r="E103" s="110">
        <f>AND(N(BAZLS[[#This Row],[Изпитани]])&gt;0,BAZLS[[#This Row],[Изпитващ]]=0)*1</f>
        <v>0</v>
      </c>
      <c r="F103" s="111">
        <f>IFERROR(VLOOKUP(BAZLS[[#This Row],[Език]],Коефициент_Eзик[],2,0),0)</f>
        <v>1</v>
      </c>
      <c r="G103" s="110" cm="1">
        <f t="array" ref="G103">IFERROR(IF(AND(BAZLS[[#This Row],[Студенти]]&gt;0,OR(BAZLS[[#This Row],[Вид]]="З",BAZLS[[#This Row],[Студенти]]&gt;=6,BAZLS[[#This Row],[ФормаОб]]="ИП",SUMPRODUCT(COUNTIF(BAZLS[[#This Row],[Факултет]],"*"&amp;тЗСпец[Факултет]&amp;"*"),COUNTIF(BAZLS[[#This Row],[Специалност]],тЗСпец[Бак]&amp;"*")))),1,VLOOKUP(BAZLS[[#This Row],[Студенти]],ТкСтуденти[[брСтуденти]:[Коеф.]],2,0)),0)</f>
        <v>0</v>
      </c>
      <c r="H103" s="110">
        <f>IFERROR(IF(AND(COUNTIF(nФакултетОтчет,"*математика*"),BAZLS[[#This Row],[ФормаОц]]="КИ"),0.9,IF(T(BAZLS[[#This Row],[Изпитващ]])="",0,VLOOKUP(BAZLS[[#This Row],[Изпитващ]],ТвидИзпитващ[[видИзпитващ]:[Коеф.]],2,0))),0)</f>
        <v>0</v>
      </c>
      <c r="I103" s="686">
        <f>IFERROR(VLOOKUP(BAZLS[[#This Row],[ФормаОб]],тТО[[обФорма]:[Коеф.]],2,0),0)</f>
        <v>0</v>
      </c>
      <c r="J103" s="110">
        <f>N(BAZLS[[#This Row],[Лекции]])*BAZLS[[#This Row],[кЕзик]]*BAZLS[[#This Row],[кСтуденти]]*кЛекции</f>
        <v>0</v>
      </c>
      <c r="K103" s="110">
        <f>N(BAZLS[[#This Row],[Упражнения]])*BAZLS[[#This Row],[кЕзик]]*BAZLS[[#This Row],[кСтуденти]]*кУпражнение</f>
        <v>0</v>
      </c>
      <c r="L103" s="110">
        <f>N(BAZLS[[#This Row],[Изпитани]])*BAZLS[[#This Row],[кИзпитващ]]</f>
        <v>0</v>
      </c>
      <c r="M103" s="666">
        <f>N(BAZLS[[#This Row],[ТО]])*BAZLS[[#This Row],[кTO]]</f>
        <v>0</v>
      </c>
      <c r="N103" s="870"/>
      <c r="O103" s="592"/>
      <c r="P103" s="897"/>
      <c r="Q103" s="899"/>
      <c r="R103" s="593"/>
      <c r="S103" s="902"/>
      <c r="T103" s="251"/>
      <c r="U103" s="252"/>
      <c r="V103" s="253"/>
      <c r="W103" s="1466" t="s">
        <v>84</v>
      </c>
      <c r="X103" s="902"/>
      <c r="Y103" s="906"/>
      <c r="Z103" s="262"/>
      <c r="AA103" s="263"/>
      <c r="AB103" s="264"/>
      <c r="AC103" s="1402"/>
      <c r="AD103" s="1394"/>
      <c r="AE103" s="1394"/>
      <c r="AF103" s="1394"/>
      <c r="AG103" s="1394"/>
      <c r="AH103" s="1687">
        <f ca="1">N(OFFSET(BAZLS[[#This Row],[|]],-1,0))+1</f>
        <v>19</v>
      </c>
      <c r="AI103" s="1671" t="str">
        <f>IF(BAZLS[[#This Row],[уЧасове]],BAZLS[[#This Row],[нацид|монСпециалностМП]],"")</f>
        <v/>
      </c>
      <c r="AJ103" s="1644">
        <f>SUM(BAZLS[[#This Row],[чЛекции]:[чTO]],N(BAZLS[[#This Row],[КР]])*кКурсова_работа)</f>
        <v>0</v>
      </c>
      <c r="AK103" s="1746"/>
      <c r="AL103" s="1746"/>
      <c r="AM103" s="1746"/>
      <c r="AN103" s="1746"/>
      <c r="AO103" s="1746"/>
      <c r="AP103" s="1746"/>
      <c r="AQ103" s="1746"/>
      <c r="AR103" s="1746"/>
      <c r="AS103" s="1746"/>
      <c r="AT103" s="1746"/>
    </row>
    <row r="104" spans="2:46" s="126" customFormat="1" ht="9.9499999999999993" customHeight="1" x14ac:dyDescent="0.25">
      <c r="B104" s="106" t="s">
        <v>412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 s="1754"/>
      <c r="AD104" s="1754"/>
      <c r="AE104" s="1754"/>
      <c r="AF104" s="1754"/>
      <c r="AG104" s="1754"/>
      <c r="AH104" s="1754"/>
      <c r="AI104" s="1754"/>
      <c r="AJ104" s="1754"/>
      <c r="AK104" s="1754"/>
      <c r="AL104" s="1754"/>
      <c r="AM104" s="1754"/>
      <c r="AN104" s="1754"/>
      <c r="AO104" s="1754"/>
      <c r="AP104" s="1754"/>
      <c r="AQ104" s="1754"/>
      <c r="AR104" s="1754"/>
      <c r="AS104" s="1754"/>
      <c r="AT104" s="1754"/>
    </row>
    <row r="105" spans="2:46" s="42" customFormat="1" ht="26.25" x14ac:dyDescent="0.3">
      <c r="B105" s="176" t="s">
        <v>415</v>
      </c>
      <c r="H105" s="43"/>
      <c r="I105" s="43"/>
      <c r="J105" s="43"/>
      <c r="K105" s="43"/>
      <c r="L105" s="43"/>
      <c r="M105" s="99" t="str">
        <f>IF($M$79,2,"2.2")</f>
        <v>2.2</v>
      </c>
      <c r="N105" s="2594" t="str">
        <f>M105&amp;". ОКС ""бакалавър"" и ""магистър"" след средно образование – практики и курсови работи – ЛЕТЕН семестър"</f>
        <v>2.2. ОКС "бакалавър" и "магистър" след средно образование – практики и курсови работи – ЛЕТЕН семестър</v>
      </c>
      <c r="O105" s="2595"/>
      <c r="P105" s="2595"/>
      <c r="Q105" s="2595"/>
      <c r="R105" s="2595"/>
      <c r="S105" s="2595"/>
      <c r="T105" s="2595"/>
      <c r="U105" s="2595"/>
      <c r="V105" s="2595"/>
      <c r="W105" s="2595"/>
      <c r="X105" s="2595"/>
      <c r="Y105" s="2595"/>
      <c r="Z105" s="2595"/>
      <c r="AA105" s="2595"/>
      <c r="AB105" s="2596"/>
      <c r="AC105" s="234"/>
      <c r="AD105" s="234"/>
      <c r="AE105" s="234"/>
      <c r="AF105" s="234"/>
      <c r="AG105" s="234"/>
      <c r="AH105" s="234"/>
      <c r="AI105" s="1741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</row>
    <row r="106" spans="2:46" s="42" customFormat="1" ht="21" customHeight="1" thickBot="1" x14ac:dyDescent="0.35">
      <c r="B106" s="106" t="s">
        <v>471</v>
      </c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N106" s="2597" t="s">
        <v>786</v>
      </c>
      <c r="O106" s="2598"/>
      <c r="P106" s="2598"/>
      <c r="Q106" s="2598"/>
      <c r="R106" s="2598"/>
      <c r="S106" s="2598"/>
      <c r="T106" s="2598"/>
      <c r="U106" s="2598"/>
      <c r="V106" s="2598"/>
      <c r="W106" s="2598"/>
      <c r="X106" s="2598"/>
      <c r="Y106" s="2598"/>
      <c r="Z106" s="2598"/>
      <c r="AA106" s="2598"/>
      <c r="AB106" s="2599"/>
      <c r="AC106" s="234"/>
      <c r="AD106" s="234"/>
      <c r="AE106" s="234"/>
      <c r="AF106" s="234"/>
      <c r="AG106" s="234"/>
      <c r="AH106" s="234"/>
      <c r="AI106" s="1741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</row>
    <row r="107" spans="2:46" s="42" customFormat="1" ht="21" customHeight="1" thickBot="1" x14ac:dyDescent="0.35">
      <c r="B107" s="106" t="s">
        <v>413</v>
      </c>
      <c r="C107" s="36"/>
      <c r="D107" s="36"/>
      <c r="E107" s="36"/>
      <c r="F107" s="36"/>
      <c r="G107" s="36"/>
      <c r="N107" s="2584" t="s">
        <v>22</v>
      </c>
      <c r="O107" s="2575" t="s">
        <v>17</v>
      </c>
      <c r="P107" s="2587" t="s">
        <v>18</v>
      </c>
      <c r="Q107" s="2584" t="s">
        <v>19</v>
      </c>
      <c r="R107" s="2575" t="s">
        <v>20</v>
      </c>
      <c r="S107" s="2592" t="s">
        <v>562</v>
      </c>
      <c r="T107" s="2587" t="s">
        <v>502</v>
      </c>
      <c r="U107" s="2604" t="s">
        <v>551</v>
      </c>
      <c r="V107" s="2605"/>
      <c r="W107" s="2606"/>
      <c r="X107" s="2575" t="s">
        <v>468</v>
      </c>
      <c r="Y107" s="2592" t="s">
        <v>309</v>
      </c>
      <c r="Z107" s="2584" t="s">
        <v>332</v>
      </c>
      <c r="AA107" s="2575"/>
      <c r="AB107" s="2587"/>
      <c r="AC107" s="1511"/>
      <c r="AD107" s="1511"/>
      <c r="AE107" s="1511"/>
      <c r="AF107" s="1511"/>
      <c r="AG107" s="1511"/>
      <c r="AH107" s="1511"/>
      <c r="AI107" s="1511"/>
      <c r="AJ107" s="1511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</row>
    <row r="108" spans="2:46" ht="26.25" thickBot="1" x14ac:dyDescent="0.35">
      <c r="B108" s="106" t="s">
        <v>414</v>
      </c>
      <c r="C108" s="2580" t="s">
        <v>568</v>
      </c>
      <c r="D108" s="2600"/>
      <c r="E108" s="2600"/>
      <c r="F108" s="2581"/>
      <c r="G108" s="2580" t="s">
        <v>313</v>
      </c>
      <c r="H108" s="2581"/>
      <c r="I108" s="2580" t="s">
        <v>310</v>
      </c>
      <c r="J108" s="2581"/>
      <c r="K108" s="2601" t="s">
        <v>336</v>
      </c>
      <c r="L108" s="2602"/>
      <c r="M108" s="2603"/>
      <c r="N108" s="2585"/>
      <c r="O108" s="2576"/>
      <c r="P108" s="2588"/>
      <c r="Q108" s="2585"/>
      <c r="R108" s="2576"/>
      <c r="S108" s="2593"/>
      <c r="T108" s="2588"/>
      <c r="U108" s="369" t="s">
        <v>550</v>
      </c>
      <c r="V108" s="370" t="s">
        <v>774</v>
      </c>
      <c r="W108" s="371" t="s">
        <v>775</v>
      </c>
      <c r="X108" s="2576"/>
      <c r="Y108" s="2593"/>
      <c r="Z108" s="220" t="s">
        <v>327</v>
      </c>
      <c r="AA108" s="221" t="s">
        <v>328</v>
      </c>
      <c r="AB108" s="222" t="s">
        <v>474</v>
      </c>
      <c r="AC108" s="2564" t="s">
        <v>7821</v>
      </c>
      <c r="AD108" s="2568"/>
      <c r="AE108" s="2568"/>
      <c r="AF108" s="2568"/>
      <c r="AG108" s="2565"/>
      <c r="AH108" s="2564" t="s">
        <v>9528</v>
      </c>
      <c r="AI108" s="2568"/>
      <c r="AJ108" s="2565"/>
    </row>
    <row r="109" spans="2:46" ht="21" hidden="1" thickBot="1" x14ac:dyDescent="0.35">
      <c r="B109" s="106" t="s">
        <v>419</v>
      </c>
      <c r="C109" s="419" t="s">
        <v>575</v>
      </c>
      <c r="D109" s="810" t="s">
        <v>894</v>
      </c>
      <c r="E109" s="119" t="s">
        <v>569</v>
      </c>
      <c r="F109" s="121" t="s">
        <v>616</v>
      </c>
      <c r="G109" s="122" t="s">
        <v>390</v>
      </c>
      <c r="H109" s="123" t="s">
        <v>335</v>
      </c>
      <c r="I109" s="122" t="s">
        <v>391</v>
      </c>
      <c r="J109" s="670" t="s">
        <v>333</v>
      </c>
      <c r="K109" s="372" t="s">
        <v>572</v>
      </c>
      <c r="L109" s="373" t="s">
        <v>387</v>
      </c>
      <c r="M109" s="688" t="s">
        <v>334</v>
      </c>
      <c r="N109" s="363" t="s">
        <v>22</v>
      </c>
      <c r="O109" s="363" t="s">
        <v>17</v>
      </c>
      <c r="P109" s="1432" t="s">
        <v>18</v>
      </c>
      <c r="Q109" s="363" t="s">
        <v>19</v>
      </c>
      <c r="R109" s="363" t="s">
        <v>20</v>
      </c>
      <c r="S109" s="363" t="s">
        <v>620</v>
      </c>
      <c r="T109" s="1433" t="s">
        <v>618</v>
      </c>
      <c r="U109" s="1434" t="s">
        <v>571</v>
      </c>
      <c r="V109" s="1435" t="s">
        <v>547</v>
      </c>
      <c r="W109" s="1436" t="s">
        <v>564</v>
      </c>
      <c r="X109" s="363" t="s">
        <v>621</v>
      </c>
      <c r="Y109" s="1432" t="s">
        <v>330</v>
      </c>
      <c r="Z109" s="1437" t="s">
        <v>327</v>
      </c>
      <c r="AA109" s="363" t="s">
        <v>86</v>
      </c>
      <c r="AB109" s="1432" t="s">
        <v>329</v>
      </c>
      <c r="AC109" s="1742" t="s">
        <v>1093</v>
      </c>
      <c r="AD109" s="1742" t="s">
        <v>1094</v>
      </c>
      <c r="AE109" s="1742" t="s">
        <v>1095</v>
      </c>
      <c r="AF109" s="1743" t="s">
        <v>1097</v>
      </c>
      <c r="AG109" s="1742" t="s">
        <v>7735</v>
      </c>
      <c r="AH109" s="1744" t="s">
        <v>1092</v>
      </c>
      <c r="AI109" s="1742" t="s">
        <v>7736</v>
      </c>
      <c r="AJ109" s="1742" t="s">
        <v>7828</v>
      </c>
      <c r="AK109" s="1741"/>
    </row>
    <row r="110" spans="2:46" x14ac:dyDescent="0.3">
      <c r="B110" s="236">
        <f t="shared" ref="B110:B119" si="7">N(B109)+1</f>
        <v>1</v>
      </c>
      <c r="C110" s="111">
        <f>IFERROR(MATCH(BPLS[[#This Row],[ВидПрактика]],T_УчПрактики[Практика и курсова работа],0),0)</f>
        <v>0</v>
      </c>
      <c r="D110" s="111" t="str" cm="1">
        <f t="array" ref="D110">IF(BPLS[[#This Row],[пВидПрактика]],INDEX(T_УчПрактики[Студенти],BPLS[[#This Row],[пВидПрактика]]),"-")</f>
        <v>-</v>
      </c>
      <c r="E110" s="111" t="str" cm="1">
        <f t="array" ref="E110">IF(BPLS[[#This Row],[пВидПрактика]],INDEX(T_УчПрактики[Група],BPLS[[#This Row],[пВидПрактика]])*2,"-")</f>
        <v>-</v>
      </c>
      <c r="F110" s="366" t="str" cm="1">
        <f t="array" ref="F110">IF(BPLS[[#This Row],[пВидПрактика]],INDEX(T_УчПрактики[Ден],BPLS[[#This Row],[пВидПрактика]])*4,"-")</f>
        <v>-</v>
      </c>
      <c r="G110" s="111">
        <f>IFERROR(AND(BPLS[[#This Row],[ТО]]&lt;&gt;0,BPLS[[#This Row],[ФормаОб]]=0)*1,0)</f>
        <v>0</v>
      </c>
      <c r="H110" s="110">
        <f>IFERROR(AND(BPLS[[#This Row],[Изпитани]]&lt;&gt;0,LEN(BPLS[[#This Row],[Изпитващ]])=0)*1,0)</f>
        <v>0</v>
      </c>
      <c r="I110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0" s="666">
        <f>IFERROR(VLOOKUP(BPLS[[#This Row],[ФормаОб]],тТО[[обФорма]:[Коеф.]],2,0),0)</f>
        <v>0</v>
      </c>
      <c r="K110" s="420" cm="1">
        <f t="array" ref="K110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0" s="418">
        <f>N(BPLS[[#This Row],[Изпитани]])*BPLS[[#This Row],[кИзпитващ]]</f>
        <v>0</v>
      </c>
      <c r="M110" s="1412">
        <f>N(BPLS[[#This Row],[ТО]])*BPLS[[#This Row],[кTO]]</f>
        <v>0</v>
      </c>
      <c r="N110" s="1467"/>
      <c r="O110" s="1468"/>
      <c r="P110" s="1469"/>
      <c r="Q110" s="1470"/>
      <c r="R110" s="1470"/>
      <c r="S110" s="1470"/>
      <c r="T110" s="1471"/>
      <c r="U110" s="1472"/>
      <c r="V110" s="1473"/>
      <c r="W110" s="1474"/>
      <c r="X110" s="1475"/>
      <c r="Y110" s="1476"/>
      <c r="Z110" s="1233"/>
      <c r="AA110" s="1234"/>
      <c r="AB110" s="1235"/>
      <c r="AC110" s="1404"/>
      <c r="AD110" s="1403"/>
      <c r="AE110" s="1403"/>
      <c r="AF110" s="1403"/>
      <c r="AG110" s="1403"/>
      <c r="AH110" s="1144">
        <f ca="1">N(OFFSET(BPLS[[#This Row],[|]],-1,0))+1</f>
        <v>1</v>
      </c>
      <c r="AI110" s="1643" t="str">
        <f>IF(BPLS[[#This Row],[уЧасове]],BPLS[[#This Row],[нацид|монСпециалностМП]],"")</f>
        <v/>
      </c>
      <c r="AJ110" s="1644">
        <f>SUM(BPLS[[#This Row],[чПрактика]:[чTO]],N(BPLS[[#This Row],[КР]])*кКурсова_работа)</f>
        <v>0</v>
      </c>
      <c r="AK110" s="1741"/>
    </row>
    <row r="111" spans="2:46" x14ac:dyDescent="0.3">
      <c r="B111" s="236">
        <f t="shared" si="7"/>
        <v>2</v>
      </c>
      <c r="C111" s="111">
        <f>IFERROR(MATCH(BPLS[[#This Row],[ВидПрактика]],T_Практики[Практика и курсова работа],0),0)</f>
        <v>0</v>
      </c>
      <c r="D111" s="111" t="str" cm="1">
        <f t="array" ref="D111">IF(BPLS[[#This Row],[пВидПрактика]],INDEX(T_УчПрактики[Студенти],BPLS[[#This Row],[пВидПрактика]]),"-")</f>
        <v>-</v>
      </c>
      <c r="E111" s="111" t="str" cm="1">
        <f t="array" ref="E111">IF(BPLS[[#This Row],[пВидПрактика]],INDEX(T_УчПрактики[Група],BPLS[[#This Row],[пВидПрактика]])*2,"-")</f>
        <v>-</v>
      </c>
      <c r="F111" s="358" t="str" cm="1">
        <f t="array" ref="F111">IF(BPLS[[#This Row],[пВидПрактика]],INDEX(T_УчПрактики[Ден],BPLS[[#This Row],[пВидПрактика]])*4,"-")</f>
        <v>-</v>
      </c>
      <c r="G111" s="111">
        <f>IFERROR(AND(BPLS[[#This Row],[ТО]]&lt;&gt;0,BPLS[[#This Row],[ФормаОб]]=0)*1,0)</f>
        <v>0</v>
      </c>
      <c r="H111" s="110">
        <f>IFERROR(AND(BPLS[[#This Row],[Изпитани]]&lt;&gt;0,LEN(BPLS[[#This Row],[Изпитващ]])=0)*1,0)</f>
        <v>0</v>
      </c>
      <c r="I111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1" s="666">
        <f>IFERROR(VLOOKUP(BPLS[[#This Row],[ФормаОб]],тТО[[обФорма]:[Коеф.]],2,0),0)</f>
        <v>0</v>
      </c>
      <c r="K111" s="413" cm="1">
        <f t="array" ref="K111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1" s="360">
        <f>N(BPLS[[#This Row],[Изпитани]])*BPLS[[#This Row],[кИзпитващ]]</f>
        <v>0</v>
      </c>
      <c r="M111" s="1410">
        <f>N(BPLS[[#This Row],[ТО]])*BPLS[[#This Row],[кTO]]</f>
        <v>0</v>
      </c>
      <c r="N111" s="1477"/>
      <c r="O111" s="594"/>
      <c r="P111" s="595"/>
      <c r="Q111" s="596"/>
      <c r="R111" s="596"/>
      <c r="S111" s="596"/>
      <c r="T111" s="1187"/>
      <c r="U111" s="600"/>
      <c r="V111" s="537"/>
      <c r="W111" s="535"/>
      <c r="X111" s="602"/>
      <c r="Y111" s="603"/>
      <c r="Z111" s="269"/>
      <c r="AA111" s="270"/>
      <c r="AB111" s="271"/>
      <c r="AC111" s="1404"/>
      <c r="AD111" s="1403"/>
      <c r="AE111" s="1403"/>
      <c r="AF111" s="1403"/>
      <c r="AG111" s="1403"/>
      <c r="AH111" s="1144">
        <f ca="1">N(OFFSET(BPLS[[#This Row],[|]],-1,0))+1</f>
        <v>2</v>
      </c>
      <c r="AI111" s="1643" t="str">
        <f>IF(BPLS[[#This Row],[уЧасове]],BPLS[[#This Row],[нацид|монСпециалностМП]],"")</f>
        <v/>
      </c>
      <c r="AJ111" s="1644">
        <f>SUM(BPLS[[#This Row],[чПрактика]:[чTO]],N(BPLS[[#This Row],[КР]])*кКурсова_работа)</f>
        <v>0</v>
      </c>
      <c r="AK111" s="1741"/>
    </row>
    <row r="112" spans="2:46" x14ac:dyDescent="0.3">
      <c r="B112" s="236">
        <f t="shared" si="7"/>
        <v>3</v>
      </c>
      <c r="C112" s="111">
        <f>IFERROR(MATCH(BPLS[[#This Row],[ВидПрактика]],T_Практики[Практика и курсова работа],0),0)</f>
        <v>0</v>
      </c>
      <c r="D112" s="111" t="str" cm="1">
        <f t="array" ref="D112">IF(BPLS[[#This Row],[пВидПрактика]],INDEX(T_УчПрактики[Студенти],BPLS[[#This Row],[пВидПрактика]]),"-")</f>
        <v>-</v>
      </c>
      <c r="E112" s="111" t="str" cm="1">
        <f t="array" ref="E112">IF(BPLS[[#This Row],[пВидПрактика]],INDEX(T_УчПрактики[Група],BPLS[[#This Row],[пВидПрактика]])*2,"-")</f>
        <v>-</v>
      </c>
      <c r="F112" s="358" t="str" cm="1">
        <f t="array" ref="F112">IF(BPLS[[#This Row],[пВидПрактика]],INDEX(T_УчПрактики[Ден],BPLS[[#This Row],[пВидПрактика]])*4,"-")</f>
        <v>-</v>
      </c>
      <c r="G112" s="111">
        <f>IFERROR(AND(BPLS[[#This Row],[ТО]]&lt;&gt;0,BPLS[[#This Row],[ФормаОб]]=0)*1,0)</f>
        <v>0</v>
      </c>
      <c r="H112" s="110">
        <f>IFERROR(AND(BPLS[[#This Row],[Изпитани]]&lt;&gt;0,LEN(BPLS[[#This Row],[Изпитващ]])=0)*1,0)</f>
        <v>0</v>
      </c>
      <c r="I112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2" s="666">
        <f>IFERROR(VLOOKUP(BPLS[[#This Row],[ФормаОб]],тТО[[обФорма]:[Коеф.]],2,0),0)</f>
        <v>0</v>
      </c>
      <c r="K112" s="413" cm="1">
        <f t="array" ref="K112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2" s="360">
        <f>N(BPLS[[#This Row],[Изпитани]])*BPLS[[#This Row],[кИзпитващ]]</f>
        <v>0</v>
      </c>
      <c r="M112" s="1410">
        <f>N(BPLS[[#This Row],[ТО]])*BPLS[[#This Row],[кTO]]</f>
        <v>0</v>
      </c>
      <c r="N112" s="1477"/>
      <c r="O112" s="594"/>
      <c r="P112" s="595"/>
      <c r="Q112" s="596"/>
      <c r="R112" s="596"/>
      <c r="S112" s="596"/>
      <c r="T112" s="1187"/>
      <c r="U112" s="600"/>
      <c r="V112" s="537"/>
      <c r="W112" s="535"/>
      <c r="X112" s="602"/>
      <c r="Y112" s="603"/>
      <c r="Z112" s="269"/>
      <c r="AA112" s="270"/>
      <c r="AB112" s="271"/>
      <c r="AC112" s="1404"/>
      <c r="AD112" s="1403"/>
      <c r="AE112" s="1403"/>
      <c r="AF112" s="1403"/>
      <c r="AG112" s="1403"/>
      <c r="AH112" s="1144">
        <f ca="1">N(OFFSET(BPLS[[#This Row],[|]],-1,0))+1</f>
        <v>3</v>
      </c>
      <c r="AI112" s="1643" t="str">
        <f>IF(BPLS[[#This Row],[уЧасове]],BPLS[[#This Row],[нацид|монСпециалностМП]],"")</f>
        <v/>
      </c>
      <c r="AJ112" s="1644">
        <f>SUM(BPLS[[#This Row],[чПрактика]:[чTO]],N(BPLS[[#This Row],[КР]])*кКурсова_работа)</f>
        <v>0</v>
      </c>
      <c r="AK112" s="1741"/>
    </row>
    <row r="113" spans="2:46" x14ac:dyDescent="0.3">
      <c r="B113" s="236">
        <f t="shared" si="7"/>
        <v>4</v>
      </c>
      <c r="C113" s="111">
        <f>IFERROR(MATCH(BPLS[[#This Row],[ВидПрактика]],T_Практики[Практика и курсова работа],0),0)</f>
        <v>0</v>
      </c>
      <c r="D113" s="111" t="str" cm="1">
        <f t="array" ref="D113">IF(BPLS[[#This Row],[пВидПрактика]],INDEX(T_УчПрактики[Студенти],BPLS[[#This Row],[пВидПрактика]]),"-")</f>
        <v>-</v>
      </c>
      <c r="E113" s="111" t="str" cm="1">
        <f t="array" ref="E113">IF(BPLS[[#This Row],[пВидПрактика]],INDEX(T_УчПрактики[Група],BPLS[[#This Row],[пВидПрактика]])*2,"-")</f>
        <v>-</v>
      </c>
      <c r="F113" s="358" t="str" cm="1">
        <f t="array" ref="F113">IF(BPLS[[#This Row],[пВидПрактика]],INDEX(T_УчПрактики[Ден],BPLS[[#This Row],[пВидПрактика]])*4,"-")</f>
        <v>-</v>
      </c>
      <c r="G113" s="111">
        <f>IFERROR(AND(BPLS[[#This Row],[ТО]]&lt;&gt;0,BPLS[[#This Row],[ФормаОб]]=0)*1,0)</f>
        <v>0</v>
      </c>
      <c r="H113" s="110">
        <f>IFERROR(AND(BPLS[[#This Row],[Изпитани]]&lt;&gt;0,LEN(BPLS[[#This Row],[Изпитващ]])=0)*1,0)</f>
        <v>0</v>
      </c>
      <c r="I113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3" s="666">
        <f>IFERROR(VLOOKUP(BPLS[[#This Row],[ФормаОб]],тТО[[обФорма]:[Коеф.]],2,0),0)</f>
        <v>0</v>
      </c>
      <c r="K113" s="413" cm="1">
        <f t="array" ref="K113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3" s="360">
        <f>N(BPLS[[#This Row],[Изпитани]])*BPLS[[#This Row],[кИзпитващ]]</f>
        <v>0</v>
      </c>
      <c r="M113" s="1410">
        <f>N(BPLS[[#This Row],[ТО]])*BPLS[[#This Row],[кTO]]</f>
        <v>0</v>
      </c>
      <c r="N113" s="1477"/>
      <c r="O113" s="594"/>
      <c r="P113" s="595"/>
      <c r="Q113" s="596"/>
      <c r="R113" s="596"/>
      <c r="S113" s="596"/>
      <c r="T113" s="1187"/>
      <c r="U113" s="600"/>
      <c r="V113" s="537"/>
      <c r="W113" s="535"/>
      <c r="X113" s="602"/>
      <c r="Y113" s="603"/>
      <c r="Z113" s="269"/>
      <c r="AA113" s="270"/>
      <c r="AB113" s="271"/>
      <c r="AC113" s="1404"/>
      <c r="AD113" s="1403"/>
      <c r="AE113" s="1403"/>
      <c r="AF113" s="1403"/>
      <c r="AG113" s="1403"/>
      <c r="AH113" s="1144">
        <f ca="1">N(OFFSET(BPLS[[#This Row],[|]],-1,0))+1</f>
        <v>4</v>
      </c>
      <c r="AI113" s="1643" t="str">
        <f>IF(BPLS[[#This Row],[уЧасове]],BPLS[[#This Row],[нацид|монСпециалностМП]],"")</f>
        <v/>
      </c>
      <c r="AJ113" s="1644">
        <f>SUM(BPLS[[#This Row],[чПрактика]:[чTO]],N(BPLS[[#This Row],[КР]])*кКурсова_работа)</f>
        <v>0</v>
      </c>
      <c r="AK113" s="1741"/>
    </row>
    <row r="114" spans="2:46" x14ac:dyDescent="0.3">
      <c r="B114" s="236">
        <f t="shared" si="7"/>
        <v>5</v>
      </c>
      <c r="C114" s="111">
        <f>IFERROR(MATCH(BPLS[[#This Row],[ВидПрактика]],T_Практики[Практика и курсова работа],0),0)</f>
        <v>0</v>
      </c>
      <c r="D114" s="111" t="str" cm="1">
        <f t="array" ref="D114">IF(BPLS[[#This Row],[пВидПрактика]],INDEX(T_УчПрактики[Студенти],BPLS[[#This Row],[пВидПрактика]]),"-")</f>
        <v>-</v>
      </c>
      <c r="E114" s="111" t="str" cm="1">
        <f t="array" ref="E114">IF(BPLS[[#This Row],[пВидПрактика]],INDEX(T_УчПрактики[Група],BPLS[[#This Row],[пВидПрактика]])*2,"-")</f>
        <v>-</v>
      </c>
      <c r="F114" s="358" t="str" cm="1">
        <f t="array" ref="F114">IF(BPLS[[#This Row],[пВидПрактика]],INDEX(T_УчПрактики[Ден],BPLS[[#This Row],[пВидПрактика]])*4,"-")</f>
        <v>-</v>
      </c>
      <c r="G114" s="111">
        <f>IFERROR(AND(BPLS[[#This Row],[ТО]]&lt;&gt;0,BPLS[[#This Row],[ФормаОб]]=0)*1,0)</f>
        <v>0</v>
      </c>
      <c r="H114" s="110">
        <f>IFERROR(AND(BPLS[[#This Row],[Изпитани]]&lt;&gt;0,LEN(BPLS[[#This Row],[Изпитващ]])=0)*1,0)</f>
        <v>0</v>
      </c>
      <c r="I114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4" s="666">
        <f>IFERROR(VLOOKUP(BPLS[[#This Row],[ФормаОб]],тТО[[обФорма]:[Коеф.]],2,0),0)</f>
        <v>0</v>
      </c>
      <c r="K114" s="413" cm="1">
        <f t="array" ref="K114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4" s="360">
        <f>N(BPLS[[#This Row],[Изпитани]])*BPLS[[#This Row],[кИзпитващ]]</f>
        <v>0</v>
      </c>
      <c r="M114" s="1410">
        <f>N(BPLS[[#This Row],[ТО]])*BPLS[[#This Row],[кTO]]</f>
        <v>0</v>
      </c>
      <c r="N114" s="1477"/>
      <c r="O114" s="594"/>
      <c r="P114" s="595"/>
      <c r="Q114" s="596"/>
      <c r="R114" s="596"/>
      <c r="S114" s="596"/>
      <c r="T114" s="1187"/>
      <c r="U114" s="600"/>
      <c r="V114" s="537"/>
      <c r="W114" s="535"/>
      <c r="X114" s="602"/>
      <c r="Y114" s="603"/>
      <c r="Z114" s="269"/>
      <c r="AA114" s="270"/>
      <c r="AB114" s="271"/>
      <c r="AC114" s="1404"/>
      <c r="AD114" s="1403"/>
      <c r="AE114" s="1403"/>
      <c r="AF114" s="1403"/>
      <c r="AG114" s="1403"/>
      <c r="AH114" s="1144">
        <f ca="1">N(OFFSET(BPLS[[#This Row],[|]],-1,0))+1</f>
        <v>5</v>
      </c>
      <c r="AI114" s="1643" t="str">
        <f>IF(BPLS[[#This Row],[уЧасове]],BPLS[[#This Row],[нацид|монСпециалностМП]],"")</f>
        <v/>
      </c>
      <c r="AJ114" s="1644">
        <f>SUM(BPLS[[#This Row],[чПрактика]:[чTO]],N(BPLS[[#This Row],[КР]])*кКурсова_работа)</f>
        <v>0</v>
      </c>
      <c r="AK114" s="1741"/>
    </row>
    <row r="115" spans="2:46" s="42" customFormat="1" x14ac:dyDescent="0.3">
      <c r="B115" s="236">
        <f t="shared" si="7"/>
        <v>6</v>
      </c>
      <c r="C115" s="111">
        <f>IFERROR(MATCH(BPLS[[#This Row],[ВидПрактика]],T_Практики[Практика и курсова работа],0),0)</f>
        <v>0</v>
      </c>
      <c r="D115" s="111" t="str" cm="1">
        <f t="array" ref="D115">IF(BPLS[[#This Row],[пВидПрактика]],INDEX(T_УчПрактики[Студенти],BPLS[[#This Row],[пВидПрактика]]),"-")</f>
        <v>-</v>
      </c>
      <c r="E115" s="111" t="str" cm="1">
        <f t="array" ref="E115">IF(BPLS[[#This Row],[пВидПрактика]],INDEX(T_УчПрактики[Група],BPLS[[#This Row],[пВидПрактика]])*2,"-")</f>
        <v>-</v>
      </c>
      <c r="F115" s="358" t="str" cm="1">
        <f t="array" ref="F115">IF(BPLS[[#This Row],[пВидПрактика]],INDEX(T_УчПрактики[Ден],BPLS[[#This Row],[пВидПрактика]])*4,"-")</f>
        <v>-</v>
      </c>
      <c r="G115" s="111">
        <f>IFERROR(AND(BPLS[[#This Row],[ТО]]&lt;&gt;0,BPLS[[#This Row],[ФормаОб]]=0)*1,0)</f>
        <v>0</v>
      </c>
      <c r="H115" s="110">
        <f>IFERROR(AND(BPLS[[#This Row],[Изпитани]]&lt;&gt;0,LEN(BPLS[[#This Row],[Изпитващ]])=0)*1,0)</f>
        <v>0</v>
      </c>
      <c r="I115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5" s="666">
        <f>IFERROR(VLOOKUP(BPLS[[#This Row],[ФормаОб]],тТО[[обФорма]:[Коеф.]],2,0),0)</f>
        <v>0</v>
      </c>
      <c r="K115" s="413" cm="1">
        <f t="array" ref="K115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5" s="360">
        <f>N(BPLS[[#This Row],[Изпитани]])*BPLS[[#This Row],[кИзпитващ]]</f>
        <v>0</v>
      </c>
      <c r="M115" s="1410">
        <f>N(BPLS[[#This Row],[ТО]])*BPLS[[#This Row],[кTO]]</f>
        <v>0</v>
      </c>
      <c r="N115" s="1477"/>
      <c r="O115" s="583"/>
      <c r="P115" s="597"/>
      <c r="Q115" s="596"/>
      <c r="R115" s="596"/>
      <c r="S115" s="596"/>
      <c r="T115" s="1188"/>
      <c r="U115" s="600"/>
      <c r="V115" s="537"/>
      <c r="W115" s="535"/>
      <c r="X115" s="596"/>
      <c r="Y115" s="603"/>
      <c r="Z115" s="269"/>
      <c r="AA115" s="270"/>
      <c r="AB115" s="271"/>
      <c r="AC115" s="1404"/>
      <c r="AD115" s="1403"/>
      <c r="AE115" s="1403"/>
      <c r="AF115" s="1403"/>
      <c r="AG115" s="1403"/>
      <c r="AH115" s="1144">
        <f ca="1">N(OFFSET(BPLS[[#This Row],[|]],-1,0))+1</f>
        <v>6</v>
      </c>
      <c r="AI115" s="1643" t="str">
        <f>IF(BPLS[[#This Row],[уЧасове]],BPLS[[#This Row],[нацид|монСпециалностМП]],"")</f>
        <v/>
      </c>
      <c r="AJ115" s="1644">
        <f>SUM(BPLS[[#This Row],[чПрактика]:[чTO]],N(BPLS[[#This Row],[КР]])*кКурсова_работа)</f>
        <v>0</v>
      </c>
      <c r="AK115" s="1741"/>
      <c r="AL115" s="234"/>
      <c r="AM115" s="234"/>
      <c r="AN115" s="234"/>
      <c r="AO115" s="234"/>
      <c r="AP115" s="234"/>
      <c r="AQ115" s="234"/>
      <c r="AR115" s="234"/>
      <c r="AS115" s="234"/>
      <c r="AT115" s="234"/>
    </row>
    <row r="116" spans="2:46" s="42" customFormat="1" x14ac:dyDescent="0.3">
      <c r="B116" s="236">
        <f t="shared" si="7"/>
        <v>7</v>
      </c>
      <c r="C116" s="111">
        <f>IFERROR(MATCH(BPLS[[#This Row],[ВидПрактика]],T_Практики[Практика и курсова работа],0),0)</f>
        <v>0</v>
      </c>
      <c r="D116" s="111" t="str" cm="1">
        <f t="array" ref="D116">IF(BPLS[[#This Row],[пВидПрактика]],INDEX(T_УчПрактики[Студенти],BPLS[[#This Row],[пВидПрактика]]),"-")</f>
        <v>-</v>
      </c>
      <c r="E116" s="111" t="str" cm="1">
        <f t="array" ref="E116">IF(BPLS[[#This Row],[пВидПрактика]],INDEX(T_УчПрактики[Група],BPLS[[#This Row],[пВидПрактика]])*2,"-")</f>
        <v>-</v>
      </c>
      <c r="F116" s="358" t="str" cm="1">
        <f t="array" ref="F116">IF(BPLS[[#This Row],[пВидПрактика]],INDEX(T_УчПрактики[Ден],BPLS[[#This Row],[пВидПрактика]])*4,"-")</f>
        <v>-</v>
      </c>
      <c r="G116" s="111">
        <f>IFERROR(AND(BPLS[[#This Row],[ТО]]&lt;&gt;0,BPLS[[#This Row],[ФормаОб]]=0)*1,0)</f>
        <v>0</v>
      </c>
      <c r="H116" s="110">
        <f>IFERROR(AND(BPLS[[#This Row],[Изпитани]]&lt;&gt;0,LEN(BPLS[[#This Row],[Изпитващ]])=0)*1,0)</f>
        <v>0</v>
      </c>
      <c r="I116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6" s="666">
        <f>IFERROR(VLOOKUP(BPLS[[#This Row],[ФормаОб]],тТО[[обФорма]:[Коеф.]],2,0),0)</f>
        <v>0</v>
      </c>
      <c r="K116" s="413" cm="1">
        <f t="array" ref="K116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6" s="360">
        <f>N(BPLS[[#This Row],[Изпитани]])*BPLS[[#This Row],[кИзпитващ]]</f>
        <v>0</v>
      </c>
      <c r="M116" s="1410">
        <f>N(BPLS[[#This Row],[ТО]])*BPLS[[#This Row],[кTO]]</f>
        <v>0</v>
      </c>
      <c r="N116" s="1477"/>
      <c r="O116" s="583"/>
      <c r="P116" s="597"/>
      <c r="Q116" s="596"/>
      <c r="R116" s="596"/>
      <c r="S116" s="596"/>
      <c r="T116" s="1188"/>
      <c r="U116" s="600"/>
      <c r="V116" s="537"/>
      <c r="W116" s="535"/>
      <c r="X116" s="596"/>
      <c r="Y116" s="603"/>
      <c r="Z116" s="269"/>
      <c r="AA116" s="270"/>
      <c r="AB116" s="271"/>
      <c r="AC116" s="1404"/>
      <c r="AD116" s="1403"/>
      <c r="AE116" s="1403"/>
      <c r="AF116" s="1403"/>
      <c r="AG116" s="1403"/>
      <c r="AH116" s="1144">
        <f ca="1">N(OFFSET(BPLS[[#This Row],[|]],-1,0))+1</f>
        <v>7</v>
      </c>
      <c r="AI116" s="1643" t="str">
        <f>IF(BPLS[[#This Row],[уЧасове]],BPLS[[#This Row],[нацид|монСпециалностМП]],"")</f>
        <v/>
      </c>
      <c r="AJ116" s="1644">
        <f>SUM(BPLS[[#This Row],[чПрактика]:[чTO]],N(BPLS[[#This Row],[КР]])*кКурсова_работа)</f>
        <v>0</v>
      </c>
      <c r="AK116" s="1741"/>
      <c r="AL116" s="234"/>
      <c r="AM116" s="234"/>
      <c r="AN116" s="234"/>
      <c r="AO116" s="234"/>
      <c r="AP116" s="234"/>
      <c r="AQ116" s="234"/>
      <c r="AR116" s="234"/>
      <c r="AS116" s="234"/>
      <c r="AT116" s="234"/>
    </row>
    <row r="117" spans="2:46" s="42" customFormat="1" x14ac:dyDescent="0.3">
      <c r="B117" s="236">
        <f t="shared" si="7"/>
        <v>8</v>
      </c>
      <c r="C117" s="111">
        <f>IFERROR(MATCH(BPLS[[#This Row],[ВидПрактика]],T_Практики[Практика и курсова работа],0),0)</f>
        <v>0</v>
      </c>
      <c r="D117" s="111" t="str" cm="1">
        <f t="array" ref="D117">IF(BPLS[[#This Row],[пВидПрактика]],INDEX(T_УчПрактики[Студенти],BPLS[[#This Row],[пВидПрактика]]),"-")</f>
        <v>-</v>
      </c>
      <c r="E117" s="111" t="str" cm="1">
        <f t="array" ref="E117">IF(BPLS[[#This Row],[пВидПрактика]],INDEX(T_УчПрактики[Група],BPLS[[#This Row],[пВидПрактика]])*2,"-")</f>
        <v>-</v>
      </c>
      <c r="F117" s="358" t="str" cm="1">
        <f t="array" ref="F117">IF(BPLS[[#This Row],[пВидПрактика]],INDEX(T_УчПрактики[Ден],BPLS[[#This Row],[пВидПрактика]])*4,"-")</f>
        <v>-</v>
      </c>
      <c r="G117" s="111">
        <f>IFERROR(AND(BPLS[[#This Row],[ТО]]&lt;&gt;0,BPLS[[#This Row],[ФормаОб]]=0)*1,0)</f>
        <v>0</v>
      </c>
      <c r="H117" s="110">
        <f>IFERROR(AND(BPLS[[#This Row],[Изпитани]]&lt;&gt;0,LEN(BPLS[[#This Row],[Изпитващ]])=0)*1,0)</f>
        <v>0</v>
      </c>
      <c r="I117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7" s="666">
        <f>IFERROR(VLOOKUP(BPLS[[#This Row],[ФормаОб]],тТО[[обФорма]:[Коеф.]],2,0),0)</f>
        <v>0</v>
      </c>
      <c r="K117" s="413" cm="1">
        <f t="array" ref="K117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7" s="360">
        <f>N(BPLS[[#This Row],[Изпитани]])*BPLS[[#This Row],[кИзпитващ]]</f>
        <v>0</v>
      </c>
      <c r="M117" s="1410">
        <f>N(BPLS[[#This Row],[ТО]])*BPLS[[#This Row],[кTO]]</f>
        <v>0</v>
      </c>
      <c r="N117" s="1477"/>
      <c r="O117" s="583"/>
      <c r="P117" s="597"/>
      <c r="Q117" s="596"/>
      <c r="R117" s="596"/>
      <c r="S117" s="596"/>
      <c r="T117" s="1188"/>
      <c r="U117" s="600"/>
      <c r="V117" s="537"/>
      <c r="W117" s="535"/>
      <c r="X117" s="596"/>
      <c r="Y117" s="603"/>
      <c r="Z117" s="269"/>
      <c r="AA117" s="270"/>
      <c r="AB117" s="271"/>
      <c r="AC117" s="1404"/>
      <c r="AD117" s="1403"/>
      <c r="AE117" s="1403"/>
      <c r="AF117" s="1403"/>
      <c r="AG117" s="1403"/>
      <c r="AH117" s="1144">
        <f ca="1">N(OFFSET(BPLS[[#This Row],[|]],-1,0))+1</f>
        <v>8</v>
      </c>
      <c r="AI117" s="1643" t="str">
        <f>IF(BPLS[[#This Row],[уЧасове]],BPLS[[#This Row],[нацид|монСпециалностМП]],"")</f>
        <v/>
      </c>
      <c r="AJ117" s="1644">
        <f>SUM(BPLS[[#This Row],[чПрактика]:[чTO]],N(BPLS[[#This Row],[КР]])*кКурсова_работа)</f>
        <v>0</v>
      </c>
      <c r="AK117" s="1741"/>
      <c r="AL117" s="234"/>
      <c r="AM117" s="234"/>
      <c r="AN117" s="234"/>
      <c r="AO117" s="234"/>
      <c r="AP117" s="234"/>
      <c r="AQ117" s="234"/>
      <c r="AR117" s="234"/>
      <c r="AS117" s="234"/>
      <c r="AT117" s="234"/>
    </row>
    <row r="118" spans="2:46" s="42" customFormat="1" x14ac:dyDescent="0.3">
      <c r="B118" s="236">
        <f t="shared" si="7"/>
        <v>9</v>
      </c>
      <c r="C118" s="111">
        <f>IFERROR(MATCH(BPLS[[#This Row],[ВидПрактика]],T_Практики[Практика и курсова работа],0),0)</f>
        <v>0</v>
      </c>
      <c r="D118" s="111" t="str" cm="1">
        <f t="array" ref="D118">IF(BPLS[[#This Row],[пВидПрактика]],INDEX(T_УчПрактики[Студенти],BPLS[[#This Row],[пВидПрактика]]),"-")</f>
        <v>-</v>
      </c>
      <c r="E118" s="111" t="str" cm="1">
        <f t="array" ref="E118">IF(BPLS[[#This Row],[пВидПрактика]],INDEX(T_УчПрактики[Група],BPLS[[#This Row],[пВидПрактика]])*2,"-")</f>
        <v>-</v>
      </c>
      <c r="F118" s="358" t="str" cm="1">
        <f t="array" ref="F118">IF(BPLS[[#This Row],[пВидПрактика]],INDEX(T_УчПрактики[Ден],BPLS[[#This Row],[пВидПрактика]])*4,"-")</f>
        <v>-</v>
      </c>
      <c r="G118" s="111">
        <f>IFERROR(AND(BPLS[[#This Row],[ТО]]&lt;&gt;0,BPLS[[#This Row],[ФормаОб]]=0)*1,0)</f>
        <v>0</v>
      </c>
      <c r="H118" s="110">
        <f>IFERROR(AND(BPLS[[#This Row],[Изпитани]]&lt;&gt;0,LEN(BPLS[[#This Row],[Изпитващ]])=0)*1,0)</f>
        <v>0</v>
      </c>
      <c r="I118" s="111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8" s="666">
        <f>IFERROR(VLOOKUP(BPLS[[#This Row],[ФормаОб]],тТО[[обФорма]:[Коеф.]],2,0),0)</f>
        <v>0</v>
      </c>
      <c r="K118" s="413" cm="1">
        <f t="array" ref="K118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8" s="360">
        <f>N(BPLS[[#This Row],[Изпитани]])*BPLS[[#This Row],[кИзпитващ]]</f>
        <v>0</v>
      </c>
      <c r="M118" s="1410">
        <f>N(BPLS[[#This Row],[ТО]])*BPLS[[#This Row],[кTO]]</f>
        <v>0</v>
      </c>
      <c r="N118" s="1477"/>
      <c r="O118" s="583"/>
      <c r="P118" s="597"/>
      <c r="Q118" s="596"/>
      <c r="R118" s="596"/>
      <c r="S118" s="596"/>
      <c r="T118" s="1188"/>
      <c r="U118" s="600"/>
      <c r="V118" s="537"/>
      <c r="W118" s="535"/>
      <c r="X118" s="596"/>
      <c r="Y118" s="603"/>
      <c r="Z118" s="269"/>
      <c r="AA118" s="270"/>
      <c r="AB118" s="271"/>
      <c r="AC118" s="1404"/>
      <c r="AD118" s="1403"/>
      <c r="AE118" s="1403"/>
      <c r="AF118" s="1403"/>
      <c r="AG118" s="1403"/>
      <c r="AH118" s="1144">
        <f ca="1">N(OFFSET(BPLS[[#This Row],[|]],-1,0))+1</f>
        <v>9</v>
      </c>
      <c r="AI118" s="1643" t="str">
        <f>IF(BPLS[[#This Row],[уЧасове]],BPLS[[#This Row],[нацид|монСпециалностМП]],"")</f>
        <v/>
      </c>
      <c r="AJ118" s="1644">
        <f>SUM(BPLS[[#This Row],[чПрактика]:[чTO]],N(BPLS[[#This Row],[КР]])*кКурсова_работа)</f>
        <v>0</v>
      </c>
      <c r="AK118" s="1741"/>
      <c r="AL118" s="234"/>
      <c r="AM118" s="234"/>
      <c r="AN118" s="234"/>
      <c r="AO118" s="234"/>
      <c r="AP118" s="234"/>
      <c r="AQ118" s="234"/>
      <c r="AR118" s="234"/>
      <c r="AS118" s="234"/>
      <c r="AT118" s="234"/>
    </row>
    <row r="119" spans="2:46" s="42" customFormat="1" ht="17.25" thickBot="1" x14ac:dyDescent="0.35">
      <c r="B119" s="236">
        <f t="shared" si="7"/>
        <v>10</v>
      </c>
      <c r="C119" s="260">
        <f>IFERROR(MATCH(BPLS[[#This Row],[ВидПрактика]],T_Практики[Практика и курсова работа],0),0)</f>
        <v>0</v>
      </c>
      <c r="D119" s="260" t="str" cm="1">
        <f t="array" ref="D119">IF(BPLS[[#This Row],[пВидПрактика]],INDEX(T_УчПрактики[Студенти],BPLS[[#This Row],[пВидПрактика]]),"-")</f>
        <v>-</v>
      </c>
      <c r="E119" s="260" t="str" cm="1">
        <f t="array" ref="E119">IF(BPLS[[#This Row],[пВидПрактика]],INDEX(T_УчПрактики[Група],BPLS[[#This Row],[пВидПрактика]])*2,"-")</f>
        <v>-</v>
      </c>
      <c r="F119" s="359" t="str" cm="1">
        <f t="array" ref="F119">IF(BPLS[[#This Row],[пВидПрактика]],INDEX(T_УчПрактики[Ден],BPLS[[#This Row],[пВидПрактика]])*4,"-")</f>
        <v>-</v>
      </c>
      <c r="G119" s="260">
        <f>IFERROR(AND(BPLS[[#This Row],[ТО]]&lt;&gt;0,BPLS[[#This Row],[ФормаОб]]=0)*1,0)</f>
        <v>0</v>
      </c>
      <c r="H119" s="261">
        <f>IFERROR(AND(BPLS[[#This Row],[Изпитани]]&lt;&gt;0,LEN(BPLS[[#This Row],[Изпитващ]])=0)*1,0)</f>
        <v>0</v>
      </c>
      <c r="I119" s="260">
        <f>IFERROR(IF(AND(COUNTIF(nФакултетОтчет,"*математика*"),BPLS[[#This Row],[ФормаОц]]="КИ"),0.9,IF(T(BPLS[[#This Row],[Изпитващ]])="",0,VLOOKUP(BPLS[[#This Row],[Изпитващ]],ТвидИзпитващ[[видИзпитващ]:[Коеф.]],2,0))),0)</f>
        <v>0</v>
      </c>
      <c r="J119" s="667">
        <f>IFERROR(VLOOKUP(BPLS[[#This Row],[ФормаОб]],тТО[[обФорма]:[Коеф.]],2,0),0)</f>
        <v>0</v>
      </c>
      <c r="K119" s="414" cm="1">
        <f t="array" ref="K119">IFERROR(IF(BPLS[[#This Row],[пВидПрактика]]&gt;0,INDEX(T_УчПрактики[Час],BPLS[[#This Row],[пВидПрактика]])*CHOOSE(SUM(BPLS[[#This Row],[уфСтуденти]:[уфДен]])+1,0,0,N(BPLS[[#This Row],[Група]]),,N(BPLS[[#This Row],[Ден]]),N(BPLS[[#This Row],[Студенти]])*N(BPLS[[#This Row],[Ден]]),N(BPLS[[#This Row],[Група]])*N(BPLS[[#This Row],[Ден]])),0),0)</f>
        <v>0</v>
      </c>
      <c r="L119" s="361">
        <f>N(BPLS[[#This Row],[Изпитани]])*BPLS[[#This Row],[кИзпитващ]]</f>
        <v>0</v>
      </c>
      <c r="M119" s="1411">
        <f>N(BPLS[[#This Row],[ТО]])*BPLS[[#This Row],[кTO]]</f>
        <v>0</v>
      </c>
      <c r="N119" s="1478"/>
      <c r="O119" s="598"/>
      <c r="P119" s="599"/>
      <c r="Q119" s="604"/>
      <c r="R119" s="604"/>
      <c r="S119" s="604"/>
      <c r="T119" s="1189"/>
      <c r="U119" s="601"/>
      <c r="V119" s="1479"/>
      <c r="W119" s="536"/>
      <c r="X119" s="604"/>
      <c r="Y119" s="605"/>
      <c r="Z119" s="430"/>
      <c r="AA119" s="431"/>
      <c r="AB119" s="432"/>
      <c r="AC119" s="1404"/>
      <c r="AD119" s="1403"/>
      <c r="AE119" s="1403"/>
      <c r="AF119" s="1403"/>
      <c r="AG119" s="1403"/>
      <c r="AH119" s="1145">
        <f ca="1">N(OFFSET(BPLS[[#This Row],[|]],-1,0))+1</f>
        <v>10</v>
      </c>
      <c r="AI119" s="1643" t="str">
        <f>IF(BPLS[[#This Row],[уЧасове]],BPLS[[#This Row],[нацид|монСпециалностМП]],"")</f>
        <v/>
      </c>
      <c r="AJ119" s="1644">
        <f>SUM(BPLS[[#This Row],[чПрактика]:[чTO]],N(BPLS[[#This Row],[КР]])*кКурсова_работа)</f>
        <v>0</v>
      </c>
      <c r="AK119" s="1741"/>
      <c r="AL119" s="234"/>
      <c r="AM119" s="234"/>
      <c r="AN119" s="234"/>
      <c r="AO119" s="234"/>
      <c r="AP119" s="234"/>
      <c r="AQ119" s="234"/>
      <c r="AR119" s="234"/>
      <c r="AS119" s="234"/>
      <c r="AT119" s="234"/>
    </row>
    <row r="120" spans="2:46" s="49" customFormat="1" ht="9.9499999999999993" customHeight="1" x14ac:dyDescent="0.25">
      <c r="B120" s="106" t="s">
        <v>412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AC120" s="1754"/>
      <c r="AD120" s="1754"/>
      <c r="AE120" s="1754"/>
      <c r="AF120" s="1754"/>
      <c r="AG120" s="1754"/>
      <c r="AH120" s="1754"/>
      <c r="AI120" s="1754"/>
      <c r="AJ120" s="1754"/>
      <c r="AK120" s="1754"/>
      <c r="AL120" s="1754"/>
      <c r="AM120" s="1754"/>
      <c r="AN120" s="1754"/>
      <c r="AO120" s="1754"/>
      <c r="AP120" s="1754"/>
      <c r="AQ120" s="1754"/>
      <c r="AR120" s="1754"/>
      <c r="AS120" s="1754"/>
      <c r="AT120" s="1754"/>
    </row>
    <row r="121" spans="2:46" ht="26.25" thickBot="1" x14ac:dyDescent="0.35">
      <c r="B121" s="176" t="s">
        <v>415</v>
      </c>
      <c r="M121" s="99" t="str">
        <f>IF($M$79,3,"2.3")</f>
        <v>2.3</v>
      </c>
      <c r="N121" s="2577" t="str">
        <f>M121&amp;". ОКС ""бакалавър"" и ""магистър"" след средно образование – дипломиране – ЛЕТЕН семестър"</f>
        <v>2.3. ОКС "бакалавър" и "магистър" след средно образование – дипломиране – ЛЕТЕН семестър</v>
      </c>
      <c r="O121" s="2578"/>
      <c r="P121" s="2578"/>
      <c r="Q121" s="2578"/>
      <c r="R121" s="2578"/>
      <c r="S121" s="2579"/>
      <c r="AI121" s="1741"/>
    </row>
    <row r="122" spans="2:46" ht="21" thickBot="1" x14ac:dyDescent="0.35">
      <c r="B122" s="106" t="s">
        <v>413</v>
      </c>
      <c r="N122" s="2658" t="s">
        <v>17</v>
      </c>
      <c r="O122" s="2591" t="s">
        <v>18</v>
      </c>
      <c r="P122" s="2575" t="s">
        <v>562</v>
      </c>
      <c r="Q122" s="2648" t="s">
        <v>332</v>
      </c>
      <c r="R122" s="2649"/>
      <c r="S122" s="2650"/>
      <c r="AI122" s="1741"/>
    </row>
    <row r="123" spans="2:46" s="46" customFormat="1" ht="29.25" customHeight="1" thickBot="1" x14ac:dyDescent="0.35">
      <c r="B123" s="106" t="s">
        <v>414</v>
      </c>
      <c r="H123" s="2572" t="s">
        <v>310</v>
      </c>
      <c r="I123" s="2573"/>
      <c r="J123" s="2573"/>
      <c r="K123" s="2569" t="s">
        <v>336</v>
      </c>
      <c r="L123" s="2570"/>
      <c r="M123" s="2571"/>
      <c r="N123" s="2659"/>
      <c r="O123" s="2660"/>
      <c r="P123" s="2576"/>
      <c r="Q123" s="224" t="s">
        <v>392</v>
      </c>
      <c r="R123" s="225" t="s">
        <v>393</v>
      </c>
      <c r="S123" s="226" t="s">
        <v>394</v>
      </c>
      <c r="AC123" s="1755"/>
      <c r="AD123" s="1755"/>
      <c r="AE123" s="1755"/>
      <c r="AF123" s="2564" t="s">
        <v>1000</v>
      </c>
      <c r="AG123" s="2565"/>
      <c r="AH123" s="2564" t="s">
        <v>9528</v>
      </c>
      <c r="AI123" s="2568"/>
      <c r="AJ123" s="2565"/>
      <c r="AK123" s="1755"/>
      <c r="AL123" s="1755"/>
      <c r="AM123" s="1755"/>
      <c r="AN123" s="1755"/>
      <c r="AO123" s="1755"/>
      <c r="AP123" s="1755"/>
      <c r="AQ123" s="1755"/>
      <c r="AR123" s="1755"/>
      <c r="AS123" s="1755"/>
      <c r="AT123" s="1755"/>
    </row>
    <row r="124" spans="2:46" ht="21" hidden="1" thickBot="1" x14ac:dyDescent="0.35">
      <c r="B124" s="106" t="s">
        <v>419</v>
      </c>
      <c r="H124" s="415" t="s">
        <v>7825</v>
      </c>
      <c r="I124" s="416" t="s">
        <v>7826</v>
      </c>
      <c r="J124" s="417" t="s">
        <v>7827</v>
      </c>
      <c r="K124" s="962" t="s">
        <v>995</v>
      </c>
      <c r="L124" s="960" t="s">
        <v>7823</v>
      </c>
      <c r="M124" s="1639" t="s">
        <v>7824</v>
      </c>
      <c r="N124" s="1928" t="s">
        <v>17</v>
      </c>
      <c r="O124" s="1571" t="s">
        <v>18</v>
      </c>
      <c r="P124" s="1573" t="s">
        <v>620</v>
      </c>
      <c r="Q124" s="109" t="s">
        <v>358</v>
      </c>
      <c r="R124" s="109" t="s">
        <v>393</v>
      </c>
      <c r="S124" s="1574" t="s">
        <v>619</v>
      </c>
      <c r="AF124" s="1763" t="s">
        <v>12873</v>
      </c>
      <c r="AG124" s="1764" t="s">
        <v>7735</v>
      </c>
      <c r="AH124" s="1748" t="s">
        <v>1092</v>
      </c>
      <c r="AI124" s="1756" t="s">
        <v>7736</v>
      </c>
      <c r="AJ124" s="1750" t="s">
        <v>7828</v>
      </c>
    </row>
    <row r="125" spans="2:46" s="42" customFormat="1" x14ac:dyDescent="0.3">
      <c r="B125" s="236">
        <f>N(B124)+1</f>
        <v>1</v>
      </c>
      <c r="H125" s="1902">
        <f t="shared" ref="H125:H132" si="8">кДипломна_работа</f>
        <v>30</v>
      </c>
      <c r="I125" s="1902">
        <f t="shared" ref="I125:I132" si="9">кРецензия</f>
        <v>5</v>
      </c>
      <c r="J125" s="1902">
        <f>кДИ_защита</f>
        <v>0.8</v>
      </c>
      <c r="K125" s="1896">
        <f>BDiplomiraneLS[[#This Row],[кДР]]*N(BDiplomiraneLS[[#This Row],[ДР]])</f>
        <v>0</v>
      </c>
      <c r="L125" s="1897">
        <f>BDiplomiraneLS[[#This Row],[кРецензии]]*N(BDiplomiraneLS[[#This Row],[Рецензии]])</f>
        <v>0</v>
      </c>
      <c r="M125" s="1898">
        <f>BDiplomiraneLS[[#This Row],[кИ/ДИ/З]]*N(BDiplomiraneLS[[#This Row],[И/ДИ/З]])</f>
        <v>0</v>
      </c>
      <c r="N125" s="583"/>
      <c r="O125" s="1572"/>
      <c r="P125" s="1372"/>
      <c r="Q125" s="1371"/>
      <c r="R125" s="1371"/>
      <c r="S125" s="1642"/>
      <c r="AC125" s="234"/>
      <c r="AD125" s="234"/>
      <c r="AE125" s="234"/>
      <c r="AF125" s="1893" t="str">
        <f>"*"&amp;BDiplomiraneLS[[#This Row],[Специалност]]&amp;"*\"&amp;BDiplomiraneLS[[#This Row],[Факултет]]&amp;"\б"&amp;LEFT(BDiplomiraneLS[[#This Row],[ФормаОб]],1)</f>
        <v>**\\б</v>
      </c>
      <c r="AG125" s="1893" t="str">
        <f>IFERROR(VLOOKUP(BDiplomiraneLS1[[#This Row],[СпециалностМП]],EducPlans_кодНАЦИД_Спец[[кодСпецДР]:[кодНАЦИД]],3,0),"")</f>
        <v/>
      </c>
      <c r="AH125" s="1690">
        <f ca="1">N(OFFSET(BDiplomiraneLS1[[#This Row],[|]],-1,0))+1</f>
        <v>1</v>
      </c>
      <c r="AI125" s="1693" t="str">
        <f>IF(BDiplomiraneLS1[[#This Row],[уЧасове]],BDiplomiraneLS1[[#This Row],[нацид|монСпециалностМП]],"")</f>
        <v/>
      </c>
      <c r="AJ125" s="1692">
        <f>SUM(BDiplomiraneLS[[#This Row],[чДР]:[чИ/ДИ/З]])</f>
        <v>0</v>
      </c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</row>
    <row r="126" spans="2:46" s="42" customFormat="1" x14ac:dyDescent="0.3">
      <c r="B126" s="236">
        <f t="shared" ref="B126:B132" si="10">N(B125)+1</f>
        <v>2</v>
      </c>
      <c r="H126" s="1902">
        <f t="shared" si="8"/>
        <v>30</v>
      </c>
      <c r="I126" s="1902">
        <f t="shared" si="9"/>
        <v>5</v>
      </c>
      <c r="J126" s="1902">
        <f>VLOOKUP("ДИ/*",ТкрДРрецДИ[[КР_ДР_Рец_ДИ]:[коеф]],2,0)</f>
        <v>0.8</v>
      </c>
      <c r="K126" s="1896">
        <f>BDiplomiraneLS[[#This Row],[кДР]]*N(BDiplomiraneLS[[#This Row],[ДР]])</f>
        <v>0</v>
      </c>
      <c r="L126" s="1897">
        <f>BDiplomiraneLS[[#This Row],[кРецензии]]*N(BDiplomiraneLS[[#This Row],[Рецензии]])</f>
        <v>0</v>
      </c>
      <c r="M126" s="1898">
        <f>BDiplomiraneLS[[#This Row],[кИ/ДИ/З]]*N(BDiplomiraneLS[[#This Row],[И/ДИ/З]])</f>
        <v>0</v>
      </c>
      <c r="N126" s="583"/>
      <c r="O126" s="1572"/>
      <c r="P126" s="1372"/>
      <c r="Q126" s="1371"/>
      <c r="R126" s="1371"/>
      <c r="S126" s="1642"/>
      <c r="AC126" s="234"/>
      <c r="AD126" s="234"/>
      <c r="AE126" s="234"/>
      <c r="AF126" s="1893" t="str">
        <f>"*"&amp;BDiplomiraneLS[[#This Row],[Специалност]]&amp;"*\"&amp;BDiplomiraneLS[[#This Row],[Факултет]]&amp;"\б"&amp;LEFT(BDiplomiraneLS[[#This Row],[ФормаОб]],1)</f>
        <v>**\\б</v>
      </c>
      <c r="AG126" s="1893" t="str">
        <f>IFERROR(VLOOKUP(BDiplomiraneLS1[[#This Row],[СпециалностМП]],EducPlans_кодНАЦИД_Спец[[кодСпецДР]:[кодНАЦИД]],3,0),"")</f>
        <v/>
      </c>
      <c r="AH126" s="1690">
        <f ca="1">N(OFFSET(BDiplomiraneLS1[[#This Row],[|]],-1,0))+1</f>
        <v>2</v>
      </c>
      <c r="AI126" s="1693" t="str">
        <f>IF(BDiplomiraneLS1[[#This Row],[уЧасове]],BDiplomiraneLS1[[#This Row],[нацид|монСпециалностМП]],"")</f>
        <v/>
      </c>
      <c r="AJ126" s="1692">
        <f>SUM(BDiplomiraneLS[[#This Row],[чДР]:[чИ/ДИ/З]])</f>
        <v>0</v>
      </c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</row>
    <row r="127" spans="2:46" s="42" customFormat="1" x14ac:dyDescent="0.3">
      <c r="B127" s="236">
        <f t="shared" si="10"/>
        <v>3</v>
      </c>
      <c r="H127" s="1902">
        <f t="shared" si="8"/>
        <v>30</v>
      </c>
      <c r="I127" s="1902">
        <f t="shared" si="9"/>
        <v>5</v>
      </c>
      <c r="J127" s="1902">
        <f>VLOOKUP("ДИ/*",ТкрДРрецДИ[[КР_ДР_Рец_ДИ]:[коеф]],2,0)</f>
        <v>0.8</v>
      </c>
      <c r="K127" s="1896">
        <f>BDiplomiraneLS[[#This Row],[кДР]]*N(BDiplomiraneLS[[#This Row],[ДР]])</f>
        <v>0</v>
      </c>
      <c r="L127" s="1897">
        <f>BDiplomiraneLS[[#This Row],[кРецензии]]*N(BDiplomiraneLS[[#This Row],[Рецензии]])</f>
        <v>0</v>
      </c>
      <c r="M127" s="1898">
        <f>BDiplomiraneLS[[#This Row],[кИ/ДИ/З]]*N(BDiplomiraneLS[[#This Row],[И/ДИ/З]])</f>
        <v>0</v>
      </c>
      <c r="N127" s="583"/>
      <c r="O127" s="1572"/>
      <c r="P127" s="1372"/>
      <c r="Q127" s="1268"/>
      <c r="R127" s="1268"/>
      <c r="S127" s="1642"/>
      <c r="AC127" s="234"/>
      <c r="AD127" s="234"/>
      <c r="AE127" s="234"/>
      <c r="AF127" s="1893" t="str">
        <f>"*"&amp;BDiplomiraneLS[[#This Row],[Специалност]]&amp;"*\"&amp;BDiplomiraneLS[[#This Row],[Факултет]]&amp;"\б"&amp;LEFT(BDiplomiraneLS[[#This Row],[ФормаОб]],1)</f>
        <v>**\\б</v>
      </c>
      <c r="AG127" s="1893" t="str">
        <f>IFERROR(VLOOKUP(BDiplomiraneLS1[[#This Row],[СпециалностМП]],EducPlans_кодНАЦИД_Спец[[кодСпецДР]:[кодНАЦИД]],3,0),"")</f>
        <v/>
      </c>
      <c r="AH127" s="1690">
        <f ca="1">N(OFFSET(BDiplomiraneLS1[[#This Row],[|]],-1,0))+1</f>
        <v>3</v>
      </c>
      <c r="AI127" s="1693" t="str">
        <f>IF(BDiplomiraneLS1[[#This Row],[уЧасове]],BDiplomiraneLS1[[#This Row],[нацид|монСпециалностМП]],"")</f>
        <v/>
      </c>
      <c r="AJ127" s="1692">
        <f>SUM(BDiplomiraneLS[[#This Row],[чДР]:[чИ/ДИ/З]])</f>
        <v>0</v>
      </c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</row>
    <row r="128" spans="2:46" s="42" customFormat="1" x14ac:dyDescent="0.3">
      <c r="B128" s="236">
        <f t="shared" si="10"/>
        <v>4</v>
      </c>
      <c r="H128" s="1902">
        <f t="shared" si="8"/>
        <v>30</v>
      </c>
      <c r="I128" s="1902">
        <f t="shared" si="9"/>
        <v>5</v>
      </c>
      <c r="J128" s="1902">
        <f>VLOOKUP("ДИ/*",ТкрДРрецДИ[[КР_ДР_Рец_ДИ]:[коеф]],2,0)</f>
        <v>0.8</v>
      </c>
      <c r="K128" s="1896">
        <f>BDiplomiraneLS[[#This Row],[кДР]]*N(BDiplomiraneLS[[#This Row],[ДР]])</f>
        <v>0</v>
      </c>
      <c r="L128" s="1897">
        <f>BDiplomiraneLS[[#This Row],[кРецензии]]*N(BDiplomiraneLS[[#This Row],[Рецензии]])</f>
        <v>0</v>
      </c>
      <c r="M128" s="1898">
        <f>BDiplomiraneLS[[#This Row],[кИ/ДИ/З]]*N(BDiplomiraneLS[[#This Row],[И/ДИ/З]])</f>
        <v>0</v>
      </c>
      <c r="N128" s="583"/>
      <c r="O128" s="1572"/>
      <c r="P128" s="1372"/>
      <c r="Q128" s="1268"/>
      <c r="R128" s="1268"/>
      <c r="S128" s="1642"/>
      <c r="AC128" s="234"/>
      <c r="AD128" s="234"/>
      <c r="AE128" s="234"/>
      <c r="AF128" s="1893" t="str">
        <f>"*"&amp;BDiplomiraneLS[[#This Row],[Специалност]]&amp;"*\"&amp;BDiplomiraneLS[[#This Row],[Факултет]]&amp;"\б"&amp;LEFT(BDiplomiraneLS[[#This Row],[ФормаОб]],1)</f>
        <v>**\\б</v>
      </c>
      <c r="AG128" s="1893" t="str">
        <f>IFERROR(VLOOKUP(BDiplomiraneLS1[[#This Row],[СпециалностМП]],EducPlans_кодНАЦИД_Спец[[кодСпецДР]:[кодНАЦИД]],3,0),"")</f>
        <v/>
      </c>
      <c r="AH128" s="1690">
        <f ca="1">N(OFFSET(BDiplomiraneLS1[[#This Row],[|]],-1,0))+1</f>
        <v>4</v>
      </c>
      <c r="AI128" s="1693" t="str">
        <f>IF(BDiplomiraneLS1[[#This Row],[уЧасове]],BDiplomiraneLS1[[#This Row],[нацид|монСпециалностМП]],"")</f>
        <v/>
      </c>
      <c r="AJ128" s="1692">
        <f>SUM(BDiplomiraneLS[[#This Row],[чДР]:[чИ/ДИ/З]])</f>
        <v>0</v>
      </c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</row>
    <row r="129" spans="2:46" s="42" customFormat="1" x14ac:dyDescent="0.3">
      <c r="B129" s="236">
        <f t="shared" si="10"/>
        <v>5</v>
      </c>
      <c r="H129" s="1902">
        <f t="shared" si="8"/>
        <v>30</v>
      </c>
      <c r="I129" s="1902">
        <f t="shared" si="9"/>
        <v>5</v>
      </c>
      <c r="J129" s="1902">
        <f>VLOOKUP("ДИ/*",ТкрДРрецДИ[[КР_ДР_Рец_ДИ]:[коеф]],2,0)</f>
        <v>0.8</v>
      </c>
      <c r="K129" s="1896">
        <f>BDiplomiraneLS[[#This Row],[кДР]]*N(BDiplomiraneLS[[#This Row],[ДР]])</f>
        <v>0</v>
      </c>
      <c r="L129" s="1897">
        <f>BDiplomiraneLS[[#This Row],[кРецензии]]*N(BDiplomiraneLS[[#This Row],[Рецензии]])</f>
        <v>0</v>
      </c>
      <c r="M129" s="1898">
        <f>BDiplomiraneLS[[#This Row],[кИ/ДИ/З]]*N(BDiplomiraneLS[[#This Row],[И/ДИ/З]])</f>
        <v>0</v>
      </c>
      <c r="N129" s="583"/>
      <c r="O129" s="1572"/>
      <c r="P129" s="1372"/>
      <c r="Q129" s="1268"/>
      <c r="R129" s="1268"/>
      <c r="S129" s="1642"/>
      <c r="AC129" s="234"/>
      <c r="AD129" s="234"/>
      <c r="AE129" s="234"/>
      <c r="AF129" s="1893" t="str">
        <f>"*"&amp;BDiplomiraneLS[[#This Row],[Специалност]]&amp;"*\"&amp;BDiplomiraneLS[[#This Row],[Факултет]]&amp;"\б"&amp;LEFT(BDiplomiraneLS[[#This Row],[ФормаОб]],1)</f>
        <v>**\\б</v>
      </c>
      <c r="AG129" s="1893" t="str">
        <f>IFERROR(VLOOKUP(BDiplomiraneLS1[[#This Row],[СпециалностМП]],EducPlans_кодНАЦИД_Спец[[кодСпецДР]:[кодНАЦИД]],3,0),"")</f>
        <v/>
      </c>
      <c r="AH129" s="1690">
        <f ca="1">N(OFFSET(BDiplomiraneLS1[[#This Row],[|]],-1,0))+1</f>
        <v>5</v>
      </c>
      <c r="AI129" s="1693" t="str">
        <f>IF(BDiplomiraneLS1[[#This Row],[уЧасове]],BDiplomiraneLS1[[#This Row],[нацид|монСпециалностМП]],"")</f>
        <v/>
      </c>
      <c r="AJ129" s="1692">
        <f>SUM(BDiplomiraneLS[[#This Row],[чДР]:[чИ/ДИ/З]])</f>
        <v>0</v>
      </c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</row>
    <row r="130" spans="2:46" s="42" customFormat="1" x14ac:dyDescent="0.3">
      <c r="B130" s="236">
        <f t="shared" si="10"/>
        <v>6</v>
      </c>
      <c r="H130" s="1902">
        <f t="shared" si="8"/>
        <v>30</v>
      </c>
      <c r="I130" s="1902">
        <f t="shared" si="9"/>
        <v>5</v>
      </c>
      <c r="J130" s="1902">
        <f>VLOOKUP("ДИ/*",ТкрДРрецДИ[[КР_ДР_Рец_ДИ]:[коеф]],2,0)</f>
        <v>0.8</v>
      </c>
      <c r="K130" s="1896">
        <f>BDiplomiraneLS[[#This Row],[кДР]]*N(BDiplomiraneLS[[#This Row],[ДР]])</f>
        <v>0</v>
      </c>
      <c r="L130" s="1897">
        <f>BDiplomiraneLS[[#This Row],[кРецензии]]*N(BDiplomiraneLS[[#This Row],[Рецензии]])</f>
        <v>0</v>
      </c>
      <c r="M130" s="1898">
        <f>BDiplomiraneLS[[#This Row],[кИ/ДИ/З]]*N(BDiplomiraneLS[[#This Row],[И/ДИ/З]])</f>
        <v>0</v>
      </c>
      <c r="N130" s="583"/>
      <c r="O130" s="1572"/>
      <c r="P130" s="1372"/>
      <c r="Q130" s="1268"/>
      <c r="R130" s="1268"/>
      <c r="S130" s="1642"/>
      <c r="AC130" s="234"/>
      <c r="AD130" s="234"/>
      <c r="AE130" s="234"/>
      <c r="AF130" s="1893" t="str">
        <f>"*"&amp;BDiplomiraneLS[[#This Row],[Специалност]]&amp;"*\"&amp;BDiplomiraneLS[[#This Row],[Факултет]]&amp;"\б"&amp;LEFT(BDiplomiraneLS[[#This Row],[ФормаОб]],1)</f>
        <v>**\\б</v>
      </c>
      <c r="AG130" s="1893" t="str">
        <f>IFERROR(VLOOKUP(BDiplomiraneLS1[[#This Row],[СпециалностМП]],EducPlans_кодНАЦИД_Спец[[кодСпецДР]:[кодНАЦИД]],3,0),"")</f>
        <v/>
      </c>
      <c r="AH130" s="1690">
        <f ca="1">N(OFFSET(BDiplomiraneLS1[[#This Row],[|]],-1,0))+1</f>
        <v>6</v>
      </c>
      <c r="AI130" s="1693" t="str">
        <f>IF(BDiplomiraneLS1[[#This Row],[уЧасове]],BDiplomiraneLS1[[#This Row],[нацид|монСпециалностМП]],"")</f>
        <v/>
      </c>
      <c r="AJ130" s="1692">
        <f>SUM(BDiplomiraneLS[[#This Row],[чДР]:[чИ/ДИ/З]])</f>
        <v>0</v>
      </c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</row>
    <row r="131" spans="2:46" s="42" customFormat="1" x14ac:dyDescent="0.3">
      <c r="B131" s="236">
        <f t="shared" si="10"/>
        <v>7</v>
      </c>
      <c r="H131" s="1902">
        <f t="shared" si="8"/>
        <v>30</v>
      </c>
      <c r="I131" s="1902">
        <f t="shared" si="9"/>
        <v>5</v>
      </c>
      <c r="J131" s="1902">
        <f>VLOOKUP("ДИ/*",ТкрДРрецДИ[[КР_ДР_Рец_ДИ]:[коеф]],2,0)</f>
        <v>0.8</v>
      </c>
      <c r="K131" s="1896">
        <f>BDiplomiraneLS[[#This Row],[кДР]]*N(BDiplomiraneLS[[#This Row],[ДР]])</f>
        <v>0</v>
      </c>
      <c r="L131" s="1897">
        <f>BDiplomiraneLS[[#This Row],[кРецензии]]*N(BDiplomiraneLS[[#This Row],[Рецензии]])</f>
        <v>0</v>
      </c>
      <c r="M131" s="1898">
        <f>BDiplomiraneLS[[#This Row],[кИ/ДИ/З]]*N(BDiplomiraneLS[[#This Row],[И/ДИ/З]])</f>
        <v>0</v>
      </c>
      <c r="N131" s="583"/>
      <c r="O131" s="1572"/>
      <c r="P131" s="1372"/>
      <c r="Q131" s="1268"/>
      <c r="R131" s="1268"/>
      <c r="S131" s="1642"/>
      <c r="AC131" s="234"/>
      <c r="AD131" s="234"/>
      <c r="AE131" s="234"/>
      <c r="AF131" s="1893" t="str">
        <f>"*"&amp;BDiplomiraneLS[[#This Row],[Специалност]]&amp;"*\"&amp;BDiplomiraneLS[[#This Row],[Факултет]]&amp;"\б"&amp;LEFT(BDiplomiraneLS[[#This Row],[ФормаОб]],1)</f>
        <v>**\\б</v>
      </c>
      <c r="AG131" s="1893" t="str">
        <f>IFERROR(VLOOKUP(BDiplomiraneLS1[[#This Row],[СпециалностМП]],EducPlans_кодНАЦИД_Спец[[кодСпецДР]:[кодНАЦИД]],3,0),"")</f>
        <v/>
      </c>
      <c r="AH131" s="1690">
        <f ca="1">N(OFFSET(BDiplomiraneLS1[[#This Row],[|]],-1,0))+1</f>
        <v>7</v>
      </c>
      <c r="AI131" s="1693" t="str">
        <f>IF(BDiplomiraneLS1[[#This Row],[уЧасове]],BDiplomiraneLS1[[#This Row],[нацид|монСпециалностМП]],"")</f>
        <v/>
      </c>
      <c r="AJ131" s="1692">
        <f>SUM(BDiplomiraneLS[[#This Row],[чДР]:[чИ/ДИ/З]])</f>
        <v>0</v>
      </c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</row>
    <row r="132" spans="2:46" s="42" customFormat="1" ht="17.25" thickBot="1" x14ac:dyDescent="0.35">
      <c r="B132" s="236">
        <f t="shared" si="10"/>
        <v>8</v>
      </c>
      <c r="H132" s="1902">
        <f t="shared" si="8"/>
        <v>30</v>
      </c>
      <c r="I132" s="1902">
        <f t="shared" si="9"/>
        <v>5</v>
      </c>
      <c r="J132" s="1902">
        <f>VLOOKUP("ДИ/*",ТкрДРрецДИ[[КР_ДР_Рец_ДИ]:[коеф]],2,0)</f>
        <v>0.8</v>
      </c>
      <c r="K132" s="1899">
        <f>BDiplomiraneLS[[#This Row],[кДР]]*N(BDiplomiraneLS[[#This Row],[ДР]])</f>
        <v>0</v>
      </c>
      <c r="L132" s="1900">
        <f>BDiplomiraneLS[[#This Row],[кРецензии]]*N(BDiplomiraneLS[[#This Row],[Рецензии]])</f>
        <v>0</v>
      </c>
      <c r="M132" s="1901">
        <f>BDiplomiraneLS[[#This Row],[кИ/ДИ/З]]*N(BDiplomiraneLS[[#This Row],[И/ДИ/З]])</f>
        <v>0</v>
      </c>
      <c r="N132" s="583"/>
      <c r="O132" s="1572"/>
      <c r="P132" s="1372"/>
      <c r="Q132" s="1371"/>
      <c r="R132" s="1371"/>
      <c r="S132" s="1642"/>
      <c r="AC132" s="234"/>
      <c r="AD132" s="234"/>
      <c r="AE132" s="234"/>
      <c r="AF132" s="1893" t="str">
        <f>"*"&amp;BDiplomiraneLS[[#This Row],[Специалност]]&amp;"*\"&amp;BDiplomiraneLS[[#This Row],[Факултет]]&amp;"\б"&amp;LEFT(BDiplomiraneLS[[#This Row],[ФормаОб]],1)</f>
        <v>**\\б</v>
      </c>
      <c r="AG132" s="1893" t="str">
        <f>IFERROR(VLOOKUP(BDiplomiraneLS1[[#This Row],[СпециалностМП]],EducPlans_кодНАЦИД_Спец[[кодСпецДР]:[кодНАЦИД]],3,0),"")</f>
        <v/>
      </c>
      <c r="AH132" s="1690">
        <f ca="1">N(OFFSET(BDiplomiraneLS1[[#This Row],[|]],-1,0))+1</f>
        <v>8</v>
      </c>
      <c r="AI132" s="1693" t="str">
        <f>IF(BDiplomiraneLS1[[#This Row],[уЧасове]],BDiplomiraneLS1[[#This Row],[нацид|монСпециалностМП]],"")</f>
        <v/>
      </c>
      <c r="AJ132" s="1692">
        <f>SUM(BDiplomiraneLS[[#This Row],[чДР]:[чИ/ДИ/З]])</f>
        <v>0</v>
      </c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</row>
    <row r="133" spans="2:46" s="49" customFormat="1" ht="9.9499999999999993" hidden="1" customHeight="1" x14ac:dyDescent="0.25">
      <c r="B133" s="106" t="s">
        <v>412</v>
      </c>
      <c r="N133"/>
      <c r="O133"/>
      <c r="P133"/>
      <c r="Q133"/>
      <c r="R133"/>
      <c r="AC133" s="1754"/>
      <c r="AD133" s="1754"/>
      <c r="AE133" s="1754"/>
      <c r="AF133" s="1754"/>
      <c r="AG133" s="1754"/>
      <c r="AH133" s="1754"/>
      <c r="AI133" s="1754"/>
      <c r="AJ133" s="1754"/>
      <c r="AK133" s="1754"/>
      <c r="AL133" s="1754"/>
      <c r="AM133" s="1754"/>
      <c r="AN133" s="1754"/>
      <c r="AO133" s="1754"/>
      <c r="AP133" s="1754"/>
      <c r="AQ133" s="1754"/>
      <c r="AR133" s="1754"/>
      <c r="AS133" s="1754"/>
      <c r="AT133" s="1754"/>
    </row>
    <row r="134" spans="2:46" ht="27" hidden="1" customHeight="1" x14ac:dyDescent="0.3">
      <c r="B134" s="176" t="s">
        <v>415</v>
      </c>
      <c r="M134" s="99">
        <f>IF(OR(M25,M79),4,3)</f>
        <v>3</v>
      </c>
      <c r="N134" s="2594" t="str">
        <f>M134&amp;". Слети четения и четения в поток"</f>
        <v>3. Слети четения и четения в поток</v>
      </c>
      <c r="O134" s="2595"/>
      <c r="P134" s="2595"/>
      <c r="Q134" s="2595"/>
      <c r="R134" s="2595"/>
      <c r="S134" s="2595"/>
      <c r="T134" s="2595"/>
      <c r="U134" s="2595"/>
      <c r="V134" s="2595"/>
      <c r="W134" s="2596"/>
      <c r="X134" s="234"/>
    </row>
    <row r="135" spans="2:46" ht="21" hidden="1" thickBot="1" x14ac:dyDescent="0.35">
      <c r="B135" s="106" t="s">
        <v>471</v>
      </c>
      <c r="N135" s="2672" t="s">
        <v>473</v>
      </c>
      <c r="O135" s="2673"/>
      <c r="P135" s="2673"/>
      <c r="Q135" s="2673"/>
      <c r="R135" s="2673"/>
      <c r="S135" s="2673"/>
      <c r="T135" s="2673"/>
      <c r="U135" s="2673"/>
      <c r="V135" s="2673"/>
      <c r="W135" s="2674"/>
    </row>
    <row r="136" spans="2:46" ht="20.25" hidden="1" x14ac:dyDescent="0.3">
      <c r="B136" s="106" t="s">
        <v>413</v>
      </c>
      <c r="N136" s="2663" t="s">
        <v>16</v>
      </c>
      <c r="O136" s="2665" t="s">
        <v>155</v>
      </c>
      <c r="P136" s="2649" t="s">
        <v>17</v>
      </c>
      <c r="Q136" s="2668" t="s">
        <v>18</v>
      </c>
      <c r="R136" s="2663" t="s">
        <v>19</v>
      </c>
      <c r="S136" s="2665" t="s">
        <v>20</v>
      </c>
      <c r="T136" s="2670" t="s">
        <v>562</v>
      </c>
      <c r="U136" s="2661" t="s">
        <v>395</v>
      </c>
      <c r="V136" s="2662"/>
      <c r="W136" s="2656" t="s">
        <v>135</v>
      </c>
    </row>
    <row r="137" spans="2:46" ht="21" hidden="1" thickBot="1" x14ac:dyDescent="0.35">
      <c r="B137" s="106" t="s">
        <v>414</v>
      </c>
      <c r="N137" s="2664"/>
      <c r="O137" s="2666"/>
      <c r="P137" s="2667"/>
      <c r="Q137" s="2669"/>
      <c r="R137" s="2664"/>
      <c r="S137" s="2666"/>
      <c r="T137" s="2671"/>
      <c r="U137" s="232" t="s">
        <v>396</v>
      </c>
      <c r="V137" s="233" t="s">
        <v>397</v>
      </c>
      <c r="W137" s="2657"/>
    </row>
    <row r="138" spans="2:46" ht="20.25" hidden="1" x14ac:dyDescent="0.3">
      <c r="B138" s="106" t="s">
        <v>419</v>
      </c>
      <c r="N138" s="115" t="s">
        <v>16</v>
      </c>
      <c r="O138" s="109" t="s">
        <v>666</v>
      </c>
      <c r="P138" s="109" t="s">
        <v>17</v>
      </c>
      <c r="Q138" s="112" t="s">
        <v>18</v>
      </c>
      <c r="R138" s="109" t="s">
        <v>19</v>
      </c>
      <c r="S138" s="109" t="s">
        <v>20</v>
      </c>
      <c r="T138" s="109" t="s">
        <v>620</v>
      </c>
      <c r="U138" s="115" t="s">
        <v>396</v>
      </c>
      <c r="V138" s="112" t="s">
        <v>397</v>
      </c>
      <c r="W138" s="109" t="s">
        <v>135</v>
      </c>
    </row>
    <row r="139" spans="2:46" s="42" customFormat="1" hidden="1" x14ac:dyDescent="0.3">
      <c r="B139" s="236">
        <f t="shared" ref="B139:B151" si="11">N(B138)+1</f>
        <v>1</v>
      </c>
      <c r="N139" s="554"/>
      <c r="O139" s="555"/>
      <c r="P139" s="556"/>
      <c r="Q139" s="557"/>
      <c r="R139" s="558"/>
      <c r="S139" s="558"/>
      <c r="T139" s="558"/>
      <c r="U139" s="247"/>
      <c r="V139" s="242"/>
      <c r="W139" s="558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</row>
    <row r="140" spans="2:46" s="42" customFormat="1" hidden="1" x14ac:dyDescent="0.3">
      <c r="B140" s="236">
        <f t="shared" si="11"/>
        <v>2</v>
      </c>
      <c r="N140" s="554"/>
      <c r="O140" s="555"/>
      <c r="P140" s="556"/>
      <c r="Q140" s="557"/>
      <c r="R140" s="558"/>
      <c r="S140" s="558"/>
      <c r="T140" s="558"/>
      <c r="U140" s="247"/>
      <c r="V140" s="242"/>
      <c r="W140" s="558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</row>
    <row r="141" spans="2:46" s="42" customFormat="1" hidden="1" x14ac:dyDescent="0.3">
      <c r="B141" s="236">
        <f t="shared" si="11"/>
        <v>3</v>
      </c>
      <c r="N141" s="554"/>
      <c r="O141" s="555"/>
      <c r="P141" s="556"/>
      <c r="Q141" s="557"/>
      <c r="R141" s="558"/>
      <c r="S141" s="558"/>
      <c r="T141" s="558"/>
      <c r="U141" s="247"/>
      <c r="V141" s="242"/>
      <c r="W141" s="558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</row>
    <row r="142" spans="2:46" s="42" customFormat="1" hidden="1" x14ac:dyDescent="0.3">
      <c r="B142" s="236">
        <f t="shared" si="11"/>
        <v>4</v>
      </c>
      <c r="N142" s="554"/>
      <c r="O142" s="555"/>
      <c r="P142" s="556"/>
      <c r="Q142" s="557"/>
      <c r="R142" s="558"/>
      <c r="S142" s="558"/>
      <c r="T142" s="558"/>
      <c r="U142" s="247"/>
      <c r="V142" s="242"/>
      <c r="W142" s="558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</row>
    <row r="143" spans="2:46" s="42" customFormat="1" hidden="1" x14ac:dyDescent="0.3">
      <c r="B143" s="236">
        <f t="shared" si="11"/>
        <v>5</v>
      </c>
      <c r="N143" s="554"/>
      <c r="O143" s="555"/>
      <c r="P143" s="556"/>
      <c r="Q143" s="557"/>
      <c r="R143" s="558"/>
      <c r="S143" s="558"/>
      <c r="T143" s="558"/>
      <c r="U143" s="247"/>
      <c r="V143" s="242"/>
      <c r="W143" s="558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</row>
    <row r="144" spans="2:46" s="42" customFormat="1" hidden="1" x14ac:dyDescent="0.3">
      <c r="B144" s="236">
        <f t="shared" si="11"/>
        <v>6</v>
      </c>
      <c r="N144" s="554"/>
      <c r="O144" s="555"/>
      <c r="P144" s="556"/>
      <c r="Q144" s="557"/>
      <c r="R144" s="558"/>
      <c r="S144" s="558"/>
      <c r="T144" s="558"/>
      <c r="U144" s="247"/>
      <c r="V144" s="242"/>
      <c r="W144" s="558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</row>
    <row r="145" spans="2:46" s="42" customFormat="1" hidden="1" x14ac:dyDescent="0.3">
      <c r="B145" s="236">
        <f t="shared" si="11"/>
        <v>7</v>
      </c>
      <c r="N145" s="554"/>
      <c r="O145" s="555"/>
      <c r="P145" s="556"/>
      <c r="Q145" s="557"/>
      <c r="R145" s="558"/>
      <c r="S145" s="558"/>
      <c r="T145" s="558"/>
      <c r="U145" s="247"/>
      <c r="V145" s="242"/>
      <c r="W145" s="558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</row>
    <row r="146" spans="2:46" s="42" customFormat="1" hidden="1" x14ac:dyDescent="0.3">
      <c r="B146" s="236">
        <f t="shared" si="11"/>
        <v>8</v>
      </c>
      <c r="N146" s="554"/>
      <c r="O146" s="555"/>
      <c r="P146" s="556"/>
      <c r="Q146" s="557"/>
      <c r="R146" s="558"/>
      <c r="S146" s="558"/>
      <c r="T146" s="558"/>
      <c r="U146" s="247"/>
      <c r="V146" s="242"/>
      <c r="W146" s="558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</row>
    <row r="147" spans="2:46" s="42" customFormat="1" hidden="1" x14ac:dyDescent="0.3">
      <c r="B147" s="236">
        <f t="shared" si="11"/>
        <v>9</v>
      </c>
      <c r="N147" s="554"/>
      <c r="O147" s="555"/>
      <c r="P147" s="556"/>
      <c r="Q147" s="557"/>
      <c r="R147" s="558"/>
      <c r="S147" s="558"/>
      <c r="T147" s="558"/>
      <c r="U147" s="247"/>
      <c r="V147" s="242"/>
      <c r="W147" s="558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</row>
    <row r="148" spans="2:46" s="42" customFormat="1" hidden="1" x14ac:dyDescent="0.3">
      <c r="B148" s="236">
        <f t="shared" si="11"/>
        <v>10</v>
      </c>
      <c r="N148" s="554"/>
      <c r="O148" s="555"/>
      <c r="P148" s="556"/>
      <c r="Q148" s="557"/>
      <c r="R148" s="558"/>
      <c r="S148" s="558"/>
      <c r="T148" s="558"/>
      <c r="U148" s="247"/>
      <c r="V148" s="242"/>
      <c r="W148" s="558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</row>
    <row r="149" spans="2:46" s="42" customFormat="1" hidden="1" x14ac:dyDescent="0.3">
      <c r="B149" s="236">
        <f t="shared" si="11"/>
        <v>11</v>
      </c>
      <c r="N149" s="554"/>
      <c r="O149" s="555"/>
      <c r="P149" s="556"/>
      <c r="Q149" s="557"/>
      <c r="R149" s="558"/>
      <c r="S149" s="558"/>
      <c r="T149" s="558"/>
      <c r="U149" s="247"/>
      <c r="V149" s="242"/>
      <c r="W149" s="558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</row>
    <row r="150" spans="2:46" s="42" customFormat="1" hidden="1" x14ac:dyDescent="0.3">
      <c r="B150" s="236">
        <f t="shared" si="11"/>
        <v>12</v>
      </c>
      <c r="N150" s="554"/>
      <c r="O150" s="555"/>
      <c r="P150" s="556"/>
      <c r="Q150" s="557"/>
      <c r="R150" s="558"/>
      <c r="S150" s="558"/>
      <c r="T150" s="558"/>
      <c r="U150" s="247"/>
      <c r="V150" s="242"/>
      <c r="W150" s="558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</row>
    <row r="151" spans="2:46" s="42" customFormat="1" hidden="1" x14ac:dyDescent="0.3">
      <c r="B151" s="236">
        <f t="shared" si="11"/>
        <v>13</v>
      </c>
      <c r="N151" s="554"/>
      <c r="O151" s="555"/>
      <c r="P151" s="556"/>
      <c r="Q151" s="557"/>
      <c r="R151" s="558"/>
      <c r="S151" s="558"/>
      <c r="T151" s="558"/>
      <c r="U151" s="247"/>
      <c r="V151" s="242"/>
      <c r="W151" s="558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</row>
    <row r="152" spans="2:46" s="49" customFormat="1" ht="20.25" x14ac:dyDescent="0.25">
      <c r="B152" s="106" t="s">
        <v>412</v>
      </c>
      <c r="N152"/>
      <c r="O152"/>
      <c r="P152"/>
      <c r="Q152"/>
      <c r="R152"/>
      <c r="S152"/>
      <c r="T152"/>
      <c r="U152"/>
      <c r="V152"/>
      <c r="W152"/>
      <c r="AC152" s="1754"/>
      <c r="AD152" s="1754"/>
      <c r="AE152" s="1754"/>
      <c r="AF152" s="1754"/>
      <c r="AG152" s="1754"/>
      <c r="AH152" s="1754"/>
      <c r="AI152" s="1754"/>
      <c r="AJ152" s="1754"/>
      <c r="AK152" s="1754"/>
      <c r="AL152" s="1754"/>
      <c r="AM152" s="1754"/>
      <c r="AN152" s="1754"/>
      <c r="AO152" s="1754"/>
      <c r="AP152" s="1754"/>
      <c r="AQ152" s="1754"/>
      <c r="AR152" s="1754"/>
      <c r="AS152" s="1754"/>
      <c r="AT152" s="1754"/>
    </row>
    <row r="154" spans="2:46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 s="1511"/>
      <c r="AD154" s="1511"/>
    </row>
    <row r="155" spans="2:46" ht="20.25" x14ac:dyDescent="0.3">
      <c r="B155" s="106" t="s">
        <v>419</v>
      </c>
    </row>
  </sheetData>
  <sheetProtection algorithmName="SHA-512" hashValue="oAih7CvuEzqKwsqyETwgDDbj05siHuTn9GjIpcaAnrvEMQqeS8GHVA0Q1hOxzDOoqmBOoR89vkxV1Hb3rosiGQ==" saltValue="zCLpQmMDNzxUr82SBlZCYg==" spinCount="100000" sheet="1" objects="1" scenarios="1" formatCells="0" formatRows="0"/>
  <mergeCells count="131">
    <mergeCell ref="W136:W137"/>
    <mergeCell ref="N122:N123"/>
    <mergeCell ref="O122:O123"/>
    <mergeCell ref="U136:V136"/>
    <mergeCell ref="N136:N137"/>
    <mergeCell ref="O136:O137"/>
    <mergeCell ref="P136:P137"/>
    <mergeCell ref="Q136:Q137"/>
    <mergeCell ref="R136:R137"/>
    <mergeCell ref="S136:S137"/>
    <mergeCell ref="T136:T137"/>
    <mergeCell ref="N134:W134"/>
    <mergeCell ref="N135:W135"/>
    <mergeCell ref="P122:P123"/>
    <mergeCell ref="Q122:S122"/>
    <mergeCell ref="C83:E83"/>
    <mergeCell ref="F83:I83"/>
    <mergeCell ref="J83:M83"/>
    <mergeCell ref="S82:S83"/>
    <mergeCell ref="T82:T83"/>
    <mergeCell ref="N82:N83"/>
    <mergeCell ref="O82:O83"/>
    <mergeCell ref="P82:P83"/>
    <mergeCell ref="Q82:Q83"/>
    <mergeCell ref="R82:R83"/>
    <mergeCell ref="V5:W5"/>
    <mergeCell ref="N21:AB21"/>
    <mergeCell ref="N24:AB24"/>
    <mergeCell ref="N18:AB18"/>
    <mergeCell ref="N19:AB19"/>
    <mergeCell ref="N20:AB20"/>
    <mergeCell ref="N81:AB81"/>
    <mergeCell ref="X53:X54"/>
    <mergeCell ref="Y53:Y54"/>
    <mergeCell ref="Z53:AB53"/>
    <mergeCell ref="P53:P54"/>
    <mergeCell ref="Q53:Q54"/>
    <mergeCell ref="R53:R54"/>
    <mergeCell ref="S53:S54"/>
    <mergeCell ref="T53:T54"/>
    <mergeCell ref="N53:N54"/>
    <mergeCell ref="O53:O54"/>
    <mergeCell ref="N26:AB26"/>
    <mergeCell ref="Q68:S68"/>
    <mergeCell ref="N27:AB27"/>
    <mergeCell ref="W28:W29"/>
    <mergeCell ref="N22:AB22"/>
    <mergeCell ref="N23:AB23"/>
    <mergeCell ref="O68:O69"/>
    <mergeCell ref="P28:P29"/>
    <mergeCell ref="O28:O29"/>
    <mergeCell ref="N28:N29"/>
    <mergeCell ref="F29:I29"/>
    <mergeCell ref="J29:M29"/>
    <mergeCell ref="T28:T29"/>
    <mergeCell ref="N1:AB1"/>
    <mergeCell ref="N2:AB2"/>
    <mergeCell ref="N3:AB3"/>
    <mergeCell ref="N15:AB15"/>
    <mergeCell ref="N17:AB17"/>
    <mergeCell ref="N8:AB8"/>
    <mergeCell ref="N9:AB9"/>
    <mergeCell ref="N7:AB7"/>
    <mergeCell ref="N14:AB14"/>
    <mergeCell ref="N10:AB10"/>
    <mergeCell ref="N11:AB11"/>
    <mergeCell ref="N12:AB12"/>
    <mergeCell ref="N13:AB13"/>
    <mergeCell ref="N16:AB16"/>
    <mergeCell ref="S5:T5"/>
    <mergeCell ref="Z5:AA5"/>
    <mergeCell ref="X5:Y5"/>
    <mergeCell ref="Q5:R5"/>
    <mergeCell ref="AC29:AG29"/>
    <mergeCell ref="AH29:AJ29"/>
    <mergeCell ref="AC54:AG54"/>
    <mergeCell ref="AH54:AJ54"/>
    <mergeCell ref="AC83:AG83"/>
    <mergeCell ref="AH83:AJ83"/>
    <mergeCell ref="C54:F54"/>
    <mergeCell ref="C108:F108"/>
    <mergeCell ref="K108:M108"/>
    <mergeCell ref="U107:W107"/>
    <mergeCell ref="G54:H54"/>
    <mergeCell ref="I54:J54"/>
    <mergeCell ref="X28:X29"/>
    <mergeCell ref="Y28:Y29"/>
    <mergeCell ref="Z28:AB28"/>
    <mergeCell ref="K54:M54"/>
    <mergeCell ref="N51:AB51"/>
    <mergeCell ref="N52:AB52"/>
    <mergeCell ref="U53:W53"/>
    <mergeCell ref="C29:E29"/>
    <mergeCell ref="U28:V28"/>
    <mergeCell ref="S28:S29"/>
    <mergeCell ref="R28:R29"/>
    <mergeCell ref="Q28:Q29"/>
    <mergeCell ref="N67:S67"/>
    <mergeCell ref="N121:S121"/>
    <mergeCell ref="AH69:AJ69"/>
    <mergeCell ref="G108:H108"/>
    <mergeCell ref="I108:J108"/>
    <mergeCell ref="N68:N69"/>
    <mergeCell ref="N107:N108"/>
    <mergeCell ref="O107:O108"/>
    <mergeCell ref="N80:AB80"/>
    <mergeCell ref="P107:P108"/>
    <mergeCell ref="Q107:Q108"/>
    <mergeCell ref="R107:R108"/>
    <mergeCell ref="Y82:Y83"/>
    <mergeCell ref="Z82:AB82"/>
    <mergeCell ref="U82:V82"/>
    <mergeCell ref="W82:W83"/>
    <mergeCell ref="X82:X83"/>
    <mergeCell ref="S107:S108"/>
    <mergeCell ref="T107:T108"/>
    <mergeCell ref="X107:X108"/>
    <mergeCell ref="Y107:Y108"/>
    <mergeCell ref="Z107:AB107"/>
    <mergeCell ref="N105:AB105"/>
    <mergeCell ref="N106:AB106"/>
    <mergeCell ref="AF123:AG123"/>
    <mergeCell ref="AF69:AG69"/>
    <mergeCell ref="AH123:AJ123"/>
    <mergeCell ref="K123:M123"/>
    <mergeCell ref="H123:J123"/>
    <mergeCell ref="H69:J69"/>
    <mergeCell ref="K69:M69"/>
    <mergeCell ref="AC108:AG108"/>
    <mergeCell ref="AH108:AJ108"/>
    <mergeCell ref="P68:P69"/>
  </mergeCells>
  <phoneticPr fontId="129" type="noConversion"/>
  <conditionalFormatting sqref="N7:N24">
    <cfRule type="expression" dxfId="64" priority="16">
      <formula>N7=CELL(mark)</formula>
    </cfRule>
  </conditionalFormatting>
  <conditionalFormatting sqref="N71:P78">
    <cfRule type="expression" dxfId="63" priority="5">
      <formula>AND(COUNTIF($Q71:$S71,"&gt;0"),LEN(N71)=0)</formula>
    </cfRule>
  </conditionalFormatting>
  <conditionalFormatting sqref="N125:P132">
    <cfRule type="expression" dxfId="62" priority="3">
      <formula>AND(COUNTIF($Q125:$S125,"&gt;0"),LEN(N125)=0)</formula>
    </cfRule>
  </conditionalFormatting>
  <conditionalFormatting sqref="T56:T65">
    <cfRule type="expression" dxfId="61" priority="13">
      <formula>AND($C56&gt;0,$D56&gt;0,$T56=0)</formula>
    </cfRule>
  </conditionalFormatting>
  <conditionalFormatting sqref="T110:T119">
    <cfRule type="expression" dxfId="60" priority="12">
      <formula>AND($C110&gt;0,$D110&gt;0,$T110=0)</formula>
    </cfRule>
  </conditionalFormatting>
  <conditionalFormatting sqref="V56:V65">
    <cfRule type="expression" dxfId="59" priority="14">
      <formula>AND($C56&gt;0,$E56&gt;0,$V56=0)</formula>
    </cfRule>
  </conditionalFormatting>
  <conditionalFormatting sqref="V110:V119">
    <cfRule type="expression" dxfId="58" priority="19">
      <formula>AND($C110&gt;0,$E110&gt;0,$V110=0)</formula>
    </cfRule>
  </conditionalFormatting>
  <conditionalFormatting sqref="W56:W65">
    <cfRule type="expression" dxfId="57" priority="15">
      <formula>AND($C56&gt;0,$F56&gt;0,W56=0)</formula>
    </cfRule>
  </conditionalFormatting>
  <conditionalFormatting sqref="W110:W119">
    <cfRule type="expression" dxfId="56" priority="21">
      <formula>AND($C110&gt;0,$F110&gt;0,W110=0)</formula>
    </cfRule>
  </conditionalFormatting>
  <dataValidations count="9">
    <dataValidation type="whole" operator="greaterThanOrEqual" allowBlank="1" showErrorMessage="1" error="Въведете коректна стойност!" sqref="T56:T65 T31:T49 T85:T103" xr:uid="{5753437D-E57E-4616-B394-B5C361B8797D}">
      <formula1>0</formula1>
    </dataValidation>
    <dataValidation allowBlank="1" showInputMessage="1" showErrorMessage="1" promptTitle="Студенти бр." prompt="Брой студенти" sqref="T53:T54" xr:uid="{DD017C92-79A2-4825-9C21-24994C8669EB}"/>
    <dataValidation type="list" operator="greaterThanOrEqual" allowBlank="1" showErrorMessage="1" error="Въведете коректна стойност!" sqref="U110:U119 U56:U65" xr:uid="{C4FD049E-8D36-4FF6-86F8-310D24FDE0B5}">
      <formula1>INDIRECT("T_УчПрактики[Практика и курсова работа]")</formula1>
    </dataValidation>
    <dataValidation allowBlank="1" showInputMessage="1" showErrorMessage="1" prompt="яаояао_x000a_оа_x000a_ж_x000a_аож_x000a_яа_x000a_ж_x000a_яа_x000a_ж_x000a_яа_x000a_ж_x000a__x000a_оаг яао ао гд оджс даосж дсаж даодж" sqref="U67" xr:uid="{25AFBA61-5FDD-4409-8F90-32F848178F2C}"/>
    <dataValidation type="decimal" operator="greaterThanOrEqual" allowBlank="1" showInputMessage="1" showErrorMessage="1" errorTitle="Статус на вида практика!" error="За избраната практика се попълва само брой групи на проведената практика." sqref="W56:W65 W110:W119" xr:uid="{9953F02E-7D89-40BC-BC67-1B4CAE1D797E}">
      <formula1>IF(N(F56)&gt;0,0.01,1000)</formula1>
    </dataValidation>
    <dataValidation type="decimal" operator="greaterThanOrEqual" allowBlank="1" showErrorMessage="1" errorTitle="Статус на вид практика!" error="За избраната практика се попълва само брой дни на проведената практика." sqref="V110:V119" xr:uid="{A8B714A9-AB5B-4F64-9A6D-2F03F4215559}">
      <formula1>IF(N(E110)&gt;0,0.01,1000)</formula1>
    </dataValidation>
    <dataValidation type="decimal" operator="greaterThanOrEqual" allowBlank="1" showErrorMessage="1" errorTitle="Статус на вида практика!" error="За избраната практика се попълва само брой дни на проведената практика._x000a_" sqref="V56:V65" xr:uid="{C62D9537-C420-4F3F-A3B1-BC047FDF2F9F}">
      <formula1>IF(N(E56)&gt;0,0.01,1000)</formula1>
    </dataValidation>
    <dataValidation type="decimal" operator="greaterThanOrEqual" allowBlank="1" showErrorMessage="1" error="Въведете коректна стойност!" sqref="U85:V103 Z85:AB103 Z110:AB119 Q71:S78 Z56:AB65 Z31:AB49 Q125:R132" xr:uid="{0796F458-3B44-4348-A441-D982A25581F3}">
      <formula1>0</formula1>
    </dataValidation>
    <dataValidation type="decimal" operator="greaterThanOrEqual" allowBlank="1" showErrorMessage="1" error="Въведете коректна стойност!" sqref="T110:T119" xr:uid="{EE838997-A182-4A57-8225-FD853393ABAD}">
      <formula1>0.01</formula1>
    </dataValidation>
  </dataValidations>
  <hyperlinks>
    <hyperlink ref="Z5" location="'2. ОКС &quot;бакалавър&quot;'!N7" tooltip="Инструкция" display="Инструкция" xr:uid="{00000000-0004-0000-0C00-000000000000}"/>
    <hyperlink ref="P5" location="'2. ОКС &quot;бакалавър&quot;'!B24" tooltip="Зимен семестър" display="Зимен семестър" xr:uid="{00000000-0004-0000-0C00-000001000000}"/>
    <hyperlink ref="Q5" location="LetenSemestarB" tooltip="Летен семестър" display="Летен семестър" xr:uid="{00000000-0004-0000-0C00-000002000000}"/>
    <hyperlink ref="S5" location="ObPotokB" tooltip="Обучение в поток" display="Обучение в поток" xr:uid="{00000000-0004-0000-0C00-000003000000}"/>
    <hyperlink ref="U5" location="'3. ОКС &quot;магистър&quot;'!N24" tooltip="ОКС &quot;магистър&quot;" display="ОКС &quot;магистър&quot;" xr:uid="{00000000-0004-0000-0C00-000005000000}"/>
    <hyperlink ref="V5" location="ONSDr" tooltip="ОНС &quot;доктор&quot;" display="ОНС &quot;доктор&quot;" xr:uid="{00000000-0004-0000-0C00-000006000000}"/>
    <hyperlink ref="O5" location="'1. Отчет'!B6" tooltip="Титулна страница" display="Титулна страница" xr:uid="{00000000-0004-0000-0C00-000007000000}"/>
    <hyperlink ref="AB5" r:id="rId1" tooltip="email: ipio@uni-sofia.bg" xr:uid="{00000000-0004-0000-0C00-000008000000}"/>
    <hyperlink ref="V5:W5" location="'4. ОНС &quot;доктор&quot;'!B21" tooltip="ОНС &quot;доктор&quot;" display="ОНС &quot;доктор&quot;" xr:uid="{E6DE25EA-0108-4D09-BD7D-69991FB6720A}"/>
    <hyperlink ref="Z5:AA5" location="'2. ОКС &quot;бакалавър&quot;'!N7" tooltip="Инструкция" display="Инструкция" xr:uid="{E41E62CC-3F5F-4B74-AB43-35DBA9C6FCEE}"/>
    <hyperlink ref="Q5:R5" location="'2. ОКС &quot;бакалавър&quot;'!N73" tooltip="Летен семестър" display="Летен семестър" xr:uid="{4ED8A6B4-5DE1-4F18-8357-835AE200FE67}"/>
    <hyperlink ref="S5:T5" location="'2. ОКС &quot;бакалавър&quot;'!N122" tooltip="Обучение в поток" display="Обучение в поток" xr:uid="{034FD91E-C574-4859-B9A6-5EB61E4D1CF3}"/>
  </hyperlinks>
  <pageMargins left="0.70866141732283472" right="0.70866141732283472" top="0.74803149606299213" bottom="0.74803149606299213" header="0.31496062992125984" footer="0.31496062992125984"/>
  <pageSetup paperSize="9" scale="59" orientation="landscape" r:id="rId2"/>
  <headerFooter>
    <oddFooter>&amp;RПодпис:...................................................................</oddFooter>
  </headerFooter>
  <rowBreaks count="2" manualBreakCount="2">
    <brk id="79" min="13" max="27" man="1"/>
    <brk id="133" min="13" max="27" man="1"/>
  </rowBreaks>
  <drawing r:id="rId3"/>
  <tableParts count="10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error="Въведете предвиденото по учебен план:_x000a_Изпит - изпит_x000a_ТО - текущо оценяване_x000a_КИ - комбинирано изпитване_x000a_прод. - продължава в следващ семестър" xr:uid="{9060509C-D452-4C3F-9497-054E98AC9050}">
          <x14:formula1>
            <xm:f>list!$A$64:$A$67</xm:f>
          </x14:formula1>
          <xm:sqref>X110:X119 X85:X103 X32:X49</xm:sqref>
        </x14:dataValidation>
        <x14:dataValidation type="list" allowBlank="1" showInputMessage="1" showErrorMessage="1" xr:uid="{CA0108AD-07AF-4125-9F5B-AE8C1DD481DC}">
          <x14:formula1>
            <xm:f>list!$A$53:$A$56</xm:f>
          </x14:formula1>
          <xm:sqref>T140:T151</xm:sqref>
        </x14:dataValidation>
        <x14:dataValidation type="list" allowBlank="1" showInputMessage="1" showErrorMessage="1" error="Въведете БЕ или чужд!_x000a_БЕ - обучение на български език_x000a_чужд - обучение на чужд език" xr:uid="{20E50CE3-B974-48C1-81F4-16D6BCAE798C}">
          <x14:formula1>
            <xm:f>list!$A$59:$A$61</xm:f>
          </x14:formula1>
          <xm:sqref>W85:W103 W32:W49</xm:sqref>
        </x14:dataValidation>
        <x14:dataValidation type="list" allowBlank="1" showInputMessage="1" showErrorMessage="1" error="Въведете титуляр или асистиращ!" xr:uid="{2A22E63A-F728-4F2C-B7AD-9BE08A1F5DAC}">
          <x14:formula1>
            <xm:f>list!$A$78:$A$79</xm:f>
          </x14:formula1>
          <xm:sqref>Y85:Y103 Y110:Y119 Y56:Y65 Y32:Y49</xm:sqref>
        </x14:dataValidation>
        <x14:dataValidation type="list" allowBlank="1" showInputMessage="1" showErrorMessage="1" xr:uid="{1AA47FF6-26E2-4BE6-BF00-761BA480F963}">
          <x14:formula1>
            <xm:f>list!$A$64:$A$67</xm:f>
          </x14:formula1>
          <xm:sqref>X56:X65</xm:sqref>
        </x14:dataValidation>
        <x14:dataValidation type="list" allowBlank="1" showInputMessage="1" showErrorMessage="1" error="Посочете_x000a_р.об. - за редовна форма_x000a_з.об. - за задочна форма_x000a_д.об. - за дистанционна форма_x000a_ИП - за обучение по индивидуален план" xr:uid="{54B54D8A-7F32-47E5-B51D-B590DF83DF89}">
          <x14:formula1>
            <xm:f>list!$A$53:$A$56</xm:f>
          </x14:formula1>
          <xm:sqref>S56:S65 S110:S119 T139 S85:S103 S32:S49</xm:sqref>
        </x14:dataValidation>
        <x14:dataValidation type="list" allowBlank="1" showInputMessage="1" showErrorMessage="1" error="Посочете семестъра_x000a_зимен_x000a_летен_x000a_" xr:uid="{DDA7D069-33E8-42FB-AA38-B403F513175A}">
          <x14:formula1>
            <xm:f>INDIRECT(ПЕРИОД!$D$14)</xm:f>
          </x14:formula1>
          <xm:sqref>W139:W151</xm:sqref>
        </x14:dataValidation>
        <x14:dataValidation type="list" allowBlank="1" showErrorMessage="1" errorTitle="Вид" error="Въведете З, И или Ф" prompt="dfdf" xr:uid="{89826188-655F-43B2-91B5-7C580874F9CF}">
          <x14:formula1>
            <xm:f>list!$B$53:$B$55</xm:f>
          </x14:formula1>
          <xm:sqref>R139:R151 Q56:Q65 Q85:Q103 Q110:Q119 Q32:Q49</xm:sqref>
        </x14:dataValidation>
        <x14:dataValidation type="list" allowBlank="1" showInputMessage="1" showErrorMessage="1" xr:uid="{BAFDC586-CFAA-4189-902B-4121A0CC4B45}">
          <x14:formula1>
            <xm:f>Номенклатура!$O$5:$O$22</xm:f>
          </x14:formula1>
          <xm:sqref>P31:P49 P56:P65 P85:P103 P110:P119 O125:O132 Q139:Q151</xm:sqref>
        </x14:dataValidation>
        <x14:dataValidation type="list" allowBlank="1" showErrorMessage="1" errorTitle="Вид" error="Въведете З, И или Ф" prompt="dfdf" xr:uid="{60C1428B-B4CA-41FA-ACFE-E13533675386}">
          <x14:formula1>
            <xm:f>Номенклатура!$O$27:$O$29</xm:f>
          </x14:formula1>
          <xm:sqref>Q31</xm:sqref>
        </x14:dataValidation>
        <x14:dataValidation type="list" allowBlank="1" showInputMessage="1" showErrorMessage="1" error="Посочете_x000a_р.об. - за редовна форма_x000a_з.об. - за задочна форма_x000a_д.об. - за дистанционна форма_x000a_ИП - за обучение по индивидуален план" xr:uid="{57225C63-30C2-4985-BF41-A73F59800617}">
          <x14:formula1>
            <xm:f>Номенклатура!$O$34:$O$37</xm:f>
          </x14:formula1>
          <xm:sqref>S31</xm:sqref>
        </x14:dataValidation>
        <x14:dataValidation type="list" allowBlank="1" showInputMessage="1" showErrorMessage="1" error="Въведете БЕ или чужд!_x000a_БЕ - обучение на български език_x000a_чужд - обучение на чужд език" xr:uid="{9A650A7F-75F6-4E17-A661-55E3FD74706A}">
          <x14:formula1>
            <xm:f>Номенклатура!$O$53:$O$55</xm:f>
          </x14:formula1>
          <xm:sqref>W31</xm:sqref>
        </x14:dataValidation>
        <x14:dataValidation type="list" allowBlank="1" showInputMessage="1" showErrorMessage="1" error="Въведете предвиденото по учебен план:_x000a_Изпит - изпит_x000a_ТО - текущо оценяване_x000a_КИ - комбинирано изпитване_x000a_прод. - продължава в следващ семестър" xr:uid="{57F2CC07-B33F-47EB-977D-0759F7FDF043}">
          <x14:formula1>
            <xm:f>Номенклатура!$O$60:$O$63</xm:f>
          </x14:formula1>
          <xm:sqref>X31</xm:sqref>
        </x14:dataValidation>
        <x14:dataValidation type="list" allowBlank="1" showInputMessage="1" showErrorMessage="1" error="Въведете титуляр или асистиращ!" xr:uid="{9D9ADF7D-3F11-4B96-BDBB-1E651D9464CC}">
          <x14:formula1>
            <xm:f>Номенклатура!$O$67:$O$68</xm:f>
          </x14:formula1>
          <xm:sqref>Y31</xm:sqref>
        </x14:dataValidation>
        <x14:dataValidation type="list" allowBlank="1" xr:uid="{BA4BB7E7-0AE8-4AAB-A40C-F308E30184BE}">
          <x14:formula1>
            <xm:f>Номенклатура!$O$5:$O$22</xm:f>
          </x14:formula1>
          <xm:sqref>O71:O78</xm:sqref>
        </x14:dataValidation>
        <x14:dataValidation type="list" allowBlank="1" showInputMessage="1" showErrorMessage="1" xr:uid="{3C5CFB57-0709-425D-ADBB-E0E93467F11D}">
          <x14:formula1>
            <xm:f>Номенклатура!$O$34:$O$37</xm:f>
          </x14:formula1>
          <xm:sqref>P125:P132 P71:P78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pageSetUpPr fitToPage="1"/>
  </sheetPr>
  <dimension ref="B1:AT155"/>
  <sheetViews>
    <sheetView showGridLines="0" showRowColHeaders="0" topLeftCell="A25" zoomScale="90" zoomScaleNormal="90" workbookViewId="0">
      <selection activeCell="N31" sqref="N31"/>
    </sheetView>
  </sheetViews>
  <sheetFormatPr defaultColWidth="9.140625" defaultRowHeight="16.5" x14ac:dyDescent="0.3"/>
  <cols>
    <col min="1" max="1" width="2.28515625" style="36" customWidth="1"/>
    <col min="2" max="2" width="11.42578125" style="49" hidden="1" customWidth="1"/>
    <col min="3" max="4" width="11.7109375" style="36" hidden="1" customWidth="1"/>
    <col min="5" max="10" width="11.140625" style="36" hidden="1" customWidth="1"/>
    <col min="11" max="11" width="12.140625" style="36" hidden="1" customWidth="1"/>
    <col min="12" max="12" width="12.42578125" style="36" hidden="1" customWidth="1"/>
    <col min="13" max="13" width="7.140625" style="36" hidden="1" customWidth="1"/>
    <col min="14" max="14" width="48.140625" style="36" customWidth="1"/>
    <col min="15" max="15" width="29.7109375" style="36" customWidth="1"/>
    <col min="16" max="16" width="14.28515625" style="36" bestFit="1" customWidth="1"/>
    <col min="17" max="17" width="12.7109375" style="36" bestFit="1" customWidth="1"/>
    <col min="18" max="18" width="8.28515625" style="36" bestFit="1" customWidth="1"/>
    <col min="19" max="19" width="10" style="36" bestFit="1" customWidth="1"/>
    <col min="20" max="20" width="10.5703125" style="36" bestFit="1" customWidth="1"/>
    <col min="21" max="21" width="17.28515625" style="36" bestFit="1" customWidth="1"/>
    <col min="22" max="22" width="13" style="36" customWidth="1"/>
    <col min="23" max="23" width="10.140625" style="36" customWidth="1"/>
    <col min="24" max="24" width="11.7109375" style="36" customWidth="1"/>
    <col min="25" max="25" width="11" style="36" customWidth="1"/>
    <col min="26" max="26" width="9.140625" style="36"/>
    <col min="27" max="27" width="8.42578125" style="36" customWidth="1"/>
    <col min="28" max="28" width="9.140625" style="36"/>
    <col min="29" max="29" width="12.7109375" style="234" hidden="1" customWidth="1"/>
    <col min="30" max="30" width="61.28515625" style="234" hidden="1" customWidth="1"/>
    <col min="31" max="31" width="58.85546875" style="234" hidden="1" customWidth="1"/>
    <col min="32" max="32" width="36.85546875" style="234" hidden="1" customWidth="1"/>
    <col min="33" max="33" width="62.42578125" style="234" hidden="1" customWidth="1"/>
    <col min="34" max="34" width="4" style="234" hidden="1" customWidth="1"/>
    <col min="35" max="35" width="79.28515625" style="234" hidden="1" customWidth="1"/>
    <col min="36" max="36" width="10.7109375" style="234" hidden="1" customWidth="1"/>
    <col min="37" max="46" width="3.140625" style="234" hidden="1" customWidth="1"/>
    <col min="47" max="16384" width="9.140625" style="36"/>
  </cols>
  <sheetData>
    <row r="1" spans="2:46" x14ac:dyDescent="0.3">
      <c r="N1" s="2616" t="str">
        <f>ПЕРИОД!D12</f>
        <v>Факултет / катедра / акад. длъж.,  Преподавател</v>
      </c>
      <c r="O1" s="2616"/>
      <c r="P1" s="2616"/>
      <c r="Q1" s="2616"/>
      <c r="R1" s="2616"/>
      <c r="S1" s="2616"/>
      <c r="T1" s="2616"/>
      <c r="U1" s="2616"/>
      <c r="V1" s="2616"/>
      <c r="W1" s="2616"/>
      <c r="X1" s="2616"/>
      <c r="Y1" s="2616"/>
      <c r="Z1" s="2616"/>
      <c r="AA1" s="2616"/>
      <c r="AB1" s="2616"/>
    </row>
    <row r="2" spans="2:46" ht="18.75" x14ac:dyDescent="0.3">
      <c r="N2" s="2617" t="str">
        <f>ПЕРИОД!D17&amp;", ОКС ""магистър"" след придобита образователно-квалификационна степен на висшето образование"</f>
        <v>Индивидуален отчет, ОКС "магистър" след придобита образователно-квалификационна степен на висшето образование</v>
      </c>
      <c r="O2" s="2617"/>
      <c r="P2" s="2617"/>
      <c r="Q2" s="2617"/>
      <c r="R2" s="2617"/>
      <c r="S2" s="2617"/>
      <c r="T2" s="2617"/>
      <c r="U2" s="2617"/>
      <c r="V2" s="2617"/>
      <c r="W2" s="2617"/>
      <c r="X2" s="2617"/>
      <c r="Y2" s="2617"/>
      <c r="Z2" s="2617"/>
      <c r="AA2" s="2617"/>
      <c r="AB2" s="2617"/>
    </row>
    <row r="3" spans="2:46" ht="21" customHeight="1" x14ac:dyDescent="0.3">
      <c r="N3" s="2618" t="s">
        <v>117</v>
      </c>
      <c r="O3" s="2618"/>
      <c r="P3" s="2618"/>
      <c r="Q3" s="2618"/>
      <c r="R3" s="2618"/>
      <c r="S3" s="2618"/>
      <c r="T3" s="2618"/>
      <c r="U3" s="2618"/>
      <c r="V3" s="2618"/>
      <c r="W3" s="2618"/>
      <c r="X3" s="2618"/>
      <c r="Y3" s="2618"/>
      <c r="Z3" s="2618"/>
      <c r="AA3" s="2618"/>
      <c r="AB3" s="2618"/>
    </row>
    <row r="4" spans="2:46" ht="9" customHeight="1" x14ac:dyDescent="0.3"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2:46" s="37" customFormat="1" ht="30" customHeight="1" x14ac:dyDescent="0.25">
      <c r="B5" s="49"/>
      <c r="N5" s="459" t="s">
        <v>1</v>
      </c>
      <c r="O5" s="527" t="s">
        <v>116</v>
      </c>
      <c r="P5" s="515" t="s">
        <v>113</v>
      </c>
      <c r="Q5" s="2716" t="s">
        <v>114</v>
      </c>
      <c r="R5" s="2716"/>
      <c r="S5" s="2716" t="s">
        <v>115</v>
      </c>
      <c r="T5" s="2716"/>
      <c r="U5" s="515" t="s">
        <v>67</v>
      </c>
      <c r="V5" s="2716" t="s">
        <v>69</v>
      </c>
      <c r="W5" s="2716"/>
      <c r="X5" s="2716" t="s">
        <v>136</v>
      </c>
      <c r="Y5" s="2716"/>
      <c r="Z5" s="2716" t="s">
        <v>112</v>
      </c>
      <c r="AA5" s="2716"/>
      <c r="AB5" s="528" t="s">
        <v>640</v>
      </c>
      <c r="AC5" s="1757"/>
      <c r="AD5" s="1757"/>
      <c r="AE5" s="1757"/>
      <c r="AF5" s="1757"/>
      <c r="AG5" s="1757"/>
      <c r="AH5" s="1757"/>
      <c r="AI5" s="1757"/>
      <c r="AJ5" s="1757"/>
      <c r="AK5" s="1757"/>
      <c r="AL5" s="1757"/>
      <c r="AM5" s="1757"/>
      <c r="AN5" s="1757"/>
      <c r="AO5" s="1757"/>
      <c r="AP5" s="1757"/>
      <c r="AQ5" s="1757"/>
      <c r="AR5" s="1757"/>
      <c r="AS5" s="1757"/>
      <c r="AT5" s="1757"/>
    </row>
    <row r="6" spans="2:46" s="37" customFormat="1" ht="9" customHeight="1" thickBot="1" x14ac:dyDescent="0.3">
      <c r="B6" s="49"/>
      <c r="N6" s="87"/>
      <c r="O6" s="88"/>
      <c r="P6" s="88"/>
      <c r="Q6" s="88"/>
      <c r="R6" s="88"/>
      <c r="T6" s="88"/>
      <c r="V6" s="88"/>
      <c r="Y6" s="88"/>
      <c r="AB6" s="88"/>
      <c r="AC6" s="1757"/>
      <c r="AD6" s="1757"/>
      <c r="AE6" s="1757"/>
      <c r="AF6" s="1757"/>
      <c r="AG6" s="1757"/>
      <c r="AH6" s="1757"/>
      <c r="AI6" s="1757"/>
      <c r="AJ6" s="1757"/>
      <c r="AK6" s="1757"/>
      <c r="AL6" s="1757"/>
      <c r="AM6" s="1757"/>
      <c r="AN6" s="1757"/>
      <c r="AO6" s="1757"/>
      <c r="AP6" s="1757"/>
      <c r="AQ6" s="1757"/>
      <c r="AR6" s="1757"/>
      <c r="AS6" s="1757"/>
      <c r="AT6" s="1757"/>
    </row>
    <row r="7" spans="2:46" ht="24" customHeight="1" x14ac:dyDescent="0.3">
      <c r="N7" s="2728" t="s">
        <v>111</v>
      </c>
      <c r="O7" s="2729"/>
      <c r="P7" s="2729"/>
      <c r="Q7" s="2729"/>
      <c r="R7" s="2729"/>
      <c r="S7" s="2729"/>
      <c r="T7" s="2729"/>
      <c r="U7" s="2729"/>
      <c r="V7" s="2729"/>
      <c r="W7" s="2729"/>
      <c r="X7" s="2729"/>
      <c r="Y7" s="2729"/>
      <c r="Z7" s="2729"/>
      <c r="AA7" s="2729"/>
      <c r="AB7" s="2730"/>
    </row>
    <row r="8" spans="2:46" s="38" customFormat="1" ht="20.25" customHeight="1" x14ac:dyDescent="0.25">
      <c r="B8" s="49"/>
      <c r="N8" s="2725" t="s">
        <v>675</v>
      </c>
      <c r="O8" s="2726"/>
      <c r="P8" s="2726"/>
      <c r="Q8" s="2726"/>
      <c r="R8" s="2726"/>
      <c r="S8" s="2726"/>
      <c r="T8" s="2726"/>
      <c r="U8" s="2726"/>
      <c r="V8" s="2726"/>
      <c r="W8" s="2726"/>
      <c r="X8" s="2726"/>
      <c r="Y8" s="2726"/>
      <c r="Z8" s="2726"/>
      <c r="AA8" s="2726"/>
      <c r="AB8" s="2727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</row>
    <row r="9" spans="2:46" s="208" customFormat="1" ht="66.75" customHeight="1" x14ac:dyDescent="0.25">
      <c r="N9" s="2719" t="s">
        <v>671</v>
      </c>
      <c r="O9" s="2720"/>
      <c r="P9" s="2720"/>
      <c r="Q9" s="2720"/>
      <c r="R9" s="2720"/>
      <c r="S9" s="2720"/>
      <c r="T9" s="2720"/>
      <c r="U9" s="2720"/>
      <c r="V9" s="2720"/>
      <c r="W9" s="2720"/>
      <c r="X9" s="2720"/>
      <c r="Y9" s="2720"/>
      <c r="Z9" s="2720"/>
      <c r="AA9" s="2720"/>
      <c r="AB9" s="2721"/>
      <c r="AC9" s="1758"/>
      <c r="AD9" s="1758"/>
      <c r="AE9" s="1758"/>
      <c r="AF9" s="1758"/>
      <c r="AG9" s="1758"/>
      <c r="AH9" s="1758"/>
      <c r="AI9" s="1758"/>
      <c r="AJ9" s="1758"/>
      <c r="AK9" s="1758"/>
      <c r="AL9" s="1758"/>
      <c r="AM9" s="1758"/>
      <c r="AN9" s="1758"/>
      <c r="AO9" s="1758"/>
      <c r="AP9" s="1758"/>
      <c r="AQ9" s="1758"/>
      <c r="AR9" s="1758"/>
      <c r="AS9" s="1758"/>
      <c r="AT9" s="1758"/>
    </row>
    <row r="10" spans="2:46" s="38" customFormat="1" ht="36" customHeight="1" x14ac:dyDescent="0.25">
      <c r="B10" s="49"/>
      <c r="N10" s="2713" t="s">
        <v>672</v>
      </c>
      <c r="O10" s="2714"/>
      <c r="P10" s="2714"/>
      <c r="Q10" s="2714"/>
      <c r="R10" s="2714"/>
      <c r="S10" s="2714"/>
      <c r="T10" s="2714"/>
      <c r="U10" s="2714"/>
      <c r="V10" s="2714"/>
      <c r="W10" s="2714"/>
      <c r="X10" s="2714"/>
      <c r="Y10" s="2714"/>
      <c r="Z10" s="2714"/>
      <c r="AA10" s="2714"/>
      <c r="AB10" s="2715"/>
      <c r="AC10" s="1740"/>
      <c r="AD10" s="1740"/>
      <c r="AE10" s="1740"/>
      <c r="AF10" s="1740"/>
      <c r="AG10" s="1740"/>
      <c r="AH10" s="1740"/>
      <c r="AI10" s="1740"/>
      <c r="AJ10" s="1740"/>
      <c r="AK10" s="1740"/>
      <c r="AL10" s="1740"/>
      <c r="AM10" s="1740"/>
      <c r="AN10" s="1740"/>
      <c r="AO10" s="1740"/>
      <c r="AP10" s="1740"/>
      <c r="AQ10" s="1740"/>
      <c r="AR10" s="1740"/>
      <c r="AS10" s="1740"/>
      <c r="AT10" s="1740"/>
    </row>
    <row r="11" spans="2:46" ht="40.5" customHeight="1" x14ac:dyDescent="0.3">
      <c r="N11" s="2725" t="s">
        <v>673</v>
      </c>
      <c r="O11" s="2726"/>
      <c r="P11" s="2726"/>
      <c r="Q11" s="2726"/>
      <c r="R11" s="2726"/>
      <c r="S11" s="2726"/>
      <c r="T11" s="2726"/>
      <c r="U11" s="2726"/>
      <c r="V11" s="2726"/>
      <c r="W11" s="2726"/>
      <c r="X11" s="2726"/>
      <c r="Y11" s="2726"/>
      <c r="Z11" s="2726"/>
      <c r="AA11" s="2726"/>
      <c r="AB11" s="2727"/>
    </row>
    <row r="12" spans="2:46" ht="19.5" customHeight="1" x14ac:dyDescent="0.3">
      <c r="N12" s="2725" t="s">
        <v>650</v>
      </c>
      <c r="O12" s="2726"/>
      <c r="P12" s="2726"/>
      <c r="Q12" s="2726"/>
      <c r="R12" s="2726"/>
      <c r="S12" s="2726"/>
      <c r="T12" s="2726"/>
      <c r="U12" s="2726"/>
      <c r="V12" s="2726"/>
      <c r="W12" s="2726"/>
      <c r="X12" s="2726"/>
      <c r="Y12" s="2726"/>
      <c r="Z12" s="2726"/>
      <c r="AA12" s="2726"/>
      <c r="AB12" s="2727"/>
    </row>
    <row r="13" spans="2:46" ht="20.25" customHeight="1" x14ac:dyDescent="0.3">
      <c r="N13" s="2725" t="s">
        <v>651</v>
      </c>
      <c r="O13" s="2726"/>
      <c r="P13" s="2726"/>
      <c r="Q13" s="2726"/>
      <c r="R13" s="2726"/>
      <c r="S13" s="2726"/>
      <c r="T13" s="2726"/>
      <c r="U13" s="2726"/>
      <c r="V13" s="2726"/>
      <c r="W13" s="2726"/>
      <c r="X13" s="2726"/>
      <c r="Y13" s="2726"/>
      <c r="Z13" s="2726"/>
      <c r="AA13" s="2726"/>
      <c r="AB13" s="2727"/>
    </row>
    <row r="14" spans="2:46" ht="20.25" customHeight="1" x14ac:dyDescent="0.3">
      <c r="N14" s="2725" t="s">
        <v>674</v>
      </c>
      <c r="O14" s="2726"/>
      <c r="P14" s="2726"/>
      <c r="Q14" s="2726"/>
      <c r="R14" s="2726"/>
      <c r="S14" s="2726"/>
      <c r="T14" s="2726"/>
      <c r="U14" s="2726"/>
      <c r="V14" s="2726"/>
      <c r="W14" s="2726"/>
      <c r="X14" s="2726"/>
      <c r="Y14" s="2726"/>
      <c r="Z14" s="2726"/>
      <c r="AA14" s="2726"/>
      <c r="AB14" s="2727"/>
    </row>
    <row r="15" spans="2:46" ht="20.25" hidden="1" customHeight="1" x14ac:dyDescent="0.3">
      <c r="N15" s="2722" t="s">
        <v>476</v>
      </c>
      <c r="O15" s="2723"/>
      <c r="P15" s="2723"/>
      <c r="Q15" s="2723"/>
      <c r="R15" s="2723"/>
      <c r="S15" s="2723"/>
      <c r="T15" s="2723"/>
      <c r="U15" s="2723"/>
      <c r="V15" s="2723"/>
      <c r="W15" s="2723"/>
      <c r="X15" s="2723"/>
      <c r="Y15" s="2723"/>
      <c r="Z15" s="2723"/>
      <c r="AA15" s="2723"/>
      <c r="AB15" s="2724"/>
    </row>
    <row r="16" spans="2:46" ht="20.25" customHeight="1" x14ac:dyDescent="0.3">
      <c r="N16" s="2619" t="s">
        <v>676</v>
      </c>
      <c r="O16" s="2620"/>
      <c r="P16" s="2620"/>
      <c r="Q16" s="2620"/>
      <c r="R16" s="2620"/>
      <c r="S16" s="2620"/>
      <c r="T16" s="2620"/>
      <c r="U16" s="2620"/>
      <c r="V16" s="2620"/>
      <c r="W16" s="2620"/>
      <c r="X16" s="2620"/>
      <c r="Y16" s="2620"/>
      <c r="Z16" s="2620"/>
      <c r="AA16" s="2620"/>
      <c r="AB16" s="2621"/>
    </row>
    <row r="17" spans="2:46" ht="33.75" customHeight="1" x14ac:dyDescent="0.3">
      <c r="N17" s="2713" t="s">
        <v>477</v>
      </c>
      <c r="O17" s="2714"/>
      <c r="P17" s="2714"/>
      <c r="Q17" s="2714"/>
      <c r="R17" s="2714"/>
      <c r="S17" s="2714"/>
      <c r="T17" s="2714"/>
      <c r="U17" s="2714"/>
      <c r="V17" s="2714"/>
      <c r="W17" s="2714"/>
      <c r="X17" s="2714"/>
      <c r="Y17" s="2714"/>
      <c r="Z17" s="2714"/>
      <c r="AA17" s="2714"/>
      <c r="AB17" s="2715"/>
    </row>
    <row r="18" spans="2:46" ht="20.25" customHeight="1" x14ac:dyDescent="0.3">
      <c r="N18" s="2713" t="s">
        <v>494</v>
      </c>
      <c r="O18" s="2714"/>
      <c r="P18" s="2714"/>
      <c r="Q18" s="2714"/>
      <c r="R18" s="2714"/>
      <c r="S18" s="2714"/>
      <c r="T18" s="2714"/>
      <c r="U18" s="2714"/>
      <c r="V18" s="2714"/>
      <c r="W18" s="2714"/>
      <c r="X18" s="2714"/>
      <c r="Y18" s="2714"/>
      <c r="Z18" s="2714"/>
      <c r="AA18" s="2714"/>
      <c r="AB18" s="2715"/>
    </row>
    <row r="19" spans="2:46" ht="20.25" customHeight="1" x14ac:dyDescent="0.3">
      <c r="N19" s="2713" t="s">
        <v>478</v>
      </c>
      <c r="O19" s="2714"/>
      <c r="P19" s="2714"/>
      <c r="Q19" s="2714"/>
      <c r="R19" s="2714"/>
      <c r="S19" s="2714"/>
      <c r="T19" s="2714"/>
      <c r="U19" s="2714"/>
      <c r="V19" s="2714"/>
      <c r="W19" s="2714"/>
      <c r="X19" s="2714"/>
      <c r="Y19" s="2714"/>
      <c r="Z19" s="2714"/>
      <c r="AA19" s="2714"/>
      <c r="AB19" s="2715"/>
    </row>
    <row r="20" spans="2:46" ht="20.25" customHeight="1" x14ac:dyDescent="0.3">
      <c r="N20" s="2713" t="s">
        <v>479</v>
      </c>
      <c r="O20" s="2714"/>
      <c r="P20" s="2714"/>
      <c r="Q20" s="2714"/>
      <c r="R20" s="2714"/>
      <c r="S20" s="2714"/>
      <c r="T20" s="2714"/>
      <c r="U20" s="2714"/>
      <c r="V20" s="2714"/>
      <c r="W20" s="2714"/>
      <c r="X20" s="2714"/>
      <c r="Y20" s="2714"/>
      <c r="Z20" s="2714"/>
      <c r="AA20" s="2714"/>
      <c r="AB20" s="2715"/>
    </row>
    <row r="21" spans="2:46" ht="33.75" customHeight="1" x14ac:dyDescent="0.3">
      <c r="N21" s="2713" t="s">
        <v>495</v>
      </c>
      <c r="O21" s="2714"/>
      <c r="P21" s="2714"/>
      <c r="Q21" s="2714"/>
      <c r="R21" s="2714"/>
      <c r="S21" s="2714"/>
      <c r="T21" s="2714"/>
      <c r="U21" s="2714"/>
      <c r="V21" s="2714"/>
      <c r="W21" s="2714"/>
      <c r="X21" s="2714"/>
      <c r="Y21" s="2714"/>
      <c r="Z21" s="2714"/>
      <c r="AA21" s="2714"/>
      <c r="AB21" s="2715"/>
    </row>
    <row r="22" spans="2:46" ht="32.25" customHeight="1" x14ac:dyDescent="0.3">
      <c r="N22" s="2713" t="s">
        <v>753</v>
      </c>
      <c r="O22" s="2714"/>
      <c r="P22" s="2714"/>
      <c r="Q22" s="2714"/>
      <c r="R22" s="2714"/>
      <c r="S22" s="2714"/>
      <c r="T22" s="2714"/>
      <c r="U22" s="2714"/>
      <c r="V22" s="2714"/>
      <c r="W22" s="2714"/>
      <c r="X22" s="2714"/>
      <c r="Y22" s="2714"/>
      <c r="Z22" s="2714"/>
      <c r="AA22" s="2714"/>
      <c r="AB22" s="2715"/>
    </row>
    <row r="23" spans="2:46" ht="32.25" customHeight="1" x14ac:dyDescent="0.3">
      <c r="N23" s="2713" t="s">
        <v>755</v>
      </c>
      <c r="O23" s="2714"/>
      <c r="P23" s="2714"/>
      <c r="Q23" s="2714"/>
      <c r="R23" s="2714"/>
      <c r="S23" s="2714"/>
      <c r="T23" s="2714"/>
      <c r="U23" s="2714"/>
      <c r="V23" s="2714"/>
      <c r="W23" s="2714"/>
      <c r="X23" s="2714"/>
      <c r="Y23" s="2714"/>
      <c r="Z23" s="2714"/>
      <c r="AA23" s="2714"/>
      <c r="AB23" s="2715"/>
    </row>
    <row r="24" spans="2:46" s="46" customFormat="1" ht="66.75" customHeight="1" thickBot="1" x14ac:dyDescent="0.35">
      <c r="B24" s="512"/>
      <c r="N24" s="2634" t="s">
        <v>1130</v>
      </c>
      <c r="O24" s="2717"/>
      <c r="P24" s="2717"/>
      <c r="Q24" s="2717"/>
      <c r="R24" s="2717"/>
      <c r="S24" s="2717"/>
      <c r="T24" s="2717"/>
      <c r="U24" s="2717"/>
      <c r="V24" s="2717"/>
      <c r="W24" s="2717"/>
      <c r="X24" s="2717"/>
      <c r="Y24" s="2717"/>
      <c r="Z24" s="2717"/>
      <c r="AA24" s="2717"/>
      <c r="AB24" s="2718"/>
      <c r="AC24" s="1755"/>
      <c r="AD24" s="1755"/>
      <c r="AE24" s="1755"/>
      <c r="AF24" s="1755"/>
      <c r="AG24" s="1755"/>
      <c r="AH24" s="1755"/>
      <c r="AI24" s="1755"/>
      <c r="AJ24" s="1755"/>
      <c r="AK24" s="1755"/>
      <c r="AL24" s="1755"/>
      <c r="AM24" s="1755"/>
      <c r="AN24" s="1755"/>
      <c r="AO24" s="1755"/>
      <c r="AP24" s="1755"/>
      <c r="AQ24" s="1755"/>
      <c r="AR24" s="1755"/>
      <c r="AS24" s="1755"/>
      <c r="AT24" s="1755"/>
    </row>
    <row r="25" spans="2:46" ht="9.9499999999999993" customHeight="1" x14ac:dyDescent="0.3">
      <c r="B25" s="49" t="s">
        <v>411</v>
      </c>
      <c r="L25" s="36" t="s">
        <v>406</v>
      </c>
      <c r="M25" s="36" t="b">
        <f>ПЕРИОД!D10="Зимен"</f>
        <v>0</v>
      </c>
    </row>
    <row r="26" spans="2:46" ht="26.25" x14ac:dyDescent="0.3">
      <c r="B26" s="176" t="s">
        <v>415</v>
      </c>
      <c r="M26" s="49" t="str">
        <f>IF(M25,1,"1.1")</f>
        <v>1.1</v>
      </c>
      <c r="N26" s="2594" t="str">
        <f>M26&amp;". ОКС ""магистър"" след придобита образователно-квалификационна степен на висшето образование – аудиторна заетост и изпитани студенти –  ЗИМЕН семестър"</f>
        <v>1.1. ОКС "магистър" след придобита образователно-квалификационна степен на висшето образование – аудиторна заетост и изпитани студенти –  ЗИМЕН семестър</v>
      </c>
      <c r="O26" s="2595"/>
      <c r="P26" s="2595"/>
      <c r="Q26" s="2595"/>
      <c r="R26" s="2595"/>
      <c r="S26" s="2595"/>
      <c r="T26" s="2595"/>
      <c r="U26" s="2595"/>
      <c r="V26" s="2595"/>
      <c r="W26" s="2595"/>
      <c r="X26" s="2595"/>
      <c r="Y26" s="2595"/>
      <c r="Z26" s="2595"/>
      <c r="AA26" s="2595"/>
      <c r="AB26" s="2596"/>
    </row>
    <row r="27" spans="2:46" ht="21" thickBot="1" x14ac:dyDescent="0.35">
      <c r="B27" s="106" t="s">
        <v>471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06"/>
      <c r="N27" s="2651" t="s">
        <v>783</v>
      </c>
      <c r="O27" s="2682"/>
      <c r="P27" s="2682"/>
      <c r="Q27" s="2682"/>
      <c r="R27" s="2682"/>
      <c r="S27" s="2682"/>
      <c r="T27" s="2682"/>
      <c r="U27" s="2682"/>
      <c r="V27" s="2682"/>
      <c r="W27" s="2682"/>
      <c r="X27" s="2682"/>
      <c r="Y27" s="2682"/>
      <c r="Z27" s="2682"/>
      <c r="AA27" s="2682"/>
      <c r="AB27" s="2683"/>
    </row>
    <row r="28" spans="2:46" ht="21" thickBot="1" x14ac:dyDescent="0.35">
      <c r="B28" s="106" t="s">
        <v>413</v>
      </c>
      <c r="C28" s="99"/>
      <c r="D28" s="99"/>
      <c r="E28" s="99"/>
      <c r="F28" s="99"/>
      <c r="G28" s="99"/>
      <c r="H28" s="99"/>
      <c r="I28" s="99"/>
      <c r="J28" s="99"/>
      <c r="L28" s="99"/>
      <c r="M28" s="99"/>
      <c r="N28" s="2741" t="s">
        <v>16</v>
      </c>
      <c r="O28" s="2743" t="s">
        <v>1131</v>
      </c>
      <c r="P28" s="2738" t="s">
        <v>18</v>
      </c>
      <c r="Q28" s="2741" t="s">
        <v>19</v>
      </c>
      <c r="R28" s="2689" t="s">
        <v>20</v>
      </c>
      <c r="S28" s="2738" t="s">
        <v>562</v>
      </c>
      <c r="T28" s="2690" t="s">
        <v>502</v>
      </c>
      <c r="U28" s="2688" t="str">
        <f>IF(ПЕРИОД!D10="План","Възложени часове","Проведени часове")</f>
        <v>Проведени часове</v>
      </c>
      <c r="V28" s="2738"/>
      <c r="W28" s="2741" t="s">
        <v>21</v>
      </c>
      <c r="X28" s="2689" t="s">
        <v>468</v>
      </c>
      <c r="Y28" s="2690" t="s">
        <v>309</v>
      </c>
      <c r="Z28" s="2688" t="s">
        <v>332</v>
      </c>
      <c r="AA28" s="2689"/>
      <c r="AB28" s="2690"/>
      <c r="AG28" s="1759"/>
    </row>
    <row r="29" spans="2:46" ht="26.25" thickBot="1" x14ac:dyDescent="0.35">
      <c r="B29" s="106" t="s">
        <v>414</v>
      </c>
      <c r="C29" s="2735" t="s">
        <v>313</v>
      </c>
      <c r="D29" s="2736"/>
      <c r="E29" s="2736"/>
      <c r="F29" s="2735" t="s">
        <v>310</v>
      </c>
      <c r="G29" s="2736"/>
      <c r="H29" s="2736"/>
      <c r="I29" s="2737"/>
      <c r="J29" s="2735" t="s">
        <v>336</v>
      </c>
      <c r="K29" s="2736"/>
      <c r="L29" s="2736"/>
      <c r="M29" s="2736"/>
      <c r="N29" s="2742"/>
      <c r="O29" s="2731"/>
      <c r="P29" s="2739"/>
      <c r="Q29" s="2742"/>
      <c r="R29" s="2731"/>
      <c r="S29" s="2739"/>
      <c r="T29" s="2740"/>
      <c r="U29" s="219" t="s">
        <v>326</v>
      </c>
      <c r="V29" s="217" t="s">
        <v>388</v>
      </c>
      <c r="W29" s="2742"/>
      <c r="X29" s="2731"/>
      <c r="Y29" s="2740"/>
      <c r="Z29" s="219" t="s">
        <v>327</v>
      </c>
      <c r="AA29" s="216" t="s">
        <v>328</v>
      </c>
      <c r="AB29" s="218" t="s">
        <v>389</v>
      </c>
      <c r="AC29" s="2564" t="s">
        <v>7821</v>
      </c>
      <c r="AD29" s="2568"/>
      <c r="AE29" s="2568"/>
      <c r="AF29" s="2568"/>
      <c r="AG29" s="2565"/>
      <c r="AH29" s="2564" t="s">
        <v>9528</v>
      </c>
      <c r="AI29" s="2568"/>
      <c r="AJ29" s="2565"/>
    </row>
    <row r="30" spans="2:46" s="44" customFormat="1" ht="21" hidden="1" thickBot="1" x14ac:dyDescent="0.25">
      <c r="B30" s="106" t="s">
        <v>419</v>
      </c>
      <c r="C30" s="128" t="s">
        <v>417</v>
      </c>
      <c r="D30" s="129" t="s">
        <v>315</v>
      </c>
      <c r="E30" s="129" t="s">
        <v>335</v>
      </c>
      <c r="F30" s="128" t="s">
        <v>311</v>
      </c>
      <c r="G30" s="129" t="s">
        <v>418</v>
      </c>
      <c r="H30" s="129" t="s">
        <v>391</v>
      </c>
      <c r="I30" s="671" t="s">
        <v>333</v>
      </c>
      <c r="J30" s="129" t="s">
        <v>338</v>
      </c>
      <c r="K30" s="130" t="s">
        <v>399</v>
      </c>
      <c r="L30" s="129" t="s">
        <v>387</v>
      </c>
      <c r="M30" s="672" t="s">
        <v>334</v>
      </c>
      <c r="N30" s="424" t="s">
        <v>16</v>
      </c>
      <c r="O30" s="424" t="s">
        <v>416</v>
      </c>
      <c r="P30" s="424" t="s">
        <v>18</v>
      </c>
      <c r="Q30" s="425" t="s">
        <v>19</v>
      </c>
      <c r="R30" s="424" t="s">
        <v>20</v>
      </c>
      <c r="S30" s="424" t="s">
        <v>620</v>
      </c>
      <c r="T30" s="1190" t="s">
        <v>618</v>
      </c>
      <c r="U30" s="424" t="s">
        <v>331</v>
      </c>
      <c r="V30" s="426" t="s">
        <v>339</v>
      </c>
      <c r="W30" s="424" t="s">
        <v>21</v>
      </c>
      <c r="X30" s="424" t="s">
        <v>621</v>
      </c>
      <c r="Y30" s="424" t="s">
        <v>330</v>
      </c>
      <c r="Z30" s="1236" t="s">
        <v>327</v>
      </c>
      <c r="AA30" s="1237" t="s">
        <v>86</v>
      </c>
      <c r="AB30" s="1238" t="s">
        <v>329</v>
      </c>
      <c r="AC30" s="1742" t="s">
        <v>1093</v>
      </c>
      <c r="AD30" s="1742" t="s">
        <v>1094</v>
      </c>
      <c r="AE30" s="1742" t="s">
        <v>1095</v>
      </c>
      <c r="AF30" s="1743" t="s">
        <v>1097</v>
      </c>
      <c r="AG30" s="1742" t="s">
        <v>7735</v>
      </c>
      <c r="AH30" s="1744" t="s">
        <v>1092</v>
      </c>
      <c r="AI30" s="1742" t="s">
        <v>7736</v>
      </c>
      <c r="AJ30" s="1742" t="s">
        <v>7828</v>
      </c>
      <c r="AK30" s="1760"/>
      <c r="AL30" s="1760"/>
      <c r="AM30" s="1760"/>
      <c r="AN30" s="1760"/>
      <c r="AO30" s="1760"/>
      <c r="AP30" s="1760"/>
      <c r="AQ30" s="1760"/>
      <c r="AR30" s="1760"/>
      <c r="AS30" s="1760"/>
      <c r="AT30" s="1760"/>
    </row>
    <row r="31" spans="2:46" s="41" customFormat="1" x14ac:dyDescent="0.3">
      <c r="B31" s="236">
        <f>N(B30)+1</f>
        <v>1</v>
      </c>
      <c r="C31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1" s="254">
        <f>AND(MAZZS[[#This Row],[Дисциплина]]&lt;&gt;0,OR(N(MAZZS[[#This Row],[Лекции]])&lt;&gt;0,N(MAZZS[[#This Row],[Упражнения]])&lt;&gt;0),N(MAZZS[[#This Row],[Студенти]])=0)*1</f>
        <v>0</v>
      </c>
      <c r="E31" s="254">
        <f>AND(N(MAZZS[[#This Row],[Изпитани]])&gt;0,MAZZS[[#This Row],[Изпитващ]]=0)*1</f>
        <v>0</v>
      </c>
      <c r="F31" s="255">
        <f>IFERROR(VLOOKUP(MAZZS[[#This Row],[Език]],ТобЕзик[[обЕзик]:[Коеф.]],2,0),0)</f>
        <v>1</v>
      </c>
      <c r="G31" s="254" cm="1">
        <f t="array" ref="G31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1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1" s="664">
        <f>IFERROR(VLOOKUP(MAZZS[[#This Row],[ФормаОб]],тТО[[обФорма]:[Коеф.]],2,0),0)</f>
        <v>0</v>
      </c>
      <c r="J31" s="254">
        <f>N(MAZZS[[#This Row],[Лекции]])*MAZZS[[#This Row],[кЕзик]]*MAZZS[[#This Row],[кСтуденти]]*кЛекции</f>
        <v>0</v>
      </c>
      <c r="K31" s="256">
        <f>N(MAZZS[[#This Row],[Упражнения]])*MAZZS[[#This Row],[кЕзик]]*MAZZS[[#This Row],[кСтуденти]]*кУпражнение</f>
        <v>0</v>
      </c>
      <c r="L31" s="254">
        <f>N(MAZZS[[#This Row],[Изпитани]])*MAZZS[[#This Row],[кИзпитващ]]</f>
        <v>0</v>
      </c>
      <c r="M31" s="673">
        <f>N(MAZZS[[#This Row],[ТО]])*MAZZS[[#This Row],[кTO]]</f>
        <v>0</v>
      </c>
      <c r="N31" s="1458"/>
      <c r="O31" s="1459"/>
      <c r="P31" s="1494"/>
      <c r="Q31" s="904"/>
      <c r="R31" s="896"/>
      <c r="S31" s="896"/>
      <c r="T31" s="1191"/>
      <c r="U31" s="241"/>
      <c r="V31" s="242"/>
      <c r="W31" s="580" t="s">
        <v>84</v>
      </c>
      <c r="X31" s="896"/>
      <c r="Y31" s="896"/>
      <c r="Z31" s="1230"/>
      <c r="AA31" s="1231"/>
      <c r="AB31" s="1232"/>
      <c r="AC31" s="1143"/>
      <c r="AD31" s="1391"/>
      <c r="AE31" s="1391"/>
      <c r="AF31" s="1391"/>
      <c r="AG31" s="1391"/>
      <c r="AH31" s="1144">
        <f ca="1">N(OFFSET(MAZZS[[#This Row],[|]],-1,0))+1</f>
        <v>1</v>
      </c>
      <c r="AI31" s="1685" t="str">
        <f>IF(MAZZS[[#This Row],[уЧасове]],MAZZS[[#This Row],[нацид|монСпециалностМП]],"")</f>
        <v/>
      </c>
      <c r="AJ31" s="1645">
        <f>SUM(MAZZS[[#This Row],[чЛекции]:[чTO]],N(MAZZS[[#This Row],[КР]])*кКурсова_работа)</f>
        <v>0</v>
      </c>
      <c r="AK31" s="1746"/>
      <c r="AL31" s="1746"/>
      <c r="AM31" s="1746"/>
      <c r="AN31" s="1746"/>
      <c r="AO31" s="1746"/>
      <c r="AP31" s="1746"/>
      <c r="AQ31" s="1746"/>
      <c r="AR31" s="1746"/>
      <c r="AS31" s="1746"/>
      <c r="AT31" s="1746"/>
    </row>
    <row r="32" spans="2:46" s="41" customFormat="1" x14ac:dyDescent="0.3">
      <c r="B32" s="236">
        <f t="shared" ref="B32:B49" si="0">N(B31)+1</f>
        <v>2</v>
      </c>
      <c r="C32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2" s="254">
        <f>AND(MAZZS[[#This Row],[Дисциплина]]&lt;&gt;0,OR(N(MAZZS[[#This Row],[Лекции]])&lt;&gt;0,N(MAZZS[[#This Row],[Упражнения]])&lt;&gt;0),N(MAZZS[[#This Row],[Студенти]])=0)*1</f>
        <v>0</v>
      </c>
      <c r="E32" s="254">
        <f>AND(N(MAZZS[[#This Row],[Изпитани]])&gt;0,MAZZS[[#This Row],[Изпитващ]]=0)*1</f>
        <v>0</v>
      </c>
      <c r="F32" s="255">
        <f>IFERROR(VLOOKUP(MAZZS[[#This Row],[Език]],ТобЕзик[[обЕзик]:[Коеф.]],2,0),0)</f>
        <v>1</v>
      </c>
      <c r="G32" s="254" cm="1">
        <f t="array" ref="G32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2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2" s="664">
        <f>IFERROR(VLOOKUP(MAZZS[[#This Row],[ФормаОб]],тТО[[обФорма]:[Коеф.]],2,0),0)</f>
        <v>0</v>
      </c>
      <c r="J32" s="254">
        <f>N(MAZZS[[#This Row],[Лекции]])*MAZZS[[#This Row],[кЕзик]]*MAZZS[[#This Row],[кСтуденти]]*кЛекции</f>
        <v>0</v>
      </c>
      <c r="K32" s="256">
        <f>N(MAZZS[[#This Row],[Упражнения]])*MAZZS[[#This Row],[кЕзик]]*MAZZS[[#This Row],[кСтуденти]]*кУпражнение</f>
        <v>0</v>
      </c>
      <c r="L32" s="254">
        <f>N(MAZZS[[#This Row],[Изпитани]])*MAZZS[[#This Row],[кИзпитващ]]</f>
        <v>0</v>
      </c>
      <c r="M32" s="673">
        <f>N(MAZZS[[#This Row],[ТО]])*MAZZS[[#This Row],[кTO]]</f>
        <v>0</v>
      </c>
      <c r="N32" s="867"/>
      <c r="O32" s="555"/>
      <c r="P32" s="907"/>
      <c r="Q32" s="904"/>
      <c r="R32" s="896"/>
      <c r="S32" s="896"/>
      <c r="T32" s="1191"/>
      <c r="U32" s="241"/>
      <c r="V32" s="242"/>
      <c r="W32" s="580" t="s">
        <v>84</v>
      </c>
      <c r="X32" s="896"/>
      <c r="Y32" s="896"/>
      <c r="Z32" s="247"/>
      <c r="AA32" s="241"/>
      <c r="AB32" s="242"/>
      <c r="AC32" s="1143"/>
      <c r="AD32" s="1391"/>
      <c r="AE32" s="1391"/>
      <c r="AF32" s="1391"/>
      <c r="AG32" s="1391"/>
      <c r="AH32" s="1144">
        <f ca="1">N(OFFSET(MAZZS[[#This Row],[|]],-1,0))+1</f>
        <v>2</v>
      </c>
      <c r="AI32" s="1685" t="str">
        <f>IF(MAZZS[[#This Row],[уЧасове]],MAZZS[[#This Row],[нацид|монСпециалностМП]],"")</f>
        <v/>
      </c>
      <c r="AJ32" s="1645">
        <f>SUM(MAZZS[[#This Row],[чЛекции]:[чTO]],N(MAZZS[[#This Row],[КР]])*кКурсова_работа)</f>
        <v>0</v>
      </c>
      <c r="AK32" s="1746"/>
      <c r="AL32" s="1746"/>
      <c r="AM32" s="1746"/>
      <c r="AN32" s="1746"/>
      <c r="AO32" s="1746"/>
      <c r="AP32" s="1746"/>
      <c r="AQ32" s="1746"/>
      <c r="AR32" s="1746"/>
      <c r="AS32" s="1746"/>
      <c r="AT32" s="1746"/>
    </row>
    <row r="33" spans="2:46" s="41" customFormat="1" x14ac:dyDescent="0.3">
      <c r="B33" s="236">
        <f t="shared" si="0"/>
        <v>3</v>
      </c>
      <c r="C33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3" s="254">
        <f>AND(MAZZS[[#This Row],[Дисциплина]]&lt;&gt;0,OR(N(MAZZS[[#This Row],[Лекции]])&lt;&gt;0,N(MAZZS[[#This Row],[Упражнения]])&lt;&gt;0),N(MAZZS[[#This Row],[Студенти]])=0)*1</f>
        <v>0</v>
      </c>
      <c r="E33" s="254">
        <f>AND(N(MAZZS[[#This Row],[Изпитани]])&gt;0,MAZZS[[#This Row],[Изпитващ]]=0)*1</f>
        <v>0</v>
      </c>
      <c r="F33" s="255">
        <f>IFERROR(VLOOKUP(MAZZS[[#This Row],[Език]],ТобЕзик[[обЕзик]:[Коеф.]],2,0),0)</f>
        <v>1</v>
      </c>
      <c r="G33" s="254" cm="1">
        <f t="array" ref="G33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3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3" s="664">
        <f>IFERROR(VLOOKUP(MAZZS[[#This Row],[ФормаОб]],тТО[[обФорма]:[Коеф.]],2,0),0)</f>
        <v>0</v>
      </c>
      <c r="J33" s="254">
        <f>N(MAZZS[[#This Row],[Лекции]])*MAZZS[[#This Row],[кЕзик]]*MAZZS[[#This Row],[кСтуденти]]*кЛекции</f>
        <v>0</v>
      </c>
      <c r="K33" s="256">
        <f>N(MAZZS[[#This Row],[Упражнения]])*MAZZS[[#This Row],[кЕзик]]*MAZZS[[#This Row],[кСтуденти]]*кУпражнение</f>
        <v>0</v>
      </c>
      <c r="L33" s="254">
        <f>N(MAZZS[[#This Row],[Изпитани]])*MAZZS[[#This Row],[кИзпитващ]]</f>
        <v>0</v>
      </c>
      <c r="M33" s="673">
        <f>N(MAZZS[[#This Row],[ТО]])*MAZZS[[#This Row],[кTO]]</f>
        <v>0</v>
      </c>
      <c r="N33" s="867"/>
      <c r="O33" s="555"/>
      <c r="P33" s="907"/>
      <c r="Q33" s="904"/>
      <c r="R33" s="896"/>
      <c r="S33" s="896"/>
      <c r="T33" s="1191"/>
      <c r="U33" s="241"/>
      <c r="V33" s="242"/>
      <c r="W33" s="580" t="s">
        <v>84</v>
      </c>
      <c r="X33" s="896"/>
      <c r="Y33" s="896"/>
      <c r="Z33" s="247"/>
      <c r="AA33" s="241"/>
      <c r="AB33" s="242"/>
      <c r="AC33" s="1143"/>
      <c r="AD33" s="1391"/>
      <c r="AE33" s="1391"/>
      <c r="AF33" s="1391"/>
      <c r="AG33" s="1391"/>
      <c r="AH33" s="1144">
        <f ca="1">N(OFFSET(MAZZS[[#This Row],[|]],-1,0))+1</f>
        <v>3</v>
      </c>
      <c r="AI33" s="1685" t="str">
        <f>IF(MAZZS[[#This Row],[уЧасове]],MAZZS[[#This Row],[нацид|монСпециалностМП]],"")</f>
        <v/>
      </c>
      <c r="AJ33" s="1645">
        <f>SUM(MAZZS[[#This Row],[чЛекции]:[чTO]],N(MAZZS[[#This Row],[КР]])*кКурсова_работа)</f>
        <v>0</v>
      </c>
      <c r="AK33" s="1746"/>
      <c r="AL33" s="1746"/>
      <c r="AM33" s="1746"/>
      <c r="AN33" s="1746"/>
      <c r="AO33" s="1746"/>
      <c r="AP33" s="1746"/>
      <c r="AQ33" s="1746"/>
      <c r="AR33" s="1746"/>
      <c r="AS33" s="1746"/>
      <c r="AT33" s="1746"/>
    </row>
    <row r="34" spans="2:46" s="41" customFormat="1" x14ac:dyDescent="0.3">
      <c r="B34" s="236">
        <f t="shared" si="0"/>
        <v>4</v>
      </c>
      <c r="C34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4" s="254">
        <f>AND(MAZZS[[#This Row],[Дисциплина]]&lt;&gt;0,OR(N(MAZZS[[#This Row],[Лекции]])&lt;&gt;0,N(MAZZS[[#This Row],[Упражнения]])&lt;&gt;0),N(MAZZS[[#This Row],[Студенти]])=0)*1</f>
        <v>0</v>
      </c>
      <c r="E34" s="254">
        <f>AND(N(MAZZS[[#This Row],[Изпитани]])&gt;0,MAZZS[[#This Row],[Изпитващ]]=0)*1</f>
        <v>0</v>
      </c>
      <c r="F34" s="255">
        <f>IFERROR(VLOOKUP(MAZZS[[#This Row],[Език]],ТобЕзик[[обЕзик]:[Коеф.]],2,0),0)</f>
        <v>1</v>
      </c>
      <c r="G34" s="254" cm="1">
        <f t="array" ref="G34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4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4" s="664">
        <f>IFERROR(VLOOKUP(MAZZS[[#This Row],[ФормаОб]],тТО[[обФорма]:[Коеф.]],2,0),0)</f>
        <v>0</v>
      </c>
      <c r="J34" s="254">
        <f>N(MAZZS[[#This Row],[Лекции]])*MAZZS[[#This Row],[кЕзик]]*MAZZS[[#This Row],[кСтуденти]]*кЛекции</f>
        <v>0</v>
      </c>
      <c r="K34" s="256">
        <f>N(MAZZS[[#This Row],[Упражнения]])*MAZZS[[#This Row],[кЕзик]]*MAZZS[[#This Row],[кСтуденти]]*кУпражнение</f>
        <v>0</v>
      </c>
      <c r="L34" s="254">
        <f>N(MAZZS[[#This Row],[Изпитани]])*MAZZS[[#This Row],[кИзпитващ]]</f>
        <v>0</v>
      </c>
      <c r="M34" s="673">
        <f>N(MAZZS[[#This Row],[ТО]])*MAZZS[[#This Row],[кTO]]</f>
        <v>0</v>
      </c>
      <c r="N34" s="867"/>
      <c r="O34" s="555"/>
      <c r="P34" s="907"/>
      <c r="Q34" s="904"/>
      <c r="R34" s="896"/>
      <c r="S34" s="896"/>
      <c r="T34" s="1191"/>
      <c r="U34" s="241"/>
      <c r="V34" s="242"/>
      <c r="W34" s="580" t="s">
        <v>84</v>
      </c>
      <c r="X34" s="896"/>
      <c r="Y34" s="896"/>
      <c r="Z34" s="247"/>
      <c r="AA34" s="241"/>
      <c r="AB34" s="242"/>
      <c r="AC34" s="1143"/>
      <c r="AD34" s="1391"/>
      <c r="AE34" s="1391"/>
      <c r="AF34" s="1391"/>
      <c r="AG34" s="1391"/>
      <c r="AH34" s="1144">
        <f ca="1">N(OFFSET(MAZZS[[#This Row],[|]],-1,0))+1</f>
        <v>4</v>
      </c>
      <c r="AI34" s="1685" t="str">
        <f>IF(MAZZS[[#This Row],[уЧасове]],MAZZS[[#This Row],[нацид|монСпециалностМП]],"")</f>
        <v/>
      </c>
      <c r="AJ34" s="1645">
        <f>SUM(MAZZS[[#This Row],[чЛекции]:[чTO]],N(MAZZS[[#This Row],[КР]])*кКурсова_работа)</f>
        <v>0</v>
      </c>
      <c r="AK34" s="1746"/>
      <c r="AL34" s="1746"/>
      <c r="AM34" s="1746"/>
      <c r="AN34" s="1746"/>
      <c r="AO34" s="1746"/>
      <c r="AP34" s="1746"/>
      <c r="AQ34" s="1746"/>
      <c r="AR34" s="1746"/>
      <c r="AS34" s="1746"/>
      <c r="AT34" s="1746"/>
    </row>
    <row r="35" spans="2:46" s="41" customFormat="1" x14ac:dyDescent="0.3">
      <c r="B35" s="236">
        <f t="shared" si="0"/>
        <v>5</v>
      </c>
      <c r="C35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5" s="254">
        <f>AND(MAZZS[[#This Row],[Дисциплина]]&lt;&gt;0,OR(N(MAZZS[[#This Row],[Лекции]])&lt;&gt;0,N(MAZZS[[#This Row],[Упражнения]])&lt;&gt;0),N(MAZZS[[#This Row],[Студенти]])=0)*1</f>
        <v>0</v>
      </c>
      <c r="E35" s="254">
        <f>AND(N(MAZZS[[#This Row],[Изпитани]])&gt;0,MAZZS[[#This Row],[Изпитващ]]=0)*1</f>
        <v>0</v>
      </c>
      <c r="F35" s="255">
        <f>IFERROR(VLOOKUP(MAZZS[[#This Row],[Език]],ТобЕзик[[обЕзик]:[Коеф.]],2,0),0)</f>
        <v>1</v>
      </c>
      <c r="G35" s="254" cm="1">
        <f t="array" ref="G35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5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5" s="664">
        <f>IFERROR(VLOOKUP(MAZZS[[#This Row],[ФормаОб]],тТО[[обФорма]:[Коеф.]],2,0),0)</f>
        <v>0</v>
      </c>
      <c r="J35" s="254">
        <f>N(MAZZS[[#This Row],[Лекции]])*MAZZS[[#This Row],[кЕзик]]*MAZZS[[#This Row],[кСтуденти]]*кЛекции</f>
        <v>0</v>
      </c>
      <c r="K35" s="256">
        <f>N(MAZZS[[#This Row],[Упражнения]])*MAZZS[[#This Row],[кЕзик]]*MAZZS[[#This Row],[кСтуденти]]*кУпражнение</f>
        <v>0</v>
      </c>
      <c r="L35" s="254">
        <f>N(MAZZS[[#This Row],[Изпитани]])*MAZZS[[#This Row],[кИзпитващ]]</f>
        <v>0</v>
      </c>
      <c r="M35" s="673">
        <f>N(MAZZS[[#This Row],[ТО]])*MAZZS[[#This Row],[кTO]]</f>
        <v>0</v>
      </c>
      <c r="N35" s="867"/>
      <c r="O35" s="555"/>
      <c r="P35" s="907"/>
      <c r="Q35" s="904"/>
      <c r="R35" s="896"/>
      <c r="S35" s="896"/>
      <c r="T35" s="1191"/>
      <c r="U35" s="241"/>
      <c r="V35" s="242"/>
      <c r="W35" s="580" t="s">
        <v>84</v>
      </c>
      <c r="X35" s="896"/>
      <c r="Y35" s="896"/>
      <c r="Z35" s="247"/>
      <c r="AA35" s="241"/>
      <c r="AB35" s="242"/>
      <c r="AC35" s="1143"/>
      <c r="AD35" s="1391"/>
      <c r="AE35" s="1391"/>
      <c r="AF35" s="1391"/>
      <c r="AG35" s="1391"/>
      <c r="AH35" s="1144">
        <f ca="1">N(OFFSET(MAZZS[[#This Row],[|]],-1,0))+1</f>
        <v>5</v>
      </c>
      <c r="AI35" s="1685" t="str">
        <f>IF(MAZZS[[#This Row],[уЧасове]],MAZZS[[#This Row],[нацид|монСпециалностМП]],"")</f>
        <v/>
      </c>
      <c r="AJ35" s="1645">
        <f>SUM(MAZZS[[#This Row],[чЛекции]:[чTO]],N(MAZZS[[#This Row],[КР]])*кКурсова_работа)</f>
        <v>0</v>
      </c>
      <c r="AK35" s="1746"/>
      <c r="AL35" s="1746"/>
      <c r="AM35" s="1746"/>
      <c r="AN35" s="1746"/>
      <c r="AO35" s="1746"/>
      <c r="AP35" s="1746"/>
      <c r="AQ35" s="1746"/>
      <c r="AR35" s="1746"/>
      <c r="AS35" s="1746"/>
      <c r="AT35" s="1746"/>
    </row>
    <row r="36" spans="2:46" s="41" customFormat="1" x14ac:dyDescent="0.3">
      <c r="B36" s="236">
        <f t="shared" si="0"/>
        <v>6</v>
      </c>
      <c r="C36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6" s="254">
        <f>AND(MAZZS[[#This Row],[Дисциплина]]&lt;&gt;0,OR(N(MAZZS[[#This Row],[Лекции]])&lt;&gt;0,N(MAZZS[[#This Row],[Упражнения]])&lt;&gt;0),N(MAZZS[[#This Row],[Студенти]])=0)*1</f>
        <v>0</v>
      </c>
      <c r="E36" s="254">
        <f>AND(N(MAZZS[[#This Row],[Изпитани]])&gt;0,MAZZS[[#This Row],[Изпитващ]]=0)*1</f>
        <v>0</v>
      </c>
      <c r="F36" s="255">
        <f>IFERROR(VLOOKUP(MAZZS[[#This Row],[Език]],ТобЕзик[[обЕзик]:[Коеф.]],2,0),0)</f>
        <v>1</v>
      </c>
      <c r="G36" s="254" cm="1">
        <f t="array" ref="G36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6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6" s="664">
        <f>IFERROR(VLOOKUP(MAZZS[[#This Row],[ФормаОб]],тТО[[обФорма]:[Коеф.]],2,0),0)</f>
        <v>0</v>
      </c>
      <c r="J36" s="254">
        <f>N(MAZZS[[#This Row],[Лекции]])*MAZZS[[#This Row],[кЕзик]]*MAZZS[[#This Row],[кСтуденти]]*кЛекции</f>
        <v>0</v>
      </c>
      <c r="K36" s="256">
        <f>N(MAZZS[[#This Row],[Упражнения]])*MAZZS[[#This Row],[кЕзик]]*MAZZS[[#This Row],[кСтуденти]]*кУпражнение</f>
        <v>0</v>
      </c>
      <c r="L36" s="254">
        <f>N(MAZZS[[#This Row],[Изпитани]])*MAZZS[[#This Row],[кИзпитващ]]</f>
        <v>0</v>
      </c>
      <c r="M36" s="673">
        <f>N(MAZZS[[#This Row],[ТО]])*MAZZS[[#This Row],[кTO]]</f>
        <v>0</v>
      </c>
      <c r="N36" s="867"/>
      <c r="O36" s="555"/>
      <c r="P36" s="907"/>
      <c r="Q36" s="904"/>
      <c r="R36" s="896"/>
      <c r="S36" s="896"/>
      <c r="T36" s="1191"/>
      <c r="U36" s="241"/>
      <c r="V36" s="242"/>
      <c r="W36" s="580" t="s">
        <v>84</v>
      </c>
      <c r="X36" s="896"/>
      <c r="Y36" s="896"/>
      <c r="Z36" s="247"/>
      <c r="AA36" s="241"/>
      <c r="AB36" s="242"/>
      <c r="AC36" s="1143"/>
      <c r="AD36" s="1391"/>
      <c r="AE36" s="1391"/>
      <c r="AF36" s="1391"/>
      <c r="AG36" s="1391"/>
      <c r="AH36" s="1144">
        <f ca="1">N(OFFSET(MAZZS[[#This Row],[|]],-1,0))+1</f>
        <v>6</v>
      </c>
      <c r="AI36" s="1685" t="str">
        <f>IF(MAZZS[[#This Row],[уЧасове]],MAZZS[[#This Row],[нацид|монСпециалностМП]],"")</f>
        <v/>
      </c>
      <c r="AJ36" s="1645">
        <f>SUM(MAZZS[[#This Row],[чЛекции]:[чTO]],N(MAZZS[[#This Row],[КР]])*кКурсова_работа)</f>
        <v>0</v>
      </c>
      <c r="AK36" s="1746"/>
      <c r="AL36" s="1746"/>
      <c r="AM36" s="1746"/>
      <c r="AN36" s="1746"/>
      <c r="AO36" s="1746"/>
      <c r="AP36" s="1746"/>
      <c r="AQ36" s="1746"/>
      <c r="AR36" s="1746"/>
      <c r="AS36" s="1746"/>
      <c r="AT36" s="1746"/>
    </row>
    <row r="37" spans="2:46" s="41" customFormat="1" x14ac:dyDescent="0.3">
      <c r="B37" s="236">
        <f t="shared" si="0"/>
        <v>7</v>
      </c>
      <c r="C37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7" s="254">
        <f>AND(MAZZS[[#This Row],[Дисциплина]]&lt;&gt;0,OR(N(MAZZS[[#This Row],[Лекции]])&lt;&gt;0,N(MAZZS[[#This Row],[Упражнения]])&lt;&gt;0),N(MAZZS[[#This Row],[Студенти]])=0)*1</f>
        <v>0</v>
      </c>
      <c r="E37" s="254">
        <f>AND(N(MAZZS[[#This Row],[Изпитани]])&gt;0,MAZZS[[#This Row],[Изпитващ]]=0)*1</f>
        <v>0</v>
      </c>
      <c r="F37" s="255">
        <f>IFERROR(VLOOKUP(MAZZS[[#This Row],[Език]],ТобЕзик[[обЕзик]:[Коеф.]],2,0),0)</f>
        <v>1</v>
      </c>
      <c r="G37" s="254" cm="1">
        <f t="array" ref="G37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7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7" s="664">
        <f>IFERROR(VLOOKUP(MAZZS[[#This Row],[ФормаОб]],тТО[[обФорма]:[Коеф.]],2,0),0)</f>
        <v>0</v>
      </c>
      <c r="J37" s="254">
        <f>N(MAZZS[[#This Row],[Лекции]])*MAZZS[[#This Row],[кЕзик]]*MAZZS[[#This Row],[кСтуденти]]*кЛекции</f>
        <v>0</v>
      </c>
      <c r="K37" s="256">
        <f>N(MAZZS[[#This Row],[Упражнения]])*MAZZS[[#This Row],[кЕзик]]*MAZZS[[#This Row],[кСтуденти]]*кУпражнение</f>
        <v>0</v>
      </c>
      <c r="L37" s="254">
        <f>N(MAZZS[[#This Row],[Изпитани]])*MAZZS[[#This Row],[кИзпитващ]]</f>
        <v>0</v>
      </c>
      <c r="M37" s="673">
        <f>N(MAZZS[[#This Row],[ТО]])*MAZZS[[#This Row],[кTO]]</f>
        <v>0</v>
      </c>
      <c r="N37" s="867"/>
      <c r="O37" s="555"/>
      <c r="P37" s="907"/>
      <c r="Q37" s="904"/>
      <c r="R37" s="896"/>
      <c r="S37" s="896"/>
      <c r="T37" s="1191"/>
      <c r="U37" s="241"/>
      <c r="V37" s="242"/>
      <c r="W37" s="580" t="s">
        <v>84</v>
      </c>
      <c r="X37" s="896"/>
      <c r="Y37" s="896"/>
      <c r="Z37" s="247"/>
      <c r="AA37" s="241"/>
      <c r="AB37" s="242"/>
      <c r="AC37" s="1143"/>
      <c r="AD37" s="1391"/>
      <c r="AE37" s="1391"/>
      <c r="AF37" s="1391"/>
      <c r="AG37" s="1391"/>
      <c r="AH37" s="1144">
        <f ca="1">N(OFFSET(MAZZS[[#This Row],[|]],-1,0))+1</f>
        <v>7</v>
      </c>
      <c r="AI37" s="1685" t="str">
        <f>IF(MAZZS[[#This Row],[уЧасове]],MAZZS[[#This Row],[нацид|монСпециалностМП]],"")</f>
        <v/>
      </c>
      <c r="AJ37" s="1645">
        <f>SUM(MAZZS[[#This Row],[чЛекции]:[чTO]],N(MAZZS[[#This Row],[КР]])*кКурсова_работа)</f>
        <v>0</v>
      </c>
      <c r="AK37" s="1746"/>
      <c r="AL37" s="1746"/>
      <c r="AM37" s="1746"/>
      <c r="AN37" s="1746"/>
      <c r="AO37" s="1746"/>
      <c r="AP37" s="1746"/>
      <c r="AQ37" s="1746"/>
      <c r="AR37" s="1746"/>
      <c r="AS37" s="1746"/>
      <c r="AT37" s="1746"/>
    </row>
    <row r="38" spans="2:46" s="41" customFormat="1" x14ac:dyDescent="0.3">
      <c r="B38" s="236">
        <f t="shared" si="0"/>
        <v>8</v>
      </c>
      <c r="C38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8" s="254">
        <f>AND(MAZZS[[#This Row],[Дисциплина]]&lt;&gt;0,OR(N(MAZZS[[#This Row],[Лекции]])&lt;&gt;0,N(MAZZS[[#This Row],[Упражнения]])&lt;&gt;0),N(MAZZS[[#This Row],[Студенти]])=0)*1</f>
        <v>0</v>
      </c>
      <c r="E38" s="254">
        <f>AND(N(MAZZS[[#This Row],[Изпитани]])&gt;0,MAZZS[[#This Row],[Изпитващ]]=0)*1</f>
        <v>0</v>
      </c>
      <c r="F38" s="255">
        <f>IFERROR(VLOOKUP(MAZZS[[#This Row],[Език]],ТобЕзик[[обЕзик]:[Коеф.]],2,0),0)</f>
        <v>1</v>
      </c>
      <c r="G38" s="254" cm="1">
        <f t="array" ref="G38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8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8" s="664">
        <f>IFERROR(VLOOKUP(MAZZS[[#This Row],[ФормаОб]],тТО[[обФорма]:[Коеф.]],2,0),0)</f>
        <v>0</v>
      </c>
      <c r="J38" s="254">
        <f>N(MAZZS[[#This Row],[Лекции]])*MAZZS[[#This Row],[кЕзик]]*MAZZS[[#This Row],[кСтуденти]]*кЛекции</f>
        <v>0</v>
      </c>
      <c r="K38" s="256">
        <f>N(MAZZS[[#This Row],[Упражнения]])*MAZZS[[#This Row],[кЕзик]]*MAZZS[[#This Row],[кСтуденти]]*кУпражнение</f>
        <v>0</v>
      </c>
      <c r="L38" s="254">
        <f>N(MAZZS[[#This Row],[Изпитани]])*MAZZS[[#This Row],[кИзпитващ]]</f>
        <v>0</v>
      </c>
      <c r="M38" s="673">
        <f>N(MAZZS[[#This Row],[ТО]])*MAZZS[[#This Row],[кTO]]</f>
        <v>0</v>
      </c>
      <c r="N38" s="867"/>
      <c r="O38" s="555"/>
      <c r="P38" s="907"/>
      <c r="Q38" s="904"/>
      <c r="R38" s="896"/>
      <c r="S38" s="896"/>
      <c r="T38" s="1191"/>
      <c r="U38" s="241"/>
      <c r="V38" s="242"/>
      <c r="W38" s="580" t="s">
        <v>84</v>
      </c>
      <c r="X38" s="896"/>
      <c r="Y38" s="896"/>
      <c r="Z38" s="247"/>
      <c r="AA38" s="241"/>
      <c r="AB38" s="242"/>
      <c r="AC38" s="1143"/>
      <c r="AD38" s="1391"/>
      <c r="AE38" s="1391"/>
      <c r="AF38" s="1391"/>
      <c r="AG38" s="1391"/>
      <c r="AH38" s="1144">
        <f ca="1">N(OFFSET(MAZZS[[#This Row],[|]],-1,0))+1</f>
        <v>8</v>
      </c>
      <c r="AI38" s="1685" t="str">
        <f>IF(MAZZS[[#This Row],[уЧасове]],MAZZS[[#This Row],[нацид|монСпециалностМП]],"")</f>
        <v/>
      </c>
      <c r="AJ38" s="1645">
        <f>SUM(MAZZS[[#This Row],[чЛекции]:[чTO]],N(MAZZS[[#This Row],[КР]])*кКурсова_работа)</f>
        <v>0</v>
      </c>
      <c r="AK38" s="1746"/>
      <c r="AL38" s="1746"/>
      <c r="AM38" s="1746"/>
      <c r="AN38" s="1746"/>
      <c r="AO38" s="1746"/>
      <c r="AP38" s="1746"/>
      <c r="AQ38" s="1746"/>
      <c r="AR38" s="1746"/>
      <c r="AS38" s="1746"/>
      <c r="AT38" s="1746"/>
    </row>
    <row r="39" spans="2:46" s="41" customFormat="1" x14ac:dyDescent="0.3">
      <c r="B39" s="236">
        <f t="shared" si="0"/>
        <v>9</v>
      </c>
      <c r="C39" s="254">
        <f>IFERROR(AND(LEN(MAZZS[[#This Row],[Дисциплина]]&amp;MAZZS[[#This Row],[Магистърска програма]]&amp;MAZZS[[#This Row],[Факултет]])&gt;0,LEN(MAZZS[[#This Row],[Вид]])=0)*1,0)</f>
        <v>0</v>
      </c>
      <c r="D39" s="254">
        <f>AND(MAZZS[[#This Row],[Дисциплина]]&lt;&gt;0,OR(N(MAZZS[[#This Row],[Лекции]])&lt;&gt;0,N(MAZZS[[#This Row],[Упражнения]])&lt;&gt;0),N(MAZZS[[#This Row],[Студенти]])=0)*1</f>
        <v>0</v>
      </c>
      <c r="E39" s="254">
        <f>AND(N(MAZZS[[#This Row],[Изпитани]])&gt;0,MAZZS[[#This Row],[Изпитващ]]=0)*1</f>
        <v>0</v>
      </c>
      <c r="F39" s="255">
        <f>IFERROR(VLOOKUP(MAZZS[[#This Row],[Език]],ТобЕзик[[обЕзик]:[Коеф.]],2,0),0)</f>
        <v>1</v>
      </c>
      <c r="G39" s="254" cm="1">
        <f t="array" ref="G39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39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39" s="664">
        <f>IFERROR(VLOOKUP(MAZZS[[#This Row],[ФормаОб]],тТО[[обФорма]:[Коеф.]],2,0),0)</f>
        <v>0</v>
      </c>
      <c r="J39" s="254">
        <f>N(MAZZS[[#This Row],[Лекции]])*MAZZS[[#This Row],[кЕзик]]*MAZZS[[#This Row],[кСтуденти]]*кЛекции</f>
        <v>0</v>
      </c>
      <c r="K39" s="256">
        <f>N(MAZZS[[#This Row],[Упражнения]])*MAZZS[[#This Row],[кЕзик]]*MAZZS[[#This Row],[кСтуденти]]*кУпражнение</f>
        <v>0</v>
      </c>
      <c r="L39" s="254">
        <f>N(MAZZS[[#This Row],[Изпитани]])*MAZZS[[#This Row],[кИзпитващ]]</f>
        <v>0</v>
      </c>
      <c r="M39" s="673">
        <f>N(MAZZS[[#This Row],[ТО]])*MAZZS[[#This Row],[кTO]]</f>
        <v>0</v>
      </c>
      <c r="N39" s="867"/>
      <c r="O39" s="555"/>
      <c r="P39" s="907"/>
      <c r="Q39" s="904"/>
      <c r="R39" s="896"/>
      <c r="S39" s="896"/>
      <c r="T39" s="1191"/>
      <c r="U39" s="241"/>
      <c r="V39" s="242"/>
      <c r="W39" s="580" t="s">
        <v>84</v>
      </c>
      <c r="X39" s="896"/>
      <c r="Y39" s="896"/>
      <c r="Z39" s="247"/>
      <c r="AA39" s="241"/>
      <c r="AB39" s="242"/>
      <c r="AC39" s="1143"/>
      <c r="AD39" s="1391"/>
      <c r="AE39" s="1391"/>
      <c r="AF39" s="1391"/>
      <c r="AG39" s="1391"/>
      <c r="AH39" s="1144">
        <f ca="1">N(OFFSET(MAZZS[[#This Row],[|]],-1,0))+1</f>
        <v>9</v>
      </c>
      <c r="AI39" s="1685" t="str">
        <f>IF(MAZZS[[#This Row],[уЧасове]],MAZZS[[#This Row],[нацид|монСпециалностМП]],"")</f>
        <v/>
      </c>
      <c r="AJ39" s="1645">
        <f>SUM(MAZZS[[#This Row],[чЛекции]:[чTO]],N(MAZZS[[#This Row],[КР]])*кКурсова_работа)</f>
        <v>0</v>
      </c>
      <c r="AK39" s="1746"/>
      <c r="AL39" s="1746"/>
      <c r="AM39" s="1746"/>
      <c r="AN39" s="1746"/>
      <c r="AO39" s="1746"/>
      <c r="AP39" s="1746"/>
      <c r="AQ39" s="1746"/>
      <c r="AR39" s="1746"/>
      <c r="AS39" s="1746"/>
      <c r="AT39" s="1746"/>
    </row>
    <row r="40" spans="2:46" s="41" customFormat="1" x14ac:dyDescent="0.3">
      <c r="B40" s="236">
        <f t="shared" si="0"/>
        <v>10</v>
      </c>
      <c r="C40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0" s="254">
        <f>AND(MAZZS[[#This Row],[Дисциплина]]&lt;&gt;0,OR(N(MAZZS[[#This Row],[Лекции]])&lt;&gt;0,N(MAZZS[[#This Row],[Упражнения]])&lt;&gt;0),N(MAZZS[[#This Row],[Студенти]])=0)*1</f>
        <v>0</v>
      </c>
      <c r="E40" s="254">
        <f>AND(N(MAZZS[[#This Row],[Изпитани]])&gt;0,MAZZS[[#This Row],[Изпитващ]]=0)*1</f>
        <v>0</v>
      </c>
      <c r="F40" s="255">
        <f>IFERROR(VLOOKUP(MAZZS[[#This Row],[Език]],ТобЕзик[[обЕзик]:[Коеф.]],2,0),0)</f>
        <v>1</v>
      </c>
      <c r="G40" s="254" cm="1">
        <f t="array" ref="G40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0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0" s="664">
        <f>IFERROR(VLOOKUP(MAZZS[[#This Row],[ФормаОб]],тТО[[обФорма]:[Коеф.]],2,0),0)</f>
        <v>0</v>
      </c>
      <c r="J40" s="254">
        <f>N(MAZZS[[#This Row],[Лекции]])*MAZZS[[#This Row],[кЕзик]]*MAZZS[[#This Row],[кСтуденти]]*кЛекции</f>
        <v>0</v>
      </c>
      <c r="K40" s="256">
        <f>N(MAZZS[[#This Row],[Упражнения]])*MAZZS[[#This Row],[кЕзик]]*MAZZS[[#This Row],[кСтуденти]]*кУпражнение</f>
        <v>0</v>
      </c>
      <c r="L40" s="254">
        <f>N(MAZZS[[#This Row],[Изпитани]])*MAZZS[[#This Row],[кИзпитващ]]</f>
        <v>0</v>
      </c>
      <c r="M40" s="673">
        <f>N(MAZZS[[#This Row],[ТО]])*MAZZS[[#This Row],[кTO]]</f>
        <v>0</v>
      </c>
      <c r="N40" s="867"/>
      <c r="O40" s="555"/>
      <c r="P40" s="907"/>
      <c r="Q40" s="904"/>
      <c r="R40" s="896"/>
      <c r="S40" s="896"/>
      <c r="T40" s="1191"/>
      <c r="U40" s="241"/>
      <c r="V40" s="242"/>
      <c r="W40" s="580" t="s">
        <v>84</v>
      </c>
      <c r="X40" s="896"/>
      <c r="Y40" s="896"/>
      <c r="Z40" s="247"/>
      <c r="AA40" s="241"/>
      <c r="AB40" s="242"/>
      <c r="AC40" s="1143"/>
      <c r="AD40" s="1391"/>
      <c r="AE40" s="1391"/>
      <c r="AF40" s="1391"/>
      <c r="AG40" s="1391"/>
      <c r="AH40" s="1144">
        <f ca="1">N(OFFSET(MAZZS[[#This Row],[|]],-1,0))+1</f>
        <v>10</v>
      </c>
      <c r="AI40" s="1685" t="str">
        <f>IF(MAZZS[[#This Row],[уЧасове]],MAZZS[[#This Row],[нацид|монСпециалностМП]],"")</f>
        <v/>
      </c>
      <c r="AJ40" s="1645">
        <f>SUM(MAZZS[[#This Row],[чЛекции]:[чTO]],N(MAZZS[[#This Row],[КР]])*кКурсова_работа)</f>
        <v>0</v>
      </c>
      <c r="AK40" s="1746"/>
      <c r="AL40" s="1746"/>
      <c r="AM40" s="1746"/>
      <c r="AN40" s="1746"/>
      <c r="AO40" s="1746"/>
      <c r="AP40" s="1746"/>
      <c r="AQ40" s="1746"/>
      <c r="AR40" s="1746"/>
      <c r="AS40" s="1746"/>
      <c r="AT40" s="1746"/>
    </row>
    <row r="41" spans="2:46" s="41" customFormat="1" x14ac:dyDescent="0.3">
      <c r="B41" s="236">
        <f t="shared" si="0"/>
        <v>11</v>
      </c>
      <c r="C41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1" s="254">
        <f>AND(MAZZS[[#This Row],[Дисциплина]]&lt;&gt;0,OR(N(MAZZS[[#This Row],[Лекции]])&lt;&gt;0,N(MAZZS[[#This Row],[Упражнения]])&lt;&gt;0),N(MAZZS[[#This Row],[Студенти]])=0)*1</f>
        <v>0</v>
      </c>
      <c r="E41" s="254">
        <f>AND(N(MAZZS[[#This Row],[Изпитани]])&gt;0,MAZZS[[#This Row],[Изпитващ]]=0)*1</f>
        <v>0</v>
      </c>
      <c r="F41" s="255">
        <f>IFERROR(VLOOKUP(MAZZS[[#This Row],[Език]],ТобЕзик[[обЕзик]:[Коеф.]],2,0),0)</f>
        <v>1</v>
      </c>
      <c r="G41" s="254" cm="1">
        <f t="array" ref="G41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1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1" s="664">
        <f>IFERROR(VLOOKUP(MAZZS[[#This Row],[ФормаОб]],тТО[[обФорма]:[Коеф.]],2,0),0)</f>
        <v>0</v>
      </c>
      <c r="J41" s="254">
        <f>N(MAZZS[[#This Row],[Лекции]])*MAZZS[[#This Row],[кЕзик]]*MAZZS[[#This Row],[кСтуденти]]*кЛекции</f>
        <v>0</v>
      </c>
      <c r="K41" s="256">
        <f>N(MAZZS[[#This Row],[Упражнения]])*MAZZS[[#This Row],[кЕзик]]*MAZZS[[#This Row],[кСтуденти]]*кУпражнение</f>
        <v>0</v>
      </c>
      <c r="L41" s="254">
        <f>N(MAZZS[[#This Row],[Изпитани]])*MAZZS[[#This Row],[кИзпитващ]]</f>
        <v>0</v>
      </c>
      <c r="M41" s="673">
        <f>N(MAZZS[[#This Row],[ТО]])*MAZZS[[#This Row],[кTO]]</f>
        <v>0</v>
      </c>
      <c r="N41" s="867"/>
      <c r="O41" s="555"/>
      <c r="P41" s="907"/>
      <c r="Q41" s="904"/>
      <c r="R41" s="896"/>
      <c r="S41" s="896"/>
      <c r="T41" s="1191"/>
      <c r="U41" s="241"/>
      <c r="V41" s="242"/>
      <c r="W41" s="580" t="s">
        <v>84</v>
      </c>
      <c r="X41" s="896"/>
      <c r="Y41" s="896"/>
      <c r="Z41" s="247"/>
      <c r="AA41" s="241"/>
      <c r="AB41" s="242"/>
      <c r="AC41" s="1143"/>
      <c r="AD41" s="1391"/>
      <c r="AE41" s="1391"/>
      <c r="AF41" s="1391"/>
      <c r="AG41" s="1391"/>
      <c r="AH41" s="1144">
        <f ca="1">N(OFFSET(MAZZS[[#This Row],[|]],-1,0))+1</f>
        <v>11</v>
      </c>
      <c r="AI41" s="1685" t="str">
        <f>IF(MAZZS[[#This Row],[уЧасове]],MAZZS[[#This Row],[нацид|монСпециалностМП]],"")</f>
        <v/>
      </c>
      <c r="AJ41" s="1645">
        <f>SUM(MAZZS[[#This Row],[чЛекции]:[чTO]],N(MAZZS[[#This Row],[КР]])*кКурсова_работа)</f>
        <v>0</v>
      </c>
      <c r="AK41" s="1746"/>
      <c r="AL41" s="1746"/>
      <c r="AM41" s="1746"/>
      <c r="AN41" s="1746"/>
      <c r="AO41" s="1746"/>
      <c r="AP41" s="1746"/>
      <c r="AQ41" s="1746"/>
      <c r="AR41" s="1746"/>
      <c r="AS41" s="1746"/>
      <c r="AT41" s="1746"/>
    </row>
    <row r="42" spans="2:46" s="41" customFormat="1" x14ac:dyDescent="0.3">
      <c r="B42" s="236">
        <f t="shared" si="0"/>
        <v>12</v>
      </c>
      <c r="C42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2" s="254">
        <f>AND(MAZZS[[#This Row],[Дисциплина]]&lt;&gt;0,OR(N(MAZZS[[#This Row],[Лекции]])&lt;&gt;0,N(MAZZS[[#This Row],[Упражнения]])&lt;&gt;0),N(MAZZS[[#This Row],[Студенти]])=0)*1</f>
        <v>0</v>
      </c>
      <c r="E42" s="254">
        <f>AND(N(MAZZS[[#This Row],[Изпитани]])&gt;0,MAZZS[[#This Row],[Изпитващ]]=0)*1</f>
        <v>0</v>
      </c>
      <c r="F42" s="255">
        <f>IFERROR(VLOOKUP(MAZZS[[#This Row],[Език]],ТобЕзик[[обЕзик]:[Коеф.]],2,0),0)</f>
        <v>1</v>
      </c>
      <c r="G42" s="254" cm="1">
        <f t="array" ref="G42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2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2" s="664">
        <f>IFERROR(VLOOKUP(MAZZS[[#This Row],[ФормаОб]],тТО[[обФорма]:[Коеф.]],2,0),0)</f>
        <v>0</v>
      </c>
      <c r="J42" s="254">
        <f>N(MAZZS[[#This Row],[Лекции]])*MAZZS[[#This Row],[кЕзик]]*MAZZS[[#This Row],[кСтуденти]]*кЛекции</f>
        <v>0</v>
      </c>
      <c r="K42" s="256">
        <f>N(MAZZS[[#This Row],[Упражнения]])*MAZZS[[#This Row],[кЕзик]]*MAZZS[[#This Row],[кСтуденти]]*кУпражнение</f>
        <v>0</v>
      </c>
      <c r="L42" s="254">
        <f>N(MAZZS[[#This Row],[Изпитани]])*MAZZS[[#This Row],[кИзпитващ]]</f>
        <v>0</v>
      </c>
      <c r="M42" s="673">
        <f>N(MAZZS[[#This Row],[ТО]])*MAZZS[[#This Row],[кTO]]</f>
        <v>0</v>
      </c>
      <c r="N42" s="867"/>
      <c r="O42" s="555"/>
      <c r="P42" s="907"/>
      <c r="Q42" s="904"/>
      <c r="R42" s="896"/>
      <c r="S42" s="896"/>
      <c r="T42" s="1191"/>
      <c r="U42" s="241"/>
      <c r="V42" s="242"/>
      <c r="W42" s="580" t="s">
        <v>84</v>
      </c>
      <c r="X42" s="896"/>
      <c r="Y42" s="896"/>
      <c r="Z42" s="247"/>
      <c r="AA42" s="241"/>
      <c r="AB42" s="242"/>
      <c r="AC42" s="1143"/>
      <c r="AD42" s="1391"/>
      <c r="AE42" s="1391"/>
      <c r="AF42" s="1391"/>
      <c r="AG42" s="1391"/>
      <c r="AH42" s="1144">
        <f ca="1">N(OFFSET(MAZZS[[#This Row],[|]],-1,0))+1</f>
        <v>12</v>
      </c>
      <c r="AI42" s="1685" t="str">
        <f>IF(MAZZS[[#This Row],[уЧасове]],MAZZS[[#This Row],[нацид|монСпециалностМП]],"")</f>
        <v/>
      </c>
      <c r="AJ42" s="1645">
        <f>SUM(MAZZS[[#This Row],[чЛекции]:[чTO]],N(MAZZS[[#This Row],[КР]])*кКурсова_работа)</f>
        <v>0</v>
      </c>
      <c r="AK42" s="1746"/>
      <c r="AL42" s="1746"/>
      <c r="AM42" s="1746"/>
      <c r="AN42" s="1746"/>
      <c r="AO42" s="1746"/>
      <c r="AP42" s="1746"/>
      <c r="AQ42" s="1746"/>
      <c r="AR42" s="1746"/>
      <c r="AS42" s="1746"/>
      <c r="AT42" s="1746"/>
    </row>
    <row r="43" spans="2:46" s="41" customFormat="1" x14ac:dyDescent="0.3">
      <c r="B43" s="236">
        <f t="shared" si="0"/>
        <v>13</v>
      </c>
      <c r="C43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3" s="254">
        <f>AND(MAZZS[[#This Row],[Дисциплина]]&lt;&gt;0,OR(N(MAZZS[[#This Row],[Лекции]])&lt;&gt;0,N(MAZZS[[#This Row],[Упражнения]])&lt;&gt;0),N(MAZZS[[#This Row],[Студенти]])=0)*1</f>
        <v>0</v>
      </c>
      <c r="E43" s="254">
        <f>AND(N(MAZZS[[#This Row],[Изпитани]])&gt;0,MAZZS[[#This Row],[Изпитващ]]=0)*1</f>
        <v>0</v>
      </c>
      <c r="F43" s="255">
        <f>IFERROR(VLOOKUP(MAZZS[[#This Row],[Език]],ТобЕзик[[обЕзик]:[Коеф.]],2,0),0)</f>
        <v>1</v>
      </c>
      <c r="G43" s="254" cm="1">
        <f t="array" ref="G43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3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3" s="664">
        <f>IFERROR(VLOOKUP(MAZZS[[#This Row],[ФормаОб]],тТО[[обФорма]:[Коеф.]],2,0),0)</f>
        <v>0</v>
      </c>
      <c r="J43" s="254">
        <f>N(MAZZS[[#This Row],[Лекции]])*MAZZS[[#This Row],[кЕзик]]*MAZZS[[#This Row],[кСтуденти]]*кЛекции</f>
        <v>0</v>
      </c>
      <c r="K43" s="256">
        <f>N(MAZZS[[#This Row],[Упражнения]])*MAZZS[[#This Row],[кЕзик]]*MAZZS[[#This Row],[кСтуденти]]*кУпражнение</f>
        <v>0</v>
      </c>
      <c r="L43" s="254">
        <f>N(MAZZS[[#This Row],[Изпитани]])*MAZZS[[#This Row],[кИзпитващ]]</f>
        <v>0</v>
      </c>
      <c r="M43" s="673">
        <f>N(MAZZS[[#This Row],[ТО]])*MAZZS[[#This Row],[кTO]]</f>
        <v>0</v>
      </c>
      <c r="N43" s="867"/>
      <c r="O43" s="555"/>
      <c r="P43" s="907"/>
      <c r="Q43" s="904"/>
      <c r="R43" s="896"/>
      <c r="S43" s="896"/>
      <c r="T43" s="1191"/>
      <c r="U43" s="241"/>
      <c r="V43" s="242"/>
      <c r="W43" s="580" t="s">
        <v>84</v>
      </c>
      <c r="X43" s="896"/>
      <c r="Y43" s="896"/>
      <c r="Z43" s="247"/>
      <c r="AA43" s="241"/>
      <c r="AB43" s="242"/>
      <c r="AC43" s="1143"/>
      <c r="AD43" s="1391"/>
      <c r="AE43" s="1391"/>
      <c r="AF43" s="1391"/>
      <c r="AG43" s="1391"/>
      <c r="AH43" s="1144">
        <f ca="1">N(OFFSET(MAZZS[[#This Row],[|]],-1,0))+1</f>
        <v>13</v>
      </c>
      <c r="AI43" s="1685" t="str">
        <f>IF(MAZZS[[#This Row],[уЧасове]],MAZZS[[#This Row],[нацид|монСпециалностМП]],"")</f>
        <v/>
      </c>
      <c r="AJ43" s="1645">
        <f>SUM(MAZZS[[#This Row],[чЛекции]:[чTO]],N(MAZZS[[#This Row],[КР]])*кКурсова_работа)</f>
        <v>0</v>
      </c>
      <c r="AK43" s="1746"/>
      <c r="AL43" s="1746"/>
      <c r="AM43" s="1746"/>
      <c r="AN43" s="1746"/>
      <c r="AO43" s="1746"/>
      <c r="AP43" s="1746"/>
      <c r="AQ43" s="1746"/>
      <c r="AR43" s="1746"/>
      <c r="AS43" s="1746"/>
      <c r="AT43" s="1746"/>
    </row>
    <row r="44" spans="2:46" s="41" customFormat="1" x14ac:dyDescent="0.3">
      <c r="B44" s="236">
        <f t="shared" si="0"/>
        <v>14</v>
      </c>
      <c r="C44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4" s="254">
        <f>AND(MAZZS[[#This Row],[Дисциплина]]&lt;&gt;0,OR(N(MAZZS[[#This Row],[Лекции]])&lt;&gt;0,N(MAZZS[[#This Row],[Упражнения]])&lt;&gt;0),N(MAZZS[[#This Row],[Студенти]])=0)*1</f>
        <v>0</v>
      </c>
      <c r="E44" s="254">
        <f>AND(N(MAZZS[[#This Row],[Изпитани]])&gt;0,MAZZS[[#This Row],[Изпитващ]]=0)*1</f>
        <v>0</v>
      </c>
      <c r="F44" s="255">
        <f>IFERROR(VLOOKUP(MAZZS[[#This Row],[Език]],ТобЕзик[[обЕзик]:[Коеф.]],2,0),0)</f>
        <v>1</v>
      </c>
      <c r="G44" s="254" cm="1">
        <f t="array" ref="G44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4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4" s="664">
        <f>IFERROR(VLOOKUP(MAZZS[[#This Row],[ФормаОб]],тТО[[обФорма]:[Коеф.]],2,0),0)</f>
        <v>0</v>
      </c>
      <c r="J44" s="254">
        <f>N(MAZZS[[#This Row],[Лекции]])*MAZZS[[#This Row],[кЕзик]]*MAZZS[[#This Row],[кСтуденти]]*кЛекции</f>
        <v>0</v>
      </c>
      <c r="K44" s="256">
        <f>N(MAZZS[[#This Row],[Упражнения]])*MAZZS[[#This Row],[кЕзик]]*MAZZS[[#This Row],[кСтуденти]]*кУпражнение</f>
        <v>0</v>
      </c>
      <c r="L44" s="254">
        <f>N(MAZZS[[#This Row],[Изпитани]])*MAZZS[[#This Row],[кИзпитващ]]</f>
        <v>0</v>
      </c>
      <c r="M44" s="673">
        <f>N(MAZZS[[#This Row],[ТО]])*MAZZS[[#This Row],[кTO]]</f>
        <v>0</v>
      </c>
      <c r="N44" s="867"/>
      <c r="O44" s="555"/>
      <c r="P44" s="907"/>
      <c r="Q44" s="904"/>
      <c r="R44" s="896"/>
      <c r="S44" s="896"/>
      <c r="T44" s="1191"/>
      <c r="U44" s="241"/>
      <c r="V44" s="242"/>
      <c r="W44" s="580" t="s">
        <v>84</v>
      </c>
      <c r="X44" s="896"/>
      <c r="Y44" s="896"/>
      <c r="Z44" s="247"/>
      <c r="AA44" s="241"/>
      <c r="AB44" s="242"/>
      <c r="AC44" s="1143"/>
      <c r="AD44" s="1391"/>
      <c r="AE44" s="1391"/>
      <c r="AF44" s="1391"/>
      <c r="AG44" s="1391"/>
      <c r="AH44" s="1144">
        <f ca="1">N(OFFSET(MAZZS[[#This Row],[|]],-1,0))+1</f>
        <v>14</v>
      </c>
      <c r="AI44" s="1685" t="str">
        <f>IF(MAZZS[[#This Row],[уЧасове]],MAZZS[[#This Row],[нацид|монСпециалностМП]],"")</f>
        <v/>
      </c>
      <c r="AJ44" s="1645">
        <f>SUM(MAZZS[[#This Row],[чЛекции]:[чTO]],N(MAZZS[[#This Row],[КР]])*кКурсова_работа)</f>
        <v>0</v>
      </c>
      <c r="AK44" s="1746"/>
      <c r="AL44" s="1746"/>
      <c r="AM44" s="1746"/>
      <c r="AN44" s="1746"/>
      <c r="AO44" s="1746"/>
      <c r="AP44" s="1746"/>
      <c r="AQ44" s="1746"/>
      <c r="AR44" s="1746"/>
      <c r="AS44" s="1746"/>
      <c r="AT44" s="1746"/>
    </row>
    <row r="45" spans="2:46" s="41" customFormat="1" x14ac:dyDescent="0.3">
      <c r="B45" s="236">
        <f t="shared" si="0"/>
        <v>15</v>
      </c>
      <c r="C45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5" s="254">
        <f>AND(MAZZS[[#This Row],[Дисциплина]]&lt;&gt;0,OR(N(MAZZS[[#This Row],[Лекции]])&lt;&gt;0,N(MAZZS[[#This Row],[Упражнения]])&lt;&gt;0),N(MAZZS[[#This Row],[Студенти]])=0)*1</f>
        <v>0</v>
      </c>
      <c r="E45" s="254">
        <f>AND(N(MAZZS[[#This Row],[Изпитани]])&gt;0,MAZZS[[#This Row],[Изпитващ]]=0)*1</f>
        <v>0</v>
      </c>
      <c r="F45" s="255">
        <f>IFERROR(VLOOKUP(MAZZS[[#This Row],[Език]],ТобЕзик[[обЕзик]:[Коеф.]],2,0),0)</f>
        <v>1</v>
      </c>
      <c r="G45" s="254" cm="1">
        <f t="array" ref="G45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5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5" s="664">
        <f>IFERROR(VLOOKUP(MAZZS[[#This Row],[ФормаОб]],тТО[[обФорма]:[Коеф.]],2,0),0)</f>
        <v>0</v>
      </c>
      <c r="J45" s="254">
        <f>N(MAZZS[[#This Row],[Лекции]])*MAZZS[[#This Row],[кЕзик]]*MAZZS[[#This Row],[кСтуденти]]*кЛекции</f>
        <v>0</v>
      </c>
      <c r="K45" s="256">
        <f>N(MAZZS[[#This Row],[Упражнения]])*MAZZS[[#This Row],[кЕзик]]*MAZZS[[#This Row],[кСтуденти]]*кУпражнение</f>
        <v>0</v>
      </c>
      <c r="L45" s="254">
        <f>N(MAZZS[[#This Row],[Изпитани]])*MAZZS[[#This Row],[кИзпитващ]]</f>
        <v>0</v>
      </c>
      <c r="M45" s="673">
        <f>N(MAZZS[[#This Row],[ТО]])*MAZZS[[#This Row],[кTO]]</f>
        <v>0</v>
      </c>
      <c r="N45" s="867"/>
      <c r="O45" s="555"/>
      <c r="P45" s="907"/>
      <c r="Q45" s="904"/>
      <c r="R45" s="896"/>
      <c r="S45" s="896"/>
      <c r="T45" s="1191"/>
      <c r="U45" s="241"/>
      <c r="V45" s="242"/>
      <c r="W45" s="580" t="s">
        <v>84</v>
      </c>
      <c r="X45" s="896"/>
      <c r="Y45" s="896"/>
      <c r="Z45" s="247"/>
      <c r="AA45" s="241"/>
      <c r="AB45" s="242"/>
      <c r="AC45" s="1143"/>
      <c r="AD45" s="1391"/>
      <c r="AE45" s="1391"/>
      <c r="AF45" s="1391"/>
      <c r="AG45" s="1391"/>
      <c r="AH45" s="1144">
        <f ca="1">N(OFFSET(MAZZS[[#This Row],[|]],-1,0))+1</f>
        <v>15</v>
      </c>
      <c r="AI45" s="1685" t="str">
        <f>IF(MAZZS[[#This Row],[уЧасове]],MAZZS[[#This Row],[нацид|монСпециалностМП]],"")</f>
        <v/>
      </c>
      <c r="AJ45" s="1645">
        <f>SUM(MAZZS[[#This Row],[чЛекции]:[чTO]],N(MAZZS[[#This Row],[КР]])*кКурсова_работа)</f>
        <v>0</v>
      </c>
      <c r="AK45" s="1746"/>
      <c r="AL45" s="1746"/>
      <c r="AM45" s="1746"/>
      <c r="AN45" s="1746"/>
      <c r="AO45" s="1746"/>
      <c r="AP45" s="1746"/>
      <c r="AQ45" s="1746"/>
      <c r="AR45" s="1746"/>
      <c r="AS45" s="1746"/>
      <c r="AT45" s="1746"/>
    </row>
    <row r="46" spans="2:46" s="41" customFormat="1" x14ac:dyDescent="0.3">
      <c r="B46" s="236">
        <f t="shared" si="0"/>
        <v>16</v>
      </c>
      <c r="C46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6" s="254">
        <f>AND(MAZZS[[#This Row],[Дисциплина]]&lt;&gt;0,OR(N(MAZZS[[#This Row],[Лекции]])&lt;&gt;0,N(MAZZS[[#This Row],[Упражнения]])&lt;&gt;0),N(MAZZS[[#This Row],[Студенти]])=0)*1</f>
        <v>0</v>
      </c>
      <c r="E46" s="254">
        <f>AND(N(MAZZS[[#This Row],[Изпитани]])&gt;0,MAZZS[[#This Row],[Изпитващ]]=0)*1</f>
        <v>0</v>
      </c>
      <c r="F46" s="255">
        <f>IFERROR(VLOOKUP(MAZZS[[#This Row],[Език]],ТобЕзик[[обЕзик]:[Коеф.]],2,0),0)</f>
        <v>1</v>
      </c>
      <c r="G46" s="254" cm="1">
        <f t="array" ref="G46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6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6" s="664">
        <f>IFERROR(VLOOKUP(MAZZS[[#This Row],[ФормаОб]],тТО[[обФорма]:[Коеф.]],2,0),0)</f>
        <v>0</v>
      </c>
      <c r="J46" s="254">
        <f>N(MAZZS[[#This Row],[Лекции]])*MAZZS[[#This Row],[кЕзик]]*MAZZS[[#This Row],[кСтуденти]]*кЛекции</f>
        <v>0</v>
      </c>
      <c r="K46" s="256">
        <f>N(MAZZS[[#This Row],[Упражнения]])*MAZZS[[#This Row],[кЕзик]]*MAZZS[[#This Row],[кСтуденти]]*кУпражнение</f>
        <v>0</v>
      </c>
      <c r="L46" s="254">
        <f>N(MAZZS[[#This Row],[Изпитани]])*MAZZS[[#This Row],[кИзпитващ]]</f>
        <v>0</v>
      </c>
      <c r="M46" s="673">
        <f>N(MAZZS[[#This Row],[ТО]])*MAZZS[[#This Row],[кTO]]</f>
        <v>0</v>
      </c>
      <c r="N46" s="867"/>
      <c r="O46" s="555"/>
      <c r="P46" s="907"/>
      <c r="Q46" s="904"/>
      <c r="R46" s="896"/>
      <c r="S46" s="896"/>
      <c r="T46" s="1191"/>
      <c r="U46" s="241"/>
      <c r="V46" s="242"/>
      <c r="W46" s="580" t="s">
        <v>84</v>
      </c>
      <c r="X46" s="896"/>
      <c r="Y46" s="896"/>
      <c r="Z46" s="247"/>
      <c r="AA46" s="241"/>
      <c r="AB46" s="242"/>
      <c r="AC46" s="1143"/>
      <c r="AD46" s="1391"/>
      <c r="AE46" s="1391"/>
      <c r="AF46" s="1391"/>
      <c r="AG46" s="1391"/>
      <c r="AH46" s="1144">
        <f ca="1">N(OFFSET(MAZZS[[#This Row],[|]],-1,0))+1</f>
        <v>16</v>
      </c>
      <c r="AI46" s="1685" t="str">
        <f>IF(MAZZS[[#This Row],[уЧасове]],MAZZS[[#This Row],[нацид|монСпециалностМП]],"")</f>
        <v/>
      </c>
      <c r="AJ46" s="1645">
        <f>SUM(MAZZS[[#This Row],[чЛекции]:[чTO]],N(MAZZS[[#This Row],[КР]])*кКурсова_работа)</f>
        <v>0</v>
      </c>
      <c r="AK46" s="1746"/>
      <c r="AL46" s="1746"/>
      <c r="AM46" s="1746"/>
      <c r="AN46" s="1746"/>
      <c r="AO46" s="1746"/>
      <c r="AP46" s="1746"/>
      <c r="AQ46" s="1746"/>
      <c r="AR46" s="1746"/>
      <c r="AS46" s="1746"/>
      <c r="AT46" s="1746"/>
    </row>
    <row r="47" spans="2:46" s="41" customFormat="1" x14ac:dyDescent="0.3">
      <c r="B47" s="236">
        <f t="shared" si="0"/>
        <v>17</v>
      </c>
      <c r="C47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7" s="254">
        <f>AND(MAZZS[[#This Row],[Дисциплина]]&lt;&gt;0,OR(N(MAZZS[[#This Row],[Лекции]])&lt;&gt;0,N(MAZZS[[#This Row],[Упражнения]])&lt;&gt;0),N(MAZZS[[#This Row],[Студенти]])=0)*1</f>
        <v>0</v>
      </c>
      <c r="E47" s="254">
        <f>AND(N(MAZZS[[#This Row],[Изпитани]])&gt;0,MAZZS[[#This Row],[Изпитващ]]=0)*1</f>
        <v>0</v>
      </c>
      <c r="F47" s="255">
        <f>IFERROR(VLOOKUP(MAZZS[[#This Row],[Език]],ТобЕзик[[обЕзик]:[Коеф.]],2,0),0)</f>
        <v>1</v>
      </c>
      <c r="G47" s="254" cm="1">
        <f t="array" ref="G47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7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7" s="664">
        <f>IFERROR(VLOOKUP(MAZZS[[#This Row],[ФормаОб]],тТО[[обФорма]:[Коеф.]],2,0),0)</f>
        <v>0</v>
      </c>
      <c r="J47" s="254">
        <f>N(MAZZS[[#This Row],[Лекции]])*MAZZS[[#This Row],[кЕзик]]*MAZZS[[#This Row],[кСтуденти]]*кЛекции</f>
        <v>0</v>
      </c>
      <c r="K47" s="256">
        <f>N(MAZZS[[#This Row],[Упражнения]])*MAZZS[[#This Row],[кЕзик]]*MAZZS[[#This Row],[кСтуденти]]*кУпражнение</f>
        <v>0</v>
      </c>
      <c r="L47" s="254">
        <f>N(MAZZS[[#This Row],[Изпитани]])*MAZZS[[#This Row],[кИзпитващ]]</f>
        <v>0</v>
      </c>
      <c r="M47" s="673">
        <f>N(MAZZS[[#This Row],[ТО]])*MAZZS[[#This Row],[кTO]]</f>
        <v>0</v>
      </c>
      <c r="N47" s="867"/>
      <c r="O47" s="555"/>
      <c r="P47" s="907"/>
      <c r="Q47" s="904"/>
      <c r="R47" s="896"/>
      <c r="S47" s="896"/>
      <c r="T47" s="1191"/>
      <c r="U47" s="241"/>
      <c r="V47" s="242"/>
      <c r="W47" s="580" t="s">
        <v>84</v>
      </c>
      <c r="X47" s="896"/>
      <c r="Y47" s="896"/>
      <c r="Z47" s="247"/>
      <c r="AA47" s="241"/>
      <c r="AB47" s="242"/>
      <c r="AC47" s="1143"/>
      <c r="AD47" s="1391"/>
      <c r="AE47" s="1391"/>
      <c r="AF47" s="1391"/>
      <c r="AG47" s="1391"/>
      <c r="AH47" s="1144">
        <f ca="1">N(OFFSET(MAZZS[[#This Row],[|]],-1,0))+1</f>
        <v>17</v>
      </c>
      <c r="AI47" s="1685" t="str">
        <f>IF(MAZZS[[#This Row],[уЧасове]],MAZZS[[#This Row],[нацид|монСпециалностМП]],"")</f>
        <v/>
      </c>
      <c r="AJ47" s="1645">
        <f>SUM(MAZZS[[#This Row],[чЛекции]:[чTO]],N(MAZZS[[#This Row],[КР]])*кКурсова_работа)</f>
        <v>0</v>
      </c>
      <c r="AK47" s="1746"/>
      <c r="AL47" s="1746"/>
      <c r="AM47" s="1746"/>
      <c r="AN47" s="1746"/>
      <c r="AO47" s="1746"/>
      <c r="AP47" s="1746"/>
      <c r="AQ47" s="1746"/>
      <c r="AR47" s="1746"/>
      <c r="AS47" s="1746"/>
      <c r="AT47" s="1746"/>
    </row>
    <row r="48" spans="2:46" s="41" customFormat="1" x14ac:dyDescent="0.3">
      <c r="B48" s="236">
        <f t="shared" si="0"/>
        <v>18</v>
      </c>
      <c r="C48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8" s="254">
        <f>AND(MAZZS[[#This Row],[Дисциплина]]&lt;&gt;0,OR(N(MAZZS[[#This Row],[Лекции]])&lt;&gt;0,N(MAZZS[[#This Row],[Упражнения]])&lt;&gt;0),N(MAZZS[[#This Row],[Студенти]])=0)*1</f>
        <v>0</v>
      </c>
      <c r="E48" s="254">
        <f>AND(N(MAZZS[[#This Row],[Изпитани]])&gt;0,MAZZS[[#This Row],[Изпитващ]]=0)*1</f>
        <v>0</v>
      </c>
      <c r="F48" s="255">
        <f>IFERROR(VLOOKUP(MAZZS[[#This Row],[Език]],ТобЕзик[[обЕзик]:[Коеф.]],2,0),0)</f>
        <v>1</v>
      </c>
      <c r="G48" s="254" cm="1">
        <f t="array" ref="G48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8" s="254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8" s="664">
        <f>IFERROR(VLOOKUP(MAZZS[[#This Row],[ФормаОб]],тТО[[обФорма]:[Коеф.]],2,0),0)</f>
        <v>0</v>
      </c>
      <c r="J48" s="254">
        <f>N(MAZZS[[#This Row],[Лекции]])*MAZZS[[#This Row],[кЕзик]]*MAZZS[[#This Row],[кСтуденти]]*кЛекции</f>
        <v>0</v>
      </c>
      <c r="K48" s="256">
        <f>N(MAZZS[[#This Row],[Упражнения]])*MAZZS[[#This Row],[кЕзик]]*MAZZS[[#This Row],[кСтуденти]]*кУпражнение</f>
        <v>0</v>
      </c>
      <c r="L48" s="254">
        <f>N(MAZZS[[#This Row],[Изпитани]])*MAZZS[[#This Row],[кИзпитващ]]</f>
        <v>0</v>
      </c>
      <c r="M48" s="673">
        <f>N(MAZZS[[#This Row],[ТО]])*MAZZS[[#This Row],[кTO]]</f>
        <v>0</v>
      </c>
      <c r="N48" s="867"/>
      <c r="O48" s="555"/>
      <c r="P48" s="907"/>
      <c r="Q48" s="904"/>
      <c r="R48" s="896"/>
      <c r="S48" s="896"/>
      <c r="T48" s="1191"/>
      <c r="U48" s="241"/>
      <c r="V48" s="242"/>
      <c r="W48" s="580" t="s">
        <v>84</v>
      </c>
      <c r="X48" s="896"/>
      <c r="Y48" s="896"/>
      <c r="Z48" s="247"/>
      <c r="AA48" s="241"/>
      <c r="AB48" s="242"/>
      <c r="AC48" s="1143"/>
      <c r="AD48" s="1391"/>
      <c r="AE48" s="1391"/>
      <c r="AF48" s="1391"/>
      <c r="AG48" s="1391"/>
      <c r="AH48" s="1144">
        <f ca="1">N(OFFSET(MAZZS[[#This Row],[|]],-1,0))+1</f>
        <v>18</v>
      </c>
      <c r="AI48" s="1685" t="str">
        <f>IF(MAZZS[[#This Row],[уЧасове]],MAZZS[[#This Row],[нацид|монСпециалностМП]],"")</f>
        <v/>
      </c>
      <c r="AJ48" s="1645">
        <f>SUM(MAZZS[[#This Row],[чЛекции]:[чTO]],N(MAZZS[[#This Row],[КР]])*кКурсова_работа)</f>
        <v>0</v>
      </c>
      <c r="AK48" s="1746"/>
      <c r="AL48" s="1746"/>
      <c r="AM48" s="1746"/>
      <c r="AN48" s="1746"/>
      <c r="AO48" s="1746"/>
      <c r="AP48" s="1746"/>
      <c r="AQ48" s="1746"/>
      <c r="AR48" s="1746"/>
      <c r="AS48" s="1746"/>
      <c r="AT48" s="1746"/>
    </row>
    <row r="49" spans="2:46" s="41" customFormat="1" ht="17.25" thickBot="1" x14ac:dyDescent="0.35">
      <c r="B49" s="236">
        <f t="shared" si="0"/>
        <v>19</v>
      </c>
      <c r="C49" s="254">
        <f>IFERROR(AND(LEN(MAZZS[[#This Row],[Дисциплина]]&amp;MAZZS[[#This Row],[Магистърска програма]]&amp;MAZZS[[#This Row],[Факултет]])&gt;0,LEN(MAZZS[[#This Row],[Вид]])=0)*1,0)</f>
        <v>0</v>
      </c>
      <c r="D49" s="254">
        <f>AND(MAZZS[[#This Row],[Дисциплина]]&lt;&gt;0,OR(N(MAZZS[[#This Row],[Лекции]])&lt;&gt;0,N(MAZZS[[#This Row],[Упражнения]])&lt;&gt;0),N(MAZZS[[#This Row],[Студенти]])=0)*1</f>
        <v>0</v>
      </c>
      <c r="E49" s="254">
        <f>AND(N(MAZZS[[#This Row],[Изпитани]])&gt;0,MAZZS[[#This Row],[Изпитващ]]=0)*1</f>
        <v>0</v>
      </c>
      <c r="F49" s="257">
        <f>IFERROR(VLOOKUP(MAZZS[[#This Row],[Език]],ТобЕзик[[обЕзик]:[Коеф.]],2,0),0)</f>
        <v>1</v>
      </c>
      <c r="G49" s="258" cm="1">
        <f t="array" ref="G49">IFERROR(IF(AND(MAZZS[[#This Row],[Студенти]]&gt;0,OR(MAZZS[[#This Row],[Студенти]]&gt;=6,SUMPRODUCT(COUNTIF(MAZZS[[#This Row],[Факултет]],"*"&amp;тЗСпец[Факултет]&amp;"*"),COUNTIF(MAZZS[[#This Row],[Магистърска програма]],тЗСпец[Маг]&amp;"*")))),1,VLOOKUP(MAZZS[[#This Row],[Студенти]],ТкСтуденти[[брСтуденти]:[Коеф.]],2,0)),0)</f>
        <v>0</v>
      </c>
      <c r="H49" s="258">
        <f>IFERROR(IF(AND(COUNTIF(nФакултетОтчет,"*математика*"),MAZZS[[#This Row],[ФормаОц]]="КИ"),0.9,IF(T(MAZZS[[#This Row],[Изпитващ]])="",0,VLOOKUP(MAZZS[[#This Row],[Изпитващ]],ТвидИзпитващ[[видИзпитващ]:[Коеф.]],2,0))),0)</f>
        <v>0</v>
      </c>
      <c r="I49" s="665">
        <f>IFERROR(VLOOKUP(MAZZS[[#This Row],[ФормаОб]],тТО[[обФорма]:[Коеф.]],2,0),0)</f>
        <v>0</v>
      </c>
      <c r="J49" s="258">
        <f>N(MAZZS[[#This Row],[Лекции]])*MAZZS[[#This Row],[кЕзик]]*MAZZS[[#This Row],[кСтуденти]]*кЛекции</f>
        <v>0</v>
      </c>
      <c r="K49" s="259">
        <f>N(MAZZS[[#This Row],[Упражнения]])*MAZZS[[#This Row],[кЕзик]]*MAZZS[[#This Row],[кСтуденти]]*кУпражнение</f>
        <v>0</v>
      </c>
      <c r="L49" s="258">
        <f>N(MAZZS[[#This Row],[Изпитани]])*MAZZS[[#This Row],[кИзпитващ]]</f>
        <v>0</v>
      </c>
      <c r="M49" s="674">
        <f>N(MAZZS[[#This Row],[ТО]])*MAZZS[[#This Row],[кTO]]</f>
        <v>0</v>
      </c>
      <c r="N49" s="1495"/>
      <c r="O49" s="607"/>
      <c r="P49" s="908"/>
      <c r="Q49" s="905"/>
      <c r="R49" s="906"/>
      <c r="S49" s="906"/>
      <c r="T49" s="1192"/>
      <c r="U49" s="263"/>
      <c r="V49" s="264"/>
      <c r="W49" s="580" t="s">
        <v>84</v>
      </c>
      <c r="X49" s="896"/>
      <c r="Y49" s="896"/>
      <c r="Z49" s="262"/>
      <c r="AA49" s="263"/>
      <c r="AB49" s="264"/>
      <c r="AC49" s="1143"/>
      <c r="AD49" s="1391"/>
      <c r="AE49" s="1391"/>
      <c r="AF49" s="1391"/>
      <c r="AG49" s="1391"/>
      <c r="AH49" s="1145">
        <f ca="1">N(OFFSET(MAZZS[[#This Row],[|]],-1,0))+1</f>
        <v>19</v>
      </c>
      <c r="AI49" s="1685" t="str">
        <f>IF(MAZZS[[#This Row],[уЧасове]],MAZZS[[#This Row],[нацид|монСпециалностМП]],"")</f>
        <v/>
      </c>
      <c r="AJ49" s="1645">
        <f>SUM(MAZZS[[#This Row],[чЛекции]:[чTO]],N(MAZZS[[#This Row],[КР]])*кКурсова_работа)</f>
        <v>0</v>
      </c>
      <c r="AK49" s="1746"/>
      <c r="AL49" s="1746"/>
      <c r="AM49" s="1746"/>
      <c r="AN49" s="1746"/>
      <c r="AO49" s="1746"/>
      <c r="AP49" s="1746"/>
      <c r="AQ49" s="1746"/>
      <c r="AR49" s="1746"/>
      <c r="AS49" s="1746"/>
      <c r="AT49" s="1746"/>
    </row>
    <row r="50" spans="2:46" s="42" customFormat="1" ht="9.9499999999999993" customHeight="1" x14ac:dyDescent="0.3">
      <c r="B50" s="107" t="s">
        <v>412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</row>
    <row r="51" spans="2:46" s="42" customFormat="1" ht="26.25" customHeight="1" x14ac:dyDescent="0.3">
      <c r="B51" s="176" t="s">
        <v>415</v>
      </c>
      <c r="M51" s="126" t="str">
        <f>IF(M25,2,"1.2")</f>
        <v>1.2</v>
      </c>
      <c r="N51" s="2594" t="str">
        <f>M51&amp;". ОКС ""магистър"" след придобита образователно-квалификационна степен на висшето образование – практики и курсови работи – ЗИМЕН семестър"</f>
        <v>1.2. ОКС "магистър" след придобита образователно-квалификационна степен на висшето образование – практики и курсови работи – ЗИМЕН семестър</v>
      </c>
      <c r="O51" s="2595"/>
      <c r="P51" s="2595"/>
      <c r="Q51" s="2595"/>
      <c r="R51" s="2595"/>
      <c r="S51" s="2595"/>
      <c r="T51" s="2595"/>
      <c r="U51" s="2595"/>
      <c r="V51" s="2595"/>
      <c r="W51" s="2595"/>
      <c r="X51" s="2595"/>
      <c r="Y51" s="2595"/>
      <c r="Z51" s="2595"/>
      <c r="AA51" s="2595"/>
      <c r="AB51" s="2596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</row>
    <row r="52" spans="2:46" ht="24" customHeight="1" thickBot="1" x14ac:dyDescent="0.4">
      <c r="B52" s="106" t="s">
        <v>471</v>
      </c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77"/>
      <c r="N52" s="2732" t="s">
        <v>784</v>
      </c>
      <c r="O52" s="2733"/>
      <c r="P52" s="2733"/>
      <c r="Q52" s="2733"/>
      <c r="R52" s="2733"/>
      <c r="S52" s="2733"/>
      <c r="T52" s="2733"/>
      <c r="U52" s="2733"/>
      <c r="V52" s="2733"/>
      <c r="W52" s="2733"/>
      <c r="X52" s="2733"/>
      <c r="Y52" s="2733"/>
      <c r="Z52" s="2733"/>
      <c r="AA52" s="2733"/>
      <c r="AB52" s="2734"/>
    </row>
    <row r="53" spans="2:46" s="42" customFormat="1" ht="20.25" customHeight="1" thickBot="1" x14ac:dyDescent="0.35">
      <c r="B53" s="106" t="s">
        <v>413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2684" t="s">
        <v>22</v>
      </c>
      <c r="O53" s="2694" t="s">
        <v>1131</v>
      </c>
      <c r="P53" s="2587" t="s">
        <v>18</v>
      </c>
      <c r="Q53" s="2584" t="s">
        <v>19</v>
      </c>
      <c r="R53" s="2575" t="s">
        <v>20</v>
      </c>
      <c r="S53" s="2592" t="s">
        <v>562</v>
      </c>
      <c r="T53" s="2587" t="str">
        <f>T28</f>
        <v>Студенти
бр.</v>
      </c>
      <c r="U53" s="2604" t="s">
        <v>551</v>
      </c>
      <c r="V53" s="2605"/>
      <c r="W53" s="2606"/>
      <c r="X53" s="2589" t="s">
        <v>468</v>
      </c>
      <c r="Y53" s="2592" t="s">
        <v>309</v>
      </c>
      <c r="Z53" s="2584" t="s">
        <v>332</v>
      </c>
      <c r="AA53" s="2575"/>
      <c r="AB53" s="2587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</row>
    <row r="54" spans="2:46" s="42" customFormat="1" ht="26.25" thickBot="1" x14ac:dyDescent="0.35">
      <c r="B54" s="106" t="s">
        <v>414</v>
      </c>
      <c r="C54" s="2580" t="s">
        <v>568</v>
      </c>
      <c r="D54" s="2600"/>
      <c r="E54" s="2600"/>
      <c r="F54" s="2581"/>
      <c r="G54" s="2580" t="s">
        <v>313</v>
      </c>
      <c r="H54" s="2581"/>
      <c r="I54" s="2580" t="s">
        <v>310</v>
      </c>
      <c r="J54" s="2581"/>
      <c r="K54" s="2611" t="s">
        <v>336</v>
      </c>
      <c r="L54" s="2611"/>
      <c r="M54" s="2612"/>
      <c r="N54" s="2685"/>
      <c r="O54" s="2695"/>
      <c r="P54" s="2588"/>
      <c r="Q54" s="2585"/>
      <c r="R54" s="2576"/>
      <c r="S54" s="2593"/>
      <c r="T54" s="2588"/>
      <c r="U54" s="369" t="s">
        <v>550</v>
      </c>
      <c r="V54" s="370" t="s">
        <v>774</v>
      </c>
      <c r="W54" s="371" t="s">
        <v>775</v>
      </c>
      <c r="X54" s="2675"/>
      <c r="Y54" s="2593"/>
      <c r="Z54" s="220" t="s">
        <v>327</v>
      </c>
      <c r="AA54" s="221" t="s">
        <v>328</v>
      </c>
      <c r="AB54" s="222" t="s">
        <v>389</v>
      </c>
      <c r="AC54" s="2564" t="s">
        <v>7821</v>
      </c>
      <c r="AD54" s="2568"/>
      <c r="AE54" s="2568"/>
      <c r="AF54" s="2568"/>
      <c r="AG54" s="2565"/>
      <c r="AH54" s="2564" t="s">
        <v>9528</v>
      </c>
      <c r="AI54" s="2568"/>
      <c r="AJ54" s="2565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</row>
    <row r="55" spans="2:46" ht="21" hidden="1" customHeight="1" thickBot="1" x14ac:dyDescent="0.35">
      <c r="B55" s="106" t="s">
        <v>419</v>
      </c>
      <c r="C55" s="380" t="s">
        <v>575</v>
      </c>
      <c r="D55" s="119" t="s">
        <v>894</v>
      </c>
      <c r="E55" s="375" t="s">
        <v>569</v>
      </c>
      <c r="F55" s="121" t="s">
        <v>616</v>
      </c>
      <c r="G55" s="122" t="s">
        <v>390</v>
      </c>
      <c r="H55" s="123" t="s">
        <v>335</v>
      </c>
      <c r="I55" s="122" t="s">
        <v>391</v>
      </c>
      <c r="J55" s="668" t="s">
        <v>333</v>
      </c>
      <c r="K55" s="363" t="s">
        <v>572</v>
      </c>
      <c r="L55" s="363" t="s">
        <v>387</v>
      </c>
      <c r="M55" s="675" t="s">
        <v>334</v>
      </c>
      <c r="N55" s="201" t="s">
        <v>22</v>
      </c>
      <c r="O55" s="131" t="s">
        <v>416</v>
      </c>
      <c r="P55" s="202" t="s">
        <v>18</v>
      </c>
      <c r="Q55" s="203" t="s">
        <v>19</v>
      </c>
      <c r="R55" s="204" t="s">
        <v>20</v>
      </c>
      <c r="S55" s="1193" t="s">
        <v>620</v>
      </c>
      <c r="T55" s="1195" t="s">
        <v>618</v>
      </c>
      <c r="U55" s="372" t="s">
        <v>571</v>
      </c>
      <c r="V55" s="373" t="s">
        <v>547</v>
      </c>
      <c r="W55" s="374" t="s">
        <v>564</v>
      </c>
      <c r="X55" s="131" t="s">
        <v>621</v>
      </c>
      <c r="Y55" s="206" t="s">
        <v>330</v>
      </c>
      <c r="Z55" s="1239" t="s">
        <v>327</v>
      </c>
      <c r="AA55" s="1240" t="s">
        <v>86</v>
      </c>
      <c r="AB55" s="205" t="s">
        <v>329</v>
      </c>
      <c r="AC55" s="1742" t="s">
        <v>1093</v>
      </c>
      <c r="AD55" s="1742" t="s">
        <v>1094</v>
      </c>
      <c r="AE55" s="1742" t="s">
        <v>1095</v>
      </c>
      <c r="AF55" s="1743" t="s">
        <v>1097</v>
      </c>
      <c r="AG55" s="1742" t="s">
        <v>7735</v>
      </c>
      <c r="AH55" s="1744" t="s">
        <v>1092</v>
      </c>
      <c r="AI55" s="1742" t="s">
        <v>7736</v>
      </c>
      <c r="AJ55" s="1742" t="s">
        <v>7828</v>
      </c>
    </row>
    <row r="56" spans="2:46" x14ac:dyDescent="0.3">
      <c r="B56" s="236">
        <f>N(B55)+1</f>
        <v>1</v>
      </c>
      <c r="C56" s="110">
        <f>IFERROR(MATCH(MPZS[[#This Row],[ВидПрактика]],T_УчПрактики[Практика и курсова работа],0),0)</f>
        <v>0</v>
      </c>
      <c r="D56" s="111" t="str" cm="1">
        <f t="array" ref="D56">IF(MPZS[[#This Row],[пВидПрактика]],INDEX(T_УчПрактики[Студенти],MPZS[[#This Row],[пВидПрактика]]),"-")</f>
        <v>-</v>
      </c>
      <c r="E56" s="811" t="str" cm="1">
        <f t="array" ref="E56">IF(MPZS[[#This Row],[пВидПрактика]],INDEX(T_УчПрактики[Група],MPZS[[#This Row],[пВидПрактика]])*2,"-")</f>
        <v>-</v>
      </c>
      <c r="F56" s="366" t="str" cm="1">
        <f t="array" ref="F56">IF(MPZS[[#This Row],[пВидПрактика]],INDEX(T_УчПрактики[Ден],MPZS[[#This Row],[пВидПрактика]])*4,"-")</f>
        <v>-</v>
      </c>
      <c r="G56" s="110">
        <f>IFERROR(AND(MPZS[[#This Row],[ТО]]&lt;&gt;0,MPZS[[#This Row],[ФормаОб]]=0)*1,0)</f>
        <v>0</v>
      </c>
      <c r="H56" s="355">
        <f>IFERROR(AND(MPZS[[#This Row],[Изпитани]]&lt;&gt;0,LEN(MPZS[[#This Row],[Изпитващ]])=0)*1,0)</f>
        <v>0</v>
      </c>
      <c r="I56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56" s="666">
        <f>IFERROR(VLOOKUP(MPZS[[#This Row],[ФормаОб]],тТО[[обФорма]:[Коеф.]],2,0),0)</f>
        <v>0</v>
      </c>
      <c r="K56" s="412" cm="1">
        <f t="array" ref="K56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56" s="365">
        <f>N(MPZS[[#This Row],[Изпитани]])*MPZS[[#This Row],[кИзпитващ]]</f>
        <v>0</v>
      </c>
      <c r="M56" s="676">
        <f>N(MPZS[[#This Row],[ТО]])*MPZS[[#This Row],[кTO]]</f>
        <v>0</v>
      </c>
      <c r="N56" s="1480"/>
      <c r="O56" s="1481"/>
      <c r="P56" s="1462"/>
      <c r="Q56" s="1061"/>
      <c r="R56" s="581"/>
      <c r="S56" s="1194"/>
      <c r="T56" s="1482"/>
      <c r="U56" s="1451"/>
      <c r="V56" s="1483"/>
      <c r="W56" s="1484"/>
      <c r="X56" s="1485"/>
      <c r="Y56" s="1486"/>
      <c r="Z56" s="245"/>
      <c r="AA56" s="1244"/>
      <c r="AB56" s="246"/>
      <c r="AC56" s="1395"/>
      <c r="AD56" s="1396"/>
      <c r="AE56" s="1396"/>
      <c r="AF56" s="1396"/>
      <c r="AG56" s="1396"/>
      <c r="AH56" s="1694">
        <f ca="1">N(OFFSET(MPZS[[#This Row],[|]],-1,0))+1</f>
        <v>1</v>
      </c>
      <c r="AI56" s="1695" t="str">
        <f>IF(MPZS[[#This Row],[уЧасове]],MPZS[[#This Row],[нацид|монСпециалностМП]],"")</f>
        <v/>
      </c>
      <c r="AJ56" s="1696">
        <f>SUM(MPZS[[#This Row],[чПрактика]:[чTO]],N(MPZS[[#This Row],[КР]])*кКурсова_работа)</f>
        <v>0</v>
      </c>
    </row>
    <row r="57" spans="2:46" x14ac:dyDescent="0.3">
      <c r="B57" s="236">
        <f t="shared" ref="B57:B65" si="1">N(B56)+1</f>
        <v>2</v>
      </c>
      <c r="C57" s="110">
        <f>IFERROR(MATCH(MPZS[[#This Row],[ВидПрактика]],T_УчПрактики[Практика и курсова работа],0),0)</f>
        <v>0</v>
      </c>
      <c r="D57" s="111" t="str" cm="1">
        <f t="array" ref="D57">IF(MPZS[[#This Row],[пВидПрактика]],INDEX(T_УчПрактики[Студенти],MPZS[[#This Row],[пВидПрактика]]),"-")</f>
        <v>-</v>
      </c>
      <c r="E57" s="811" t="str" cm="1">
        <f t="array" ref="E57">IF(MPZS[[#This Row],[пВидПрактика]],INDEX(T_УчПрактики[Група],MPZS[[#This Row],[пВидПрактика]])*2,"-")</f>
        <v>-</v>
      </c>
      <c r="F57" s="358" t="str" cm="1">
        <f t="array" ref="F57">IF(MPZS[[#This Row],[пВидПрактика]],INDEX(T_УчПрактики[Ден],MPZS[[#This Row],[пВидПрактика]])*4,"-")</f>
        <v>-</v>
      </c>
      <c r="G57" s="110">
        <f>IFERROR(AND(MPZS[[#This Row],[ТО]]&lt;&gt;0,MPZS[[#This Row],[ФормаОб]]=0)*1,0)</f>
        <v>0</v>
      </c>
      <c r="H57" s="355">
        <f>IFERROR(AND(MPZS[[#This Row],[Изпитани]]&lt;&gt;0,LEN(MPZS[[#This Row],[Изпитващ]])=0)*1,0)</f>
        <v>0</v>
      </c>
      <c r="I57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57" s="666">
        <f>IFERROR(VLOOKUP(MPZS[[#This Row],[ФормаОб]],тТО[[обФорма]:[Коеф.]],2,0),0)</f>
        <v>0</v>
      </c>
      <c r="K57" s="413" cm="1">
        <f t="array" ref="K57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57" s="360">
        <f>N(MPZS[[#This Row],[Изпитани]])*N(MPZS[[#This Row],[кИзпитващ]])</f>
        <v>0</v>
      </c>
      <c r="M57" s="677">
        <f>N(MPZS[[#This Row],[ТО]])*MPZS[[#This Row],[кTO]]</f>
        <v>0</v>
      </c>
      <c r="N57" s="1487"/>
      <c r="O57" s="582"/>
      <c r="P57" s="1060"/>
      <c r="Q57" s="904"/>
      <c r="R57" s="558"/>
      <c r="S57" s="896"/>
      <c r="T57" s="1196"/>
      <c r="U57" s="551"/>
      <c r="V57" s="378"/>
      <c r="W57" s="376"/>
      <c r="X57" s="1058"/>
      <c r="Y57" s="1059"/>
      <c r="Z57" s="249"/>
      <c r="AA57" s="272"/>
      <c r="AB57" s="250"/>
      <c r="AC57" s="1397"/>
      <c r="AD57" s="1398"/>
      <c r="AE57" s="1398"/>
      <c r="AF57" s="1398"/>
      <c r="AG57" s="1398"/>
      <c r="AH57" s="1675">
        <f ca="1">N(OFFSET(MPZS[[#This Row],[|]],-1,0))+1</f>
        <v>2</v>
      </c>
      <c r="AI57" s="1697" t="str">
        <f>IF(MPZS[[#This Row],[уЧасове]],MPZS[[#This Row],[нацид|монСпециалностМП]],"")</f>
        <v/>
      </c>
      <c r="AJ57" s="1698">
        <f>SUM(MPZS[[#This Row],[чПрактика]:[чTO]],N(MPZS[[#This Row],[КР]])*кКурсова_работа)</f>
        <v>0</v>
      </c>
    </row>
    <row r="58" spans="2:46" x14ac:dyDescent="0.3">
      <c r="B58" s="236">
        <f t="shared" si="1"/>
        <v>3</v>
      </c>
      <c r="C58" s="110">
        <f>IFERROR(MATCH(MPZS[[#This Row],[ВидПрактика]],T_УчПрактики[Практика и курсова работа],0),0)</f>
        <v>0</v>
      </c>
      <c r="D58" s="111" t="str" cm="1">
        <f t="array" ref="D58">IF(MPZS[[#This Row],[пВидПрактика]],INDEX(T_УчПрактики[Студенти],MPZS[[#This Row],[пВидПрактика]]),"-")</f>
        <v>-</v>
      </c>
      <c r="E58" s="811" t="str" cm="1">
        <f t="array" ref="E58">IF(MPZS[[#This Row],[пВидПрактика]],INDEX(T_УчПрактики[Група],MPZS[[#This Row],[пВидПрактика]])*2,"-")</f>
        <v>-</v>
      </c>
      <c r="F58" s="358" t="str" cm="1">
        <f t="array" ref="F58">IF(MPZS[[#This Row],[пВидПрактика]],INDEX(T_УчПрактики[Ден],MPZS[[#This Row],[пВидПрактика]])*4,"-")</f>
        <v>-</v>
      </c>
      <c r="G58" s="110">
        <f>IFERROR(AND(MPZS[[#This Row],[ТО]]&lt;&gt;0,MPZS[[#This Row],[ФормаОб]]=0)*1,0)</f>
        <v>0</v>
      </c>
      <c r="H58" s="355">
        <f>IFERROR(AND(MPZS[[#This Row],[Изпитани]]&lt;&gt;0,LEN(MPZS[[#This Row],[Изпитващ]])=0)*1,0)</f>
        <v>0</v>
      </c>
      <c r="I58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58" s="666">
        <f>IFERROR(VLOOKUP(MPZS[[#This Row],[ФормаОб]],тТО[[обФорма]:[Коеф.]],2,0),0)</f>
        <v>0</v>
      </c>
      <c r="K58" s="413" cm="1">
        <f t="array" ref="K58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58" s="360">
        <f>N(MPZS[[#This Row],[Изпитани]])*N(MPZS[[#This Row],[кИзпитващ]])</f>
        <v>0</v>
      </c>
      <c r="M58" s="677">
        <f>N(MPZS[[#This Row],[ТО]])*MPZS[[#This Row],[кTO]]</f>
        <v>0</v>
      </c>
      <c r="N58" s="1487"/>
      <c r="O58" s="582"/>
      <c r="P58" s="1060"/>
      <c r="Q58" s="904"/>
      <c r="R58" s="558"/>
      <c r="S58" s="896"/>
      <c r="T58" s="1196"/>
      <c r="U58" s="551"/>
      <c r="V58" s="378"/>
      <c r="W58" s="376"/>
      <c r="X58" s="1058"/>
      <c r="Y58" s="1059"/>
      <c r="Z58" s="249"/>
      <c r="AA58" s="272"/>
      <c r="AB58" s="250"/>
      <c r="AC58" s="1397"/>
      <c r="AD58" s="1398"/>
      <c r="AE58" s="1398"/>
      <c r="AF58" s="1398"/>
      <c r="AG58" s="1398"/>
      <c r="AH58" s="1675">
        <f ca="1">N(OFFSET(MPZS[[#This Row],[|]],-1,0))+1</f>
        <v>3</v>
      </c>
      <c r="AI58" s="1697" t="str">
        <f>IF(MPZS[[#This Row],[уЧасове]],MPZS[[#This Row],[нацид|монСпециалностМП]],"")</f>
        <v/>
      </c>
      <c r="AJ58" s="1698">
        <f>SUM(MPZS[[#This Row],[чПрактика]:[чTO]],N(MPZS[[#This Row],[КР]])*кКурсова_работа)</f>
        <v>0</v>
      </c>
    </row>
    <row r="59" spans="2:46" x14ac:dyDescent="0.3">
      <c r="B59" s="236">
        <f t="shared" si="1"/>
        <v>4</v>
      </c>
      <c r="C59" s="110">
        <f>IFERROR(MATCH(MPZS[[#This Row],[ВидПрактика]],T_УчПрактики[Практика и курсова работа],0),0)</f>
        <v>0</v>
      </c>
      <c r="D59" s="111" t="str" cm="1">
        <f t="array" ref="D59">IF(MPZS[[#This Row],[пВидПрактика]],INDEX(T_УчПрактики[Студенти],MPZS[[#This Row],[пВидПрактика]]),"-")</f>
        <v>-</v>
      </c>
      <c r="E59" s="811" t="str" cm="1">
        <f t="array" ref="E59">IF(MPZS[[#This Row],[пВидПрактика]],INDEX(T_УчПрактики[Група],MPZS[[#This Row],[пВидПрактика]])*2,"-")</f>
        <v>-</v>
      </c>
      <c r="F59" s="358" t="str" cm="1">
        <f t="array" ref="F59">IF(MPZS[[#This Row],[пВидПрактика]],INDEX(T_УчПрактики[Ден],MPZS[[#This Row],[пВидПрактика]])*4,"-")</f>
        <v>-</v>
      </c>
      <c r="G59" s="110">
        <f>IFERROR(AND(MPZS[[#This Row],[ТО]]&lt;&gt;0,MPZS[[#This Row],[ФормаОб]]=0)*1,0)</f>
        <v>0</v>
      </c>
      <c r="H59" s="355">
        <f>IFERROR(AND(MPZS[[#This Row],[Изпитани]]&lt;&gt;0,LEN(MPZS[[#This Row],[Изпитващ]])=0)*1,0)</f>
        <v>0</v>
      </c>
      <c r="I59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59" s="666">
        <f>IFERROR(VLOOKUP(MPZS[[#This Row],[ФормаОб]],тТО[[обФорма]:[Коеф.]],2,0),0)</f>
        <v>0</v>
      </c>
      <c r="K59" s="413" cm="1">
        <f t="array" ref="K59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59" s="360">
        <f>N(MPZS[[#This Row],[Изпитани]])*N(MPZS[[#This Row],[кИзпитващ]])</f>
        <v>0</v>
      </c>
      <c r="M59" s="677">
        <f>N(MPZS[[#This Row],[ТО]])*MPZS[[#This Row],[кTO]]</f>
        <v>0</v>
      </c>
      <c r="N59" s="1487"/>
      <c r="O59" s="582"/>
      <c r="P59" s="1060"/>
      <c r="Q59" s="904"/>
      <c r="R59" s="558"/>
      <c r="S59" s="896"/>
      <c r="T59" s="1196"/>
      <c r="U59" s="551"/>
      <c r="V59" s="378"/>
      <c r="W59" s="376"/>
      <c r="X59" s="1058"/>
      <c r="Y59" s="1059"/>
      <c r="Z59" s="249"/>
      <c r="AA59" s="272"/>
      <c r="AB59" s="250"/>
      <c r="AC59" s="1397"/>
      <c r="AD59" s="1398"/>
      <c r="AE59" s="1398"/>
      <c r="AF59" s="1398"/>
      <c r="AG59" s="1398"/>
      <c r="AH59" s="1675">
        <f ca="1">N(OFFSET(MPZS[[#This Row],[|]],-1,0))+1</f>
        <v>4</v>
      </c>
      <c r="AI59" s="1697" t="str">
        <f>IF(MPZS[[#This Row],[уЧасове]],MPZS[[#This Row],[нацид|монСпециалностМП]],"")</f>
        <v/>
      </c>
      <c r="AJ59" s="1698">
        <f>SUM(MPZS[[#This Row],[чПрактика]:[чTO]],N(MPZS[[#This Row],[КР]])*кКурсова_работа)</f>
        <v>0</v>
      </c>
    </row>
    <row r="60" spans="2:46" s="42" customFormat="1" x14ac:dyDescent="0.3">
      <c r="B60" s="236">
        <f t="shared" si="1"/>
        <v>5</v>
      </c>
      <c r="C60" s="110">
        <f>IFERROR(MATCH(MPZS[[#This Row],[ВидПрактика]],T_УчПрактики[Практика и курсова работа],0),0)</f>
        <v>0</v>
      </c>
      <c r="D60" s="111" t="str" cm="1">
        <f t="array" ref="D60">IF(MPZS[[#This Row],[пВидПрактика]],INDEX(T_УчПрактики[Студенти],MPZS[[#This Row],[пВидПрактика]]),"-")</f>
        <v>-</v>
      </c>
      <c r="E60" s="811" t="str" cm="1">
        <f t="array" ref="E60">IF(MPZS[[#This Row],[пВидПрактика]],INDEX(T_УчПрактики[Група],MPZS[[#This Row],[пВидПрактика]])*2,"-")</f>
        <v>-</v>
      </c>
      <c r="F60" s="358" t="str" cm="1">
        <f t="array" ref="F60">IF(MPZS[[#This Row],[пВидПрактика]],INDEX(T_УчПрактики[Ден],MPZS[[#This Row],[пВидПрактика]])*4,"-")</f>
        <v>-</v>
      </c>
      <c r="G60" s="110">
        <f>IFERROR(AND(MPZS[[#This Row],[ТО]]&lt;&gt;0,MPZS[[#This Row],[ФормаОб]]=0)*1,0)</f>
        <v>0</v>
      </c>
      <c r="H60" s="355">
        <f>IFERROR(AND(MPZS[[#This Row],[Изпитани]]&lt;&gt;0,LEN(MPZS[[#This Row],[Изпитващ]])=0)*1,0)</f>
        <v>0</v>
      </c>
      <c r="I60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60" s="666">
        <f>IFERROR(VLOOKUP(MPZS[[#This Row],[ФормаОб]],тТО[[обФорма]:[Коеф.]],2,0),0)</f>
        <v>0</v>
      </c>
      <c r="K60" s="413" cm="1">
        <f t="array" ref="K60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60" s="360">
        <f>N(MPZS[[#This Row],[Изпитани]])*N(MPZS[[#This Row],[кИзпитващ]])</f>
        <v>0</v>
      </c>
      <c r="M60" s="677">
        <f>N(MPZS[[#This Row],[ТО]])*MPZS[[#This Row],[кTO]]</f>
        <v>0</v>
      </c>
      <c r="N60" s="1487"/>
      <c r="O60" s="582"/>
      <c r="P60" s="1060"/>
      <c r="Q60" s="904"/>
      <c r="R60" s="558"/>
      <c r="S60" s="896"/>
      <c r="T60" s="1197"/>
      <c r="U60" s="551"/>
      <c r="V60" s="378"/>
      <c r="W60" s="376"/>
      <c r="X60" s="1058"/>
      <c r="Y60" s="1059"/>
      <c r="Z60" s="249"/>
      <c r="AA60" s="272"/>
      <c r="AB60" s="250"/>
      <c r="AC60" s="1397"/>
      <c r="AD60" s="1398"/>
      <c r="AE60" s="1398"/>
      <c r="AF60" s="1398"/>
      <c r="AG60" s="1398"/>
      <c r="AH60" s="1675">
        <f ca="1">N(OFFSET(MPZS[[#This Row],[|]],-1,0))+1</f>
        <v>5</v>
      </c>
      <c r="AI60" s="1697" t="str">
        <f>IF(MPZS[[#This Row],[уЧасове]],MPZS[[#This Row],[нацид|монСпециалностМП]],"")</f>
        <v/>
      </c>
      <c r="AJ60" s="1698">
        <f>SUM(MPZS[[#This Row],[чПрактика]:[чTO]],N(MPZS[[#This Row],[КР]])*кКурсова_работа)</f>
        <v>0</v>
      </c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</row>
    <row r="61" spans="2:46" s="42" customFormat="1" x14ac:dyDescent="0.3">
      <c r="B61" s="236">
        <f t="shared" si="1"/>
        <v>6</v>
      </c>
      <c r="C61" s="110">
        <f>IFERROR(MATCH(MPZS[[#This Row],[ВидПрактика]],T_УчПрактики[Практика и курсова работа],0),0)</f>
        <v>0</v>
      </c>
      <c r="D61" s="111" t="str" cm="1">
        <f t="array" ref="D61">IF(MPZS[[#This Row],[пВидПрактика]],INDEX(T_УчПрактики[Студенти],MPZS[[#This Row],[пВидПрактика]]),"-")</f>
        <v>-</v>
      </c>
      <c r="E61" s="811" t="str" cm="1">
        <f t="array" ref="E61">IF(MPZS[[#This Row],[пВидПрактика]],INDEX(T_УчПрактики[Група],MPZS[[#This Row],[пВидПрактика]])*2,"-")</f>
        <v>-</v>
      </c>
      <c r="F61" s="358" t="str" cm="1">
        <f t="array" ref="F61">IF(MPZS[[#This Row],[пВидПрактика]],INDEX(T_УчПрактики[Ден],MPZS[[#This Row],[пВидПрактика]])*4,"-")</f>
        <v>-</v>
      </c>
      <c r="G61" s="110">
        <f>IFERROR(AND(MPZS[[#This Row],[ТО]]&lt;&gt;0,MPZS[[#This Row],[ФормаОб]]=0)*1,0)</f>
        <v>0</v>
      </c>
      <c r="H61" s="355">
        <f>IFERROR(AND(MPZS[[#This Row],[Изпитани]]&lt;&gt;0,LEN(MPZS[[#This Row],[Изпитващ]])=0)*1,0)</f>
        <v>0</v>
      </c>
      <c r="I61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61" s="666">
        <f>IFERROR(VLOOKUP(MPZS[[#This Row],[ФормаОб]],тТО[[обФорма]:[Коеф.]],2,0),0)</f>
        <v>0</v>
      </c>
      <c r="K61" s="413" cm="1">
        <f t="array" ref="K61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61" s="360">
        <f>N(MPZS[[#This Row],[Изпитани]])*N(MPZS[[#This Row],[кИзпитващ]])</f>
        <v>0</v>
      </c>
      <c r="M61" s="677">
        <f>N(MPZS[[#This Row],[ТО]])*MPZS[[#This Row],[кTO]]</f>
        <v>0</v>
      </c>
      <c r="N61" s="1487"/>
      <c r="O61" s="582"/>
      <c r="P61" s="1060"/>
      <c r="Q61" s="904"/>
      <c r="R61" s="558"/>
      <c r="S61" s="896"/>
      <c r="T61" s="1197"/>
      <c r="U61" s="551"/>
      <c r="V61" s="378"/>
      <c r="W61" s="376"/>
      <c r="X61" s="1058"/>
      <c r="Y61" s="1059"/>
      <c r="Z61" s="249"/>
      <c r="AA61" s="272"/>
      <c r="AB61" s="250"/>
      <c r="AC61" s="1397"/>
      <c r="AD61" s="1398"/>
      <c r="AE61" s="1398"/>
      <c r="AF61" s="1398"/>
      <c r="AG61" s="1398"/>
      <c r="AH61" s="1675">
        <f ca="1">N(OFFSET(MPZS[[#This Row],[|]],-1,0))+1</f>
        <v>6</v>
      </c>
      <c r="AI61" s="1697" t="str">
        <f>IF(MPZS[[#This Row],[уЧасове]],MPZS[[#This Row],[нацид|монСпециалностМП]],"")</f>
        <v/>
      </c>
      <c r="AJ61" s="1698">
        <f>SUM(MPZS[[#This Row],[чПрактика]:[чTO]],N(MPZS[[#This Row],[КР]])*кКурсова_работа)</f>
        <v>0</v>
      </c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</row>
    <row r="62" spans="2:46" s="42" customFormat="1" x14ac:dyDescent="0.3">
      <c r="B62" s="236">
        <f t="shared" si="1"/>
        <v>7</v>
      </c>
      <c r="C62" s="110">
        <f>IFERROR(MATCH(MPZS[[#This Row],[ВидПрактика]],T_УчПрактики[Практика и курсова работа],0),0)</f>
        <v>0</v>
      </c>
      <c r="D62" s="111" t="str" cm="1">
        <f t="array" ref="D62">IF(MPZS[[#This Row],[пВидПрактика]],INDEX(T_УчПрактики[Студенти],MPZS[[#This Row],[пВидПрактика]]),"-")</f>
        <v>-</v>
      </c>
      <c r="E62" s="811" t="str" cm="1">
        <f t="array" ref="E62">IF(MPZS[[#This Row],[пВидПрактика]],INDEX(T_УчПрактики[Група],MPZS[[#This Row],[пВидПрактика]])*2,"-")</f>
        <v>-</v>
      </c>
      <c r="F62" s="358" t="str" cm="1">
        <f t="array" ref="F62">IF(MPZS[[#This Row],[пВидПрактика]],INDEX(T_УчПрактики[Ден],MPZS[[#This Row],[пВидПрактика]])*4,"-")</f>
        <v>-</v>
      </c>
      <c r="G62" s="110">
        <f>IFERROR(AND(MPZS[[#This Row],[ТО]]&lt;&gt;0,MPZS[[#This Row],[ФормаОб]]=0)*1,0)</f>
        <v>0</v>
      </c>
      <c r="H62" s="355">
        <f>IFERROR(AND(MPZS[[#This Row],[Изпитани]]&lt;&gt;0,LEN(MPZS[[#This Row],[Изпитващ]])=0)*1,0)</f>
        <v>0</v>
      </c>
      <c r="I62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62" s="666">
        <f>IFERROR(VLOOKUP(MPZS[[#This Row],[ФормаОб]],тТО[[обФорма]:[Коеф.]],2,0),0)</f>
        <v>0</v>
      </c>
      <c r="K62" s="413" cm="1">
        <f t="array" ref="K62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62" s="360">
        <f>N(MPZS[[#This Row],[Изпитани]])*N(MPZS[[#This Row],[кИзпитващ]])</f>
        <v>0</v>
      </c>
      <c r="M62" s="677">
        <f>N(MPZS[[#This Row],[ТО]])*MPZS[[#This Row],[кTO]]</f>
        <v>0</v>
      </c>
      <c r="N62" s="1487"/>
      <c r="O62" s="582"/>
      <c r="P62" s="1060"/>
      <c r="Q62" s="904"/>
      <c r="R62" s="558"/>
      <c r="S62" s="896"/>
      <c r="T62" s="1197"/>
      <c r="U62" s="551"/>
      <c r="V62" s="378"/>
      <c r="W62" s="376"/>
      <c r="X62" s="1058"/>
      <c r="Y62" s="1059"/>
      <c r="Z62" s="249"/>
      <c r="AA62" s="272"/>
      <c r="AB62" s="250"/>
      <c r="AC62" s="1397"/>
      <c r="AD62" s="1398"/>
      <c r="AE62" s="1398"/>
      <c r="AF62" s="1398"/>
      <c r="AG62" s="1398"/>
      <c r="AH62" s="1675">
        <f ca="1">N(OFFSET(MPZS[[#This Row],[|]],-1,0))+1</f>
        <v>7</v>
      </c>
      <c r="AI62" s="1697" t="str">
        <f>IF(MPZS[[#This Row],[уЧасове]],MPZS[[#This Row],[нацид|монСпециалностМП]],"")</f>
        <v/>
      </c>
      <c r="AJ62" s="1698">
        <f>SUM(MPZS[[#This Row],[чПрактика]:[чTO]],N(MPZS[[#This Row],[КР]])*кКурсова_работа)</f>
        <v>0</v>
      </c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</row>
    <row r="63" spans="2:46" s="42" customFormat="1" x14ac:dyDescent="0.3">
      <c r="B63" s="236">
        <f t="shared" si="1"/>
        <v>8</v>
      </c>
      <c r="C63" s="110">
        <f>IFERROR(MATCH(MPZS[[#This Row],[ВидПрактика]],T_УчПрактики[Практика и курсова работа],0),0)</f>
        <v>0</v>
      </c>
      <c r="D63" s="111" t="str" cm="1">
        <f t="array" ref="D63">IF(MPZS[[#This Row],[пВидПрактика]],INDEX(T_УчПрактики[Студенти],MPZS[[#This Row],[пВидПрактика]]),"-")</f>
        <v>-</v>
      </c>
      <c r="E63" s="811" t="str" cm="1">
        <f t="array" ref="E63">IF(MPZS[[#This Row],[пВидПрактика]],INDEX(T_УчПрактики[Група],MPZS[[#This Row],[пВидПрактика]])*2,"-")</f>
        <v>-</v>
      </c>
      <c r="F63" s="358" t="str" cm="1">
        <f t="array" ref="F63">IF(MPZS[[#This Row],[пВидПрактика]],INDEX(T_УчПрактики[Ден],MPZS[[#This Row],[пВидПрактика]])*4,"-")</f>
        <v>-</v>
      </c>
      <c r="G63" s="110">
        <f>IFERROR(AND(MPZS[[#This Row],[ТО]]&lt;&gt;0,MPZS[[#This Row],[ФормаОб]]=0)*1,0)</f>
        <v>0</v>
      </c>
      <c r="H63" s="355">
        <f>IFERROR(AND(MPZS[[#This Row],[Изпитани]]&lt;&gt;0,LEN(MPZS[[#This Row],[Изпитващ]])=0)*1,0)</f>
        <v>0</v>
      </c>
      <c r="I63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63" s="666">
        <f>IFERROR(VLOOKUP(MPZS[[#This Row],[ФормаОб]],тТО[[обФорма]:[Коеф.]],2,0),0)</f>
        <v>0</v>
      </c>
      <c r="K63" s="413" cm="1">
        <f t="array" ref="K63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63" s="360">
        <f>N(MPZS[[#This Row],[Изпитани]])*N(MPZS[[#This Row],[кИзпитващ]])</f>
        <v>0</v>
      </c>
      <c r="M63" s="677">
        <f>N(MPZS[[#This Row],[ТО]])*MPZS[[#This Row],[кTO]]</f>
        <v>0</v>
      </c>
      <c r="N63" s="1487"/>
      <c r="O63" s="582"/>
      <c r="P63" s="1060"/>
      <c r="Q63" s="904"/>
      <c r="R63" s="558"/>
      <c r="S63" s="896"/>
      <c r="T63" s="1197"/>
      <c r="U63" s="551"/>
      <c r="V63" s="378"/>
      <c r="W63" s="376"/>
      <c r="X63" s="1058"/>
      <c r="Y63" s="1059"/>
      <c r="Z63" s="249"/>
      <c r="AA63" s="272"/>
      <c r="AB63" s="250"/>
      <c r="AC63" s="1397"/>
      <c r="AD63" s="1398"/>
      <c r="AE63" s="1398"/>
      <c r="AF63" s="1398"/>
      <c r="AG63" s="1398"/>
      <c r="AH63" s="1675">
        <f ca="1">N(OFFSET(MPZS[[#This Row],[|]],-1,0))+1</f>
        <v>8</v>
      </c>
      <c r="AI63" s="1697" t="str">
        <f>IF(MPZS[[#This Row],[уЧасове]],MPZS[[#This Row],[нацид|монСпециалностМП]],"")</f>
        <v/>
      </c>
      <c r="AJ63" s="1698">
        <f>SUM(MPZS[[#This Row],[чПрактика]:[чTO]],N(MPZS[[#This Row],[КР]])*кКурсова_работа)</f>
        <v>0</v>
      </c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</row>
    <row r="64" spans="2:46" s="42" customFormat="1" x14ac:dyDescent="0.3">
      <c r="B64" s="236">
        <f t="shared" si="1"/>
        <v>9</v>
      </c>
      <c r="C64" s="110">
        <f>IFERROR(MATCH(MPZS[[#This Row],[ВидПрактика]],T_УчПрактики[Практика и курсова работа],0),0)</f>
        <v>0</v>
      </c>
      <c r="D64" s="111" t="str" cm="1">
        <f t="array" ref="D64">IF(MPZS[[#This Row],[пВидПрактика]],INDEX(T_УчПрактики[Студенти],MPZS[[#This Row],[пВидПрактика]]),"-")</f>
        <v>-</v>
      </c>
      <c r="E64" s="811" t="str" cm="1">
        <f t="array" ref="E64">IF(MPZS[[#This Row],[пВидПрактика]],INDEX(T_УчПрактики[Група],MPZS[[#This Row],[пВидПрактика]])*2,"-")</f>
        <v>-</v>
      </c>
      <c r="F64" s="358" t="str" cm="1">
        <f t="array" ref="F64">IF(MPZS[[#This Row],[пВидПрактика]],INDEX(T_УчПрактики[Ден],MPZS[[#This Row],[пВидПрактика]])*4,"-")</f>
        <v>-</v>
      </c>
      <c r="G64" s="110">
        <f>IFERROR(AND(MPZS[[#This Row],[ТО]]&lt;&gt;0,MPZS[[#This Row],[ФормаОб]]=0)*1,0)</f>
        <v>0</v>
      </c>
      <c r="H64" s="355">
        <f>IFERROR(AND(MPZS[[#This Row],[Изпитани]]&lt;&gt;0,LEN(MPZS[[#This Row],[Изпитващ]])=0)*1,0)</f>
        <v>0</v>
      </c>
      <c r="I64" s="367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64" s="666">
        <f>IFERROR(VLOOKUP(MPZS[[#This Row],[ФормаОб]],тТО[[обФорма]:[Коеф.]],2,0),0)</f>
        <v>0</v>
      </c>
      <c r="K64" s="413" cm="1">
        <f t="array" ref="K64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64" s="360">
        <f>N(MPZS[[#This Row],[Изпитани]])*N(MPZS[[#This Row],[кИзпитващ]])</f>
        <v>0</v>
      </c>
      <c r="M64" s="677">
        <f>N(MPZS[[#This Row],[ТО]])*MPZS[[#This Row],[кTO]]</f>
        <v>0</v>
      </c>
      <c r="N64" s="1487"/>
      <c r="O64" s="582"/>
      <c r="P64" s="1060"/>
      <c r="Q64" s="904"/>
      <c r="R64" s="558"/>
      <c r="S64" s="896"/>
      <c r="T64" s="1197"/>
      <c r="U64" s="551"/>
      <c r="V64" s="378"/>
      <c r="W64" s="376"/>
      <c r="X64" s="1058"/>
      <c r="Y64" s="1059"/>
      <c r="Z64" s="249"/>
      <c r="AA64" s="272"/>
      <c r="AB64" s="250"/>
      <c r="AC64" s="1397"/>
      <c r="AD64" s="1398"/>
      <c r="AE64" s="1398"/>
      <c r="AF64" s="1398"/>
      <c r="AG64" s="1398"/>
      <c r="AH64" s="1675">
        <f ca="1">N(OFFSET(MPZS[[#This Row],[|]],-1,0))+1</f>
        <v>9</v>
      </c>
      <c r="AI64" s="1697" t="str">
        <f>IF(MPZS[[#This Row],[уЧасове]],MPZS[[#This Row],[нацид|монСпециалностМП]],"")</f>
        <v/>
      </c>
      <c r="AJ64" s="1698">
        <f>SUM(MPZS[[#This Row],[чПрактика]:[чTO]],N(MPZS[[#This Row],[КР]])*кКурсова_работа)</f>
        <v>0</v>
      </c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</row>
    <row r="65" spans="2:46" s="42" customFormat="1" ht="17.25" thickBot="1" x14ac:dyDescent="0.35">
      <c r="B65" s="236">
        <f t="shared" si="1"/>
        <v>10</v>
      </c>
      <c r="C65" s="261">
        <f>IFERROR(MATCH(MPZS[[#This Row],[ВидПрактика]],T_УчПрактики[Практика и курсова работа],0),0)</f>
        <v>0</v>
      </c>
      <c r="D65" s="260" t="str" cm="1">
        <f t="array" ref="D65">IF(MPZS[[#This Row],[пВидПрактика]],INDEX(T_УчПрактики[Студенти],MPZS[[#This Row],[пВидПрактика]]),"-")</f>
        <v>-</v>
      </c>
      <c r="E65" s="812" t="str" cm="1">
        <f t="array" ref="E65">IF(MPZS[[#This Row],[пВидПрактика]],INDEX(T_УчПрактики[Група],MPZS[[#This Row],[пВидПрактика]])*2,"-")</f>
        <v>-</v>
      </c>
      <c r="F65" s="359" t="str" cm="1">
        <f t="array" ref="F65">IF(MPZS[[#This Row],[пВидПрактика]],INDEX(T_УчПрактики[Ден],MPZS[[#This Row],[пВидПрактика]])*4,"-")</f>
        <v>-</v>
      </c>
      <c r="G65" s="261">
        <f>IFERROR(AND(MPZS[[#This Row],[ТО]]&lt;&gt;0,MPZS[[#This Row],[ФормаОб]]=0)*1,0)</f>
        <v>0</v>
      </c>
      <c r="H65" s="362">
        <f>IFERROR(AND(MPZS[[#This Row],[Изпитани]]&lt;&gt;0,LEN(MPZS[[#This Row],[Изпитващ]])=0)*1,0)</f>
        <v>0</v>
      </c>
      <c r="I65" s="368">
        <f>IFERROR(IF(AND(COUNTIF(nФакултетОтчет,"*математика*"),MPZS[[#This Row],[ФормаОц]]="КИ"),0.9,IF(T(MPZS[[#This Row],[Изпитващ]])="",0,VLOOKUP(MPZS[[#This Row],[Изпитващ]],ТвидИзпитващ[[видИзпитващ]:[Коеф.]],2,0))),0)</f>
        <v>0</v>
      </c>
      <c r="J65" s="667">
        <f>IFERROR(VLOOKUP(MPZS[[#This Row],[ФормаОб]],тТО[[обФорма]:[Коеф.]],2,0),0)</f>
        <v>0</v>
      </c>
      <c r="K65" s="414" cm="1">
        <f t="array" ref="K65">IFERROR(IF(MPZS[[#This Row],[пВидПрактика]]&gt;0,INDEX(T_Практики[Час],MPZS[[#This Row],[пВидПрактика]])*CHOOSE(SUM(MPZS[[#This Row],[уфСтуденти]:[уфДен]])+1,0,0,N(MPZS[[#This Row],[Група]]),,N(MPZS[[#This Row],[Ден]]),N(MPZS[[#This Row],[Студенти]])*N(MPZS[[#This Row],[Ден]]),N(MPZS[[#This Row],[Група]])*N(MPZS[[#This Row],[Ден]])),0),0)</f>
        <v>0</v>
      </c>
      <c r="L65" s="361">
        <f>N(MPZS[[#This Row],[Изпитани]])*N(MPZS[[#This Row],[кИзпитващ]])</f>
        <v>0</v>
      </c>
      <c r="M65" s="678">
        <f>N(MPZS[[#This Row],[ТО]])*MPZS[[#This Row],[кTO]]</f>
        <v>0</v>
      </c>
      <c r="N65" s="1488"/>
      <c r="O65" s="1489"/>
      <c r="P65" s="1490"/>
      <c r="Q65" s="905"/>
      <c r="R65" s="578"/>
      <c r="S65" s="906"/>
      <c r="T65" s="1491"/>
      <c r="U65" s="552"/>
      <c r="V65" s="379"/>
      <c r="W65" s="377"/>
      <c r="X65" s="1492"/>
      <c r="Y65" s="1493"/>
      <c r="Z65" s="252"/>
      <c r="AA65" s="1245"/>
      <c r="AB65" s="253"/>
      <c r="AC65" s="1399"/>
      <c r="AD65" s="1400"/>
      <c r="AE65" s="1400"/>
      <c r="AF65" s="1400"/>
      <c r="AG65" s="1400"/>
      <c r="AH65" s="1676">
        <f ca="1">N(OFFSET(MPZS[[#This Row],[|]],-1,0))+1</f>
        <v>10</v>
      </c>
      <c r="AI65" s="1699" t="str">
        <f>IF(MPZS[[#This Row],[уЧасове]],MPZS[[#This Row],[нацид|монСпециалностМП]],"")</f>
        <v/>
      </c>
      <c r="AJ65" s="1700">
        <f>SUM(MPZS[[#This Row],[чПрактика]:[чTO]],N(MPZS[[#This Row],[КР]])*кКурсова_работа)</f>
        <v>0</v>
      </c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</row>
    <row r="66" spans="2:46" s="42" customFormat="1" ht="9.9499999999999993" customHeight="1" x14ac:dyDescent="0.3">
      <c r="B66" s="107" t="s">
        <v>412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</row>
    <row r="67" spans="2:46" ht="27.75" thickBot="1" x14ac:dyDescent="0.35">
      <c r="B67" s="105" t="s">
        <v>415</v>
      </c>
      <c r="M67" s="49" t="str">
        <f>IF(M25,3,"1.3")</f>
        <v>1.3</v>
      </c>
      <c r="N67" s="2710" t="str">
        <f>M67&amp;". ОКС ""магистър"" след придобита ОКС – дипломиране – ЗИМЕН семестър"</f>
        <v>1.3. ОКС "магистър" след придобита ОКС – дипломиране – ЗИМЕН семестър</v>
      </c>
      <c r="O67" s="2711"/>
      <c r="P67" s="2711"/>
      <c r="Q67" s="2711"/>
      <c r="R67" s="2711"/>
      <c r="S67" s="2712"/>
    </row>
    <row r="68" spans="2:46" s="42" customFormat="1" ht="21" thickBot="1" x14ac:dyDescent="0.35">
      <c r="B68" s="106" t="s">
        <v>413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2679" t="s">
        <v>416</v>
      </c>
      <c r="O68" s="2692" t="s">
        <v>18</v>
      </c>
      <c r="P68" s="2575" t="s">
        <v>562</v>
      </c>
      <c r="Q68" s="2648" t="s">
        <v>332</v>
      </c>
      <c r="R68" s="2649"/>
      <c r="S68" s="2650"/>
      <c r="T68" s="36"/>
      <c r="U68" s="36"/>
      <c r="V68" s="36"/>
      <c r="Z68" s="36"/>
      <c r="AA68" s="36"/>
      <c r="AB68" s="36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</row>
    <row r="69" spans="2:46" s="42" customFormat="1" ht="28.5" customHeight="1" thickBot="1" x14ac:dyDescent="0.35">
      <c r="B69" s="106" t="s">
        <v>414</v>
      </c>
      <c r="C69" s="36"/>
      <c r="D69" s="36"/>
      <c r="E69" s="36"/>
      <c r="F69" s="36"/>
      <c r="G69" s="36"/>
      <c r="H69" s="2572" t="s">
        <v>310</v>
      </c>
      <c r="I69" s="2573"/>
      <c r="J69" s="2574"/>
      <c r="K69" s="2569" t="s">
        <v>336</v>
      </c>
      <c r="L69" s="2570"/>
      <c r="M69" s="2571"/>
      <c r="N69" s="2691"/>
      <c r="O69" s="2693"/>
      <c r="P69" s="2576"/>
      <c r="Q69" s="113" t="s">
        <v>392</v>
      </c>
      <c r="R69" s="108" t="s">
        <v>393</v>
      </c>
      <c r="S69" s="114" t="s">
        <v>394</v>
      </c>
      <c r="T69" s="36"/>
      <c r="U69" s="36"/>
      <c r="V69" s="36"/>
      <c r="Z69" s="36"/>
      <c r="AA69" s="36"/>
      <c r="AB69" s="36"/>
      <c r="AC69" s="234"/>
      <c r="AD69" s="234"/>
      <c r="AE69" s="234"/>
      <c r="AF69" s="2564" t="s">
        <v>1000</v>
      </c>
      <c r="AG69" s="2565"/>
      <c r="AH69" s="2564" t="s">
        <v>9528</v>
      </c>
      <c r="AI69" s="2568"/>
      <c r="AJ69" s="2565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</row>
    <row r="70" spans="2:46" ht="21" hidden="1" thickBot="1" x14ac:dyDescent="0.35">
      <c r="B70" s="106" t="s">
        <v>419</v>
      </c>
      <c r="H70" s="1648" t="s">
        <v>7825</v>
      </c>
      <c r="I70" s="1647" t="s">
        <v>7826</v>
      </c>
      <c r="J70" s="1649" t="s">
        <v>7827</v>
      </c>
      <c r="K70" s="1648" t="s">
        <v>995</v>
      </c>
      <c r="L70" s="1647" t="s">
        <v>7823</v>
      </c>
      <c r="M70" s="1649" t="s">
        <v>7824</v>
      </c>
      <c r="N70" s="132" t="s">
        <v>416</v>
      </c>
      <c r="O70" s="132" t="s">
        <v>18</v>
      </c>
      <c r="P70" s="1647" t="s">
        <v>620</v>
      </c>
      <c r="Q70" s="427" t="s">
        <v>358</v>
      </c>
      <c r="R70" s="428" t="s">
        <v>393</v>
      </c>
      <c r="S70" s="429" t="s">
        <v>619</v>
      </c>
      <c r="AF70" s="1762" t="s">
        <v>12873</v>
      </c>
      <c r="AG70" s="1764" t="s">
        <v>7735</v>
      </c>
      <c r="AH70" s="1748" t="s">
        <v>1092</v>
      </c>
      <c r="AI70" s="1749" t="s">
        <v>7736</v>
      </c>
      <c r="AJ70" s="1750" t="s">
        <v>7828</v>
      </c>
    </row>
    <row r="71" spans="2:46" s="42" customFormat="1" x14ac:dyDescent="0.3">
      <c r="B71" s="236">
        <f>N(B70)+1</f>
        <v>1</v>
      </c>
      <c r="H71" s="1902">
        <f t="shared" ref="H71:H78" si="2">кДипломна_работа</f>
        <v>30</v>
      </c>
      <c r="I71" s="1902">
        <f t="shared" ref="I71:I78" si="3">кРецензия</f>
        <v>5</v>
      </c>
      <c r="J71" s="1902">
        <f t="shared" ref="J71:J78" si="4">кДИ_защита</f>
        <v>0.8</v>
      </c>
      <c r="K71" s="1896">
        <f>MDiplomiraneZS[[#This Row],[кДР]]*N(MDiplomiraneZS[[#This Row],[ДР]])</f>
        <v>0</v>
      </c>
      <c r="L71" s="1897">
        <f>MDiplomiraneZS[[#This Row],[кРецензии]]*N(MDiplomiraneZS[[#This Row],[Рецензии]])</f>
        <v>0</v>
      </c>
      <c r="M71" s="1898">
        <f>MDiplomiraneZS[[#This Row],[кИ/ДИ/З]]*N(MDiplomiraneZS[[#This Row],[И/ДИ/З]])</f>
        <v>0</v>
      </c>
      <c r="N71" s="1449"/>
      <c r="O71" s="1442"/>
      <c r="P71" s="1679"/>
      <c r="Q71" s="1443"/>
      <c r="R71" s="874"/>
      <c r="S71" s="875"/>
      <c r="AC71" s="234"/>
      <c r="AD71" s="234"/>
      <c r="AE71" s="234"/>
      <c r="AF71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1" s="1893" t="str">
        <f>IFERROR(VLOOKUP(MDiplomiraneZS1[[#This Row],[СпециалностМП]],EducPlans_кодНАЦИД_Спец[[кодСпецДР]:[кодНАЦИД]],3,0),"")</f>
        <v/>
      </c>
      <c r="AH71" s="1690">
        <f ca="1">N(OFFSET(MDiplomiraneZS1[[#This Row],[|]],-1,0))+1</f>
        <v>1</v>
      </c>
      <c r="AI71" s="1691" t="str">
        <f>IF(MDiplomiraneZS1[[#This Row],[уЧасове]],MDiplomiraneZS1[[#This Row],[нацид|монСпециалностМП]],"")</f>
        <v/>
      </c>
      <c r="AJ71" s="1692">
        <f>SUM(MDiplomiraneZS[[#This Row],[чДР]:[чИ/ДИ/З]])</f>
        <v>0</v>
      </c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</row>
    <row r="72" spans="2:46" s="42" customFormat="1" x14ac:dyDescent="0.3">
      <c r="B72" s="236">
        <f>N(B71)+1</f>
        <v>2</v>
      </c>
      <c r="H72" s="1902">
        <f t="shared" si="2"/>
        <v>30</v>
      </c>
      <c r="I72" s="1902">
        <f t="shared" si="3"/>
        <v>5</v>
      </c>
      <c r="J72" s="1902">
        <f t="shared" si="4"/>
        <v>0.8</v>
      </c>
      <c r="K72" s="1896">
        <f>MDiplomiraneZS[[#This Row],[кДР]]*N(MDiplomiraneZS[[#This Row],[ДР]])</f>
        <v>0</v>
      </c>
      <c r="L72" s="1897">
        <f>MDiplomiraneZS[[#This Row],[кРецензии]]*N(MDiplomiraneZS[[#This Row],[Рецензии]])</f>
        <v>0</v>
      </c>
      <c r="M72" s="1898">
        <f>MDiplomiraneZS[[#This Row],[кИ/ДИ/З]]*N(MDiplomiraneZS[[#This Row],[И/ДИ/З]])</f>
        <v>0</v>
      </c>
      <c r="N72" s="553"/>
      <c r="O72" s="895"/>
      <c r="P72" s="1679"/>
      <c r="Q72" s="265"/>
      <c r="R72" s="243"/>
      <c r="S72" s="244"/>
      <c r="AC72" s="234"/>
      <c r="AD72" s="234"/>
      <c r="AE72" s="234"/>
      <c r="AF72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2" s="1893" t="str">
        <f>IFERROR(VLOOKUP(MDiplomiraneZS1[[#This Row],[СпециалностМП]],EducPlans_кодНАЦИД_Спец[[кодСпецДР]:[кодНАЦИД]],3,0),"")</f>
        <v/>
      </c>
      <c r="AH72" s="1690">
        <f ca="1">N(OFFSET(MDiplomiraneZS1[[#This Row],[|]],-1,0))+1</f>
        <v>2</v>
      </c>
      <c r="AI72" s="1691" t="str">
        <f>IF(MDiplomiraneZS1[[#This Row],[уЧасове]],MDiplomiraneZS1[[#This Row],[нацид|монСпециалностМП]],"")</f>
        <v/>
      </c>
      <c r="AJ72" s="1692">
        <f>SUM(MDiplomiraneZS[[#This Row],[чДР]:[чИ/ДИ/З]])</f>
        <v>0</v>
      </c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</row>
    <row r="73" spans="2:46" s="42" customFormat="1" x14ac:dyDescent="0.3">
      <c r="B73" s="236">
        <f t="shared" ref="B73:B78" si="5">N(B72)+1</f>
        <v>3</v>
      </c>
      <c r="H73" s="1902">
        <f t="shared" si="2"/>
        <v>30</v>
      </c>
      <c r="I73" s="1902">
        <f t="shared" si="3"/>
        <v>5</v>
      </c>
      <c r="J73" s="1902">
        <f t="shared" si="4"/>
        <v>0.8</v>
      </c>
      <c r="K73" s="1896">
        <f>MDiplomiraneZS[[#This Row],[кДР]]*N(MDiplomiraneZS[[#This Row],[ДР]])</f>
        <v>0</v>
      </c>
      <c r="L73" s="1897">
        <f>MDiplomiraneZS[[#This Row],[кРецензии]]*N(MDiplomiraneZS[[#This Row],[Рецензии]])</f>
        <v>0</v>
      </c>
      <c r="M73" s="1898">
        <f>MDiplomiraneZS[[#This Row],[кИ/ДИ/З]]*N(MDiplomiraneZS[[#This Row],[И/ДИ/З]])</f>
        <v>0</v>
      </c>
      <c r="N73" s="553"/>
      <c r="O73" s="895"/>
      <c r="P73" s="1679"/>
      <c r="Q73" s="265"/>
      <c r="R73" s="243"/>
      <c r="S73" s="244"/>
      <c r="AC73" s="234"/>
      <c r="AD73" s="234"/>
      <c r="AE73" s="234"/>
      <c r="AF73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3" s="1893" t="str">
        <f>IFERROR(VLOOKUP(MDiplomiraneZS1[[#This Row],[СпециалностМП]],EducPlans_кодНАЦИД_Спец[[кодСпецДР]:[кодНАЦИД]],3,0),"")</f>
        <v/>
      </c>
      <c r="AH73" s="1690">
        <f ca="1">N(OFFSET(MDiplomiraneZS1[[#This Row],[|]],-1,0))+1</f>
        <v>3</v>
      </c>
      <c r="AI73" s="1691" t="str">
        <f>IF(MDiplomiraneZS1[[#This Row],[уЧасове]],MDiplomiraneZS1[[#This Row],[нацид|монСпециалностМП]],"")</f>
        <v/>
      </c>
      <c r="AJ73" s="1692">
        <f>SUM(MDiplomiraneZS[[#This Row],[чДР]:[чИ/ДИ/З]])</f>
        <v>0</v>
      </c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</row>
    <row r="74" spans="2:46" s="42" customFormat="1" x14ac:dyDescent="0.3">
      <c r="B74" s="236">
        <f t="shared" si="5"/>
        <v>4</v>
      </c>
      <c r="H74" s="1902">
        <f t="shared" si="2"/>
        <v>30</v>
      </c>
      <c r="I74" s="1902">
        <f t="shared" si="3"/>
        <v>5</v>
      </c>
      <c r="J74" s="1902">
        <f t="shared" si="4"/>
        <v>0.8</v>
      </c>
      <c r="K74" s="1896">
        <f>MDiplomiraneZS[[#This Row],[кДР]]*N(MDiplomiraneZS[[#This Row],[ДР]])</f>
        <v>0</v>
      </c>
      <c r="L74" s="1897">
        <f>MDiplomiraneZS[[#This Row],[кРецензии]]*N(MDiplomiraneZS[[#This Row],[Рецензии]])</f>
        <v>0</v>
      </c>
      <c r="M74" s="1898">
        <f>MDiplomiraneZS[[#This Row],[кИ/ДИ/З]]*N(MDiplomiraneZS[[#This Row],[И/ДИ/З]])</f>
        <v>0</v>
      </c>
      <c r="N74" s="553"/>
      <c r="O74" s="895"/>
      <c r="P74" s="1679"/>
      <c r="Q74" s="265"/>
      <c r="R74" s="243"/>
      <c r="S74" s="244"/>
      <c r="AC74" s="234"/>
      <c r="AD74" s="234"/>
      <c r="AE74" s="234"/>
      <c r="AF74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4" s="1893" t="str">
        <f>IFERROR(VLOOKUP(MDiplomiraneZS1[[#This Row],[СпециалностМП]],EducPlans_кодНАЦИД_Спец[[кодСпецДР]:[кодНАЦИД]],3,0),"")</f>
        <v/>
      </c>
      <c r="AH74" s="1690">
        <f ca="1">N(OFFSET(MDiplomiraneZS1[[#This Row],[|]],-1,0))+1</f>
        <v>4</v>
      </c>
      <c r="AI74" s="1691" t="str">
        <f>IF(MDiplomiraneZS1[[#This Row],[уЧасове]],MDiplomiraneZS1[[#This Row],[нацид|монСпециалностМП]],"")</f>
        <v/>
      </c>
      <c r="AJ74" s="1692">
        <f>SUM(MDiplomiraneZS[[#This Row],[чДР]:[чИ/ДИ/З]])</f>
        <v>0</v>
      </c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</row>
    <row r="75" spans="2:46" s="42" customFormat="1" x14ac:dyDescent="0.3">
      <c r="B75" s="236">
        <f t="shared" si="5"/>
        <v>5</v>
      </c>
      <c r="H75" s="1902">
        <f t="shared" si="2"/>
        <v>30</v>
      </c>
      <c r="I75" s="1902">
        <f t="shared" si="3"/>
        <v>5</v>
      </c>
      <c r="J75" s="1902">
        <f t="shared" si="4"/>
        <v>0.8</v>
      </c>
      <c r="K75" s="1896">
        <f>MDiplomiraneZS[[#This Row],[кДР]]*N(MDiplomiraneZS[[#This Row],[ДР]])</f>
        <v>0</v>
      </c>
      <c r="L75" s="1897">
        <f>MDiplomiraneZS[[#This Row],[кРецензии]]*N(MDiplomiraneZS[[#This Row],[Рецензии]])</f>
        <v>0</v>
      </c>
      <c r="M75" s="1898">
        <f>MDiplomiraneZS[[#This Row],[кИ/ДИ/З]]*N(MDiplomiraneZS[[#This Row],[И/ДИ/З]])</f>
        <v>0</v>
      </c>
      <c r="N75" s="553"/>
      <c r="O75" s="895"/>
      <c r="P75" s="1679"/>
      <c r="Q75" s="265"/>
      <c r="R75" s="243"/>
      <c r="S75" s="244"/>
      <c r="AC75" s="234"/>
      <c r="AD75" s="234"/>
      <c r="AE75" s="234"/>
      <c r="AF75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5" s="1893" t="str">
        <f>IFERROR(VLOOKUP(MDiplomiraneZS1[[#This Row],[СпециалностМП]],EducPlans_кодНАЦИД_Спец[[кодСпецДР]:[кодНАЦИД]],3,0),"")</f>
        <v/>
      </c>
      <c r="AH75" s="1690">
        <f ca="1">N(OFFSET(MDiplomiraneZS1[[#This Row],[|]],-1,0))+1</f>
        <v>5</v>
      </c>
      <c r="AI75" s="1691" t="str">
        <f>IF(MDiplomiraneZS1[[#This Row],[уЧасове]],MDiplomiraneZS1[[#This Row],[нацид|монСпециалностМП]],"")</f>
        <v/>
      </c>
      <c r="AJ75" s="1692">
        <f>SUM(MDiplomiraneZS[[#This Row],[чДР]:[чИ/ДИ/З]])</f>
        <v>0</v>
      </c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</row>
    <row r="76" spans="2:46" s="42" customFormat="1" x14ac:dyDescent="0.3">
      <c r="B76" s="236">
        <f t="shared" si="5"/>
        <v>6</v>
      </c>
      <c r="H76" s="1902">
        <f t="shared" si="2"/>
        <v>30</v>
      </c>
      <c r="I76" s="1902">
        <f t="shared" si="3"/>
        <v>5</v>
      </c>
      <c r="J76" s="1902">
        <f t="shared" si="4"/>
        <v>0.8</v>
      </c>
      <c r="K76" s="1896">
        <f>MDiplomiraneZS[[#This Row],[кДР]]*N(MDiplomiraneZS[[#This Row],[ДР]])</f>
        <v>0</v>
      </c>
      <c r="L76" s="1897">
        <f>MDiplomiraneZS[[#This Row],[кРецензии]]*N(MDiplomiraneZS[[#This Row],[Рецензии]])</f>
        <v>0</v>
      </c>
      <c r="M76" s="1898">
        <f>MDiplomiraneZS[[#This Row],[кИ/ДИ/З]]*N(MDiplomiraneZS[[#This Row],[И/ДИ/З]])</f>
        <v>0</v>
      </c>
      <c r="N76" s="553"/>
      <c r="O76" s="895"/>
      <c r="P76" s="1679"/>
      <c r="Q76" s="265"/>
      <c r="R76" s="243"/>
      <c r="S76" s="244"/>
      <c r="AC76" s="234"/>
      <c r="AD76" s="234"/>
      <c r="AE76" s="234"/>
      <c r="AF76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6" s="1893" t="str">
        <f>IFERROR(VLOOKUP(MDiplomiraneZS1[[#This Row],[СпециалностМП]],EducPlans_кодНАЦИД_Спец[[кодСпецДР]:[кодНАЦИД]],3,0),"")</f>
        <v/>
      </c>
      <c r="AH76" s="1690">
        <f ca="1">N(OFFSET(MDiplomiraneZS1[[#This Row],[|]],-1,0))+1</f>
        <v>6</v>
      </c>
      <c r="AI76" s="1691" t="str">
        <f>IF(MDiplomiraneZS1[[#This Row],[уЧасове]],MDiplomiraneZS1[[#This Row],[нацид|монСпециалностМП]],"")</f>
        <v/>
      </c>
      <c r="AJ76" s="1692">
        <f>SUM(MDiplomiraneZS[[#This Row],[чДР]:[чИ/ДИ/З]])</f>
        <v>0</v>
      </c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</row>
    <row r="77" spans="2:46" s="42" customFormat="1" x14ac:dyDescent="0.3">
      <c r="B77" s="236">
        <f t="shared" si="5"/>
        <v>7</v>
      </c>
      <c r="H77" s="1902">
        <f t="shared" si="2"/>
        <v>30</v>
      </c>
      <c r="I77" s="1902">
        <f t="shared" si="3"/>
        <v>5</v>
      </c>
      <c r="J77" s="1902">
        <f t="shared" si="4"/>
        <v>0.8</v>
      </c>
      <c r="K77" s="1896">
        <f>MDiplomiraneZS[[#This Row],[кДР]]*N(MDiplomiraneZS[[#This Row],[ДР]])</f>
        <v>0</v>
      </c>
      <c r="L77" s="1897">
        <f>MDiplomiraneZS[[#This Row],[кРецензии]]*N(MDiplomiraneZS[[#This Row],[Рецензии]])</f>
        <v>0</v>
      </c>
      <c r="M77" s="1898">
        <f>MDiplomiraneZS[[#This Row],[кИ/ДИ/З]]*N(MDiplomiraneZS[[#This Row],[И/ДИ/З]])</f>
        <v>0</v>
      </c>
      <c r="N77" s="553"/>
      <c r="O77" s="895"/>
      <c r="P77" s="1679"/>
      <c r="Q77" s="265"/>
      <c r="R77" s="243"/>
      <c r="S77" s="244"/>
      <c r="AC77" s="234"/>
      <c r="AD77" s="234"/>
      <c r="AE77" s="234"/>
      <c r="AF77" s="1892" t="str">
        <f>"*"&amp;MDiplomiraneZS[[#This Row],[Магистърска програма]]&amp;"*\"&amp;MDiplomiraneZS[[#This Row],[Факултет]]&amp;"\м"&amp;LEFT(MDiplomiraneZS[[#This Row],[ФормаОб]],1)</f>
        <v>**\\м</v>
      </c>
      <c r="AG77" s="1893" t="str">
        <f>IFERROR(VLOOKUP(MDiplomiraneZS1[[#This Row],[СпециалностМП]],EducPlans_кодНАЦИД_Спец[[кодСпецДР]:[кодНАЦИД]],3,0),"")</f>
        <v/>
      </c>
      <c r="AH77" s="1690">
        <f ca="1">N(OFFSET(MDiplomiraneZS1[[#This Row],[|]],-1,0))+1</f>
        <v>7</v>
      </c>
      <c r="AI77" s="1691" t="str">
        <f>IF(MDiplomiraneZS1[[#This Row],[уЧасове]],MDiplomiraneZS1[[#This Row],[нацид|монСпециалностМП]],"")</f>
        <v/>
      </c>
      <c r="AJ77" s="1692">
        <f>SUM(MDiplomiraneZS[[#This Row],[чДР]:[чИ/ДИ/З]])</f>
        <v>0</v>
      </c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</row>
    <row r="78" spans="2:46" s="42" customFormat="1" ht="17.25" thickBot="1" x14ac:dyDescent="0.35">
      <c r="B78" s="236">
        <f t="shared" si="5"/>
        <v>8</v>
      </c>
      <c r="H78" s="1902">
        <f t="shared" si="2"/>
        <v>30</v>
      </c>
      <c r="I78" s="1902">
        <f t="shared" si="3"/>
        <v>5</v>
      </c>
      <c r="J78" s="1902">
        <f t="shared" si="4"/>
        <v>0.8</v>
      </c>
      <c r="K78" s="1899">
        <f>MDiplomiraneZS[[#This Row],[кДР]]*N(MDiplomiraneZS[[#This Row],[ДР]])</f>
        <v>0</v>
      </c>
      <c r="L78" s="1900">
        <f>MDiplomiraneZS[[#This Row],[кРецензии]]*N(MDiplomiraneZS[[#This Row],[Рецензии]])</f>
        <v>0</v>
      </c>
      <c r="M78" s="1901">
        <f>MDiplomiraneZS[[#This Row],[кИ/ДИ/З]]*N(MDiplomiraneZS[[#This Row],[И/ДИ/З]])</f>
        <v>0</v>
      </c>
      <c r="N78" s="592"/>
      <c r="O78" s="897"/>
      <c r="P78" s="1679"/>
      <c r="Q78" s="1229"/>
      <c r="R78" s="885"/>
      <c r="S78" s="886"/>
      <c r="AC78" s="234"/>
      <c r="AD78" s="234"/>
      <c r="AE78" s="234"/>
      <c r="AF78" s="1894" t="str">
        <f>"*"&amp;MDiplomiraneZS[[#This Row],[Магистърска програма]]&amp;"*\"&amp;MDiplomiraneZS[[#This Row],[Факултет]]&amp;"\м"&amp;LEFT(MDiplomiraneZS[[#This Row],[ФормаОб]],1)</f>
        <v>**\\м</v>
      </c>
      <c r="AG78" s="1893" t="str">
        <f>IFERROR(VLOOKUP(MDiplomiraneZS1[[#This Row],[СпециалностМП]],EducPlans_кодНАЦИД_Спец[[кодСпецДР]:[кодНАЦИД]],3,0),"")</f>
        <v/>
      </c>
      <c r="AH78" s="1690">
        <f ca="1">N(OFFSET(MDiplomiraneZS1[[#This Row],[|]],-1,0))+1</f>
        <v>8</v>
      </c>
      <c r="AI78" s="1691" t="str">
        <f>IF(MDiplomiraneZS1[[#This Row],[уЧасове]],MDiplomiraneZS1[[#This Row],[нацид|монСпециалностМП]],"")</f>
        <v/>
      </c>
      <c r="AJ78" s="1692">
        <f>SUM(MDiplomiraneZS[[#This Row],[чДР]:[чИ/ДИ/З]])</f>
        <v>0</v>
      </c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</row>
    <row r="79" spans="2:46" ht="9.9499999999999993" customHeight="1" x14ac:dyDescent="0.3">
      <c r="B79" s="107" t="s">
        <v>412</v>
      </c>
      <c r="L79" s="36" t="s">
        <v>407</v>
      </c>
      <c r="M79" s="36" t="b">
        <f>ПЕРИОД!D10="Летен"</f>
        <v>0</v>
      </c>
      <c r="N79"/>
      <c r="O79"/>
      <c r="P79"/>
      <c r="Q79"/>
      <c r="R79"/>
    </row>
    <row r="80" spans="2:46" ht="26.25" x14ac:dyDescent="0.3">
      <c r="B80" s="176" t="s">
        <v>415</v>
      </c>
      <c r="M80" s="99" t="str">
        <f>IF($M$79,1,"2.1")</f>
        <v>2.1</v>
      </c>
      <c r="N80" s="2594" t="str">
        <f>M80&amp;". ОКС ""магистър"" след придобита образователно-квалификационна степен на висшето образование – аудиторна заетост и изпитани студенти – ЛЕТЕН семестър"</f>
        <v>2.1. ОКС "магистър" след придобита образователно-квалификационна степен на висшето образование – аудиторна заетост и изпитани студенти – ЛЕТЕН семестър</v>
      </c>
      <c r="O80" s="2595"/>
      <c r="P80" s="2595"/>
      <c r="Q80" s="2595"/>
      <c r="R80" s="2595"/>
      <c r="S80" s="2595"/>
      <c r="T80" s="2595"/>
      <c r="U80" s="2595"/>
      <c r="V80" s="2595"/>
      <c r="W80" s="2595"/>
      <c r="X80" s="2595"/>
      <c r="Y80" s="2595"/>
      <c r="Z80" s="2595"/>
      <c r="AA80" s="2595"/>
      <c r="AB80" s="2596"/>
    </row>
    <row r="81" spans="2:46" ht="21" thickBot="1" x14ac:dyDescent="0.35">
      <c r="B81" s="106" t="s">
        <v>471</v>
      </c>
      <c r="M81" s="181"/>
      <c r="N81" s="2681" t="s">
        <v>472</v>
      </c>
      <c r="O81" s="2682"/>
      <c r="P81" s="2682"/>
      <c r="Q81" s="2682"/>
      <c r="R81" s="2682"/>
      <c r="S81" s="2682"/>
      <c r="T81" s="2682"/>
      <c r="U81" s="2682"/>
      <c r="V81" s="2682"/>
      <c r="W81" s="2682"/>
      <c r="X81" s="2682"/>
      <c r="Y81" s="2682"/>
      <c r="Z81" s="2682"/>
      <c r="AA81" s="2682"/>
      <c r="AB81" s="2683"/>
    </row>
    <row r="82" spans="2:46" ht="21" thickBot="1" x14ac:dyDescent="0.35">
      <c r="B82" s="106" t="s">
        <v>413</v>
      </c>
      <c r="C82" s="99"/>
      <c r="D82" s="99"/>
      <c r="E82" s="99"/>
      <c r="F82" s="99"/>
      <c r="G82" s="99"/>
      <c r="H82" s="99"/>
      <c r="I82" s="99"/>
      <c r="J82" s="99"/>
      <c r="L82" s="99"/>
      <c r="M82" s="99"/>
      <c r="N82" s="2584" t="s">
        <v>16</v>
      </c>
      <c r="O82" s="2687" t="s">
        <v>1131</v>
      </c>
      <c r="P82" s="2592" t="s">
        <v>18</v>
      </c>
      <c r="Q82" s="2584" t="s">
        <v>19</v>
      </c>
      <c r="R82" s="2575" t="s">
        <v>20</v>
      </c>
      <c r="S82" s="2592" t="s">
        <v>562</v>
      </c>
      <c r="T82" s="2587" t="str">
        <f>T53</f>
        <v>Студенти
бр.</v>
      </c>
      <c r="U82" s="2590" t="str">
        <f>IF(ПЕРИОД!D10="План","Възложени часове","Проведени часове")</f>
        <v>Проведени часове</v>
      </c>
      <c r="V82" s="2707"/>
      <c r="W82" s="2589" t="s">
        <v>21</v>
      </c>
      <c r="X82" s="2575" t="s">
        <v>468</v>
      </c>
      <c r="Y82" s="2592" t="s">
        <v>309</v>
      </c>
      <c r="Z82" s="2584" t="s">
        <v>332</v>
      </c>
      <c r="AA82" s="2575"/>
      <c r="AB82" s="2587"/>
    </row>
    <row r="83" spans="2:46" ht="26.25" thickBot="1" x14ac:dyDescent="0.35">
      <c r="B83" s="106" t="s">
        <v>414</v>
      </c>
      <c r="C83" s="2613" t="s">
        <v>313</v>
      </c>
      <c r="D83" s="2614"/>
      <c r="E83" s="2614"/>
      <c r="F83" s="2613" t="s">
        <v>310</v>
      </c>
      <c r="G83" s="2614"/>
      <c r="H83" s="2614"/>
      <c r="I83" s="2615"/>
      <c r="J83" s="2614" t="s">
        <v>336</v>
      </c>
      <c r="K83" s="2614"/>
      <c r="L83" s="2614"/>
      <c r="M83" s="2614"/>
      <c r="N83" s="2585"/>
      <c r="O83" s="2576"/>
      <c r="P83" s="2593"/>
      <c r="Q83" s="2585"/>
      <c r="R83" s="2576"/>
      <c r="S83" s="2593"/>
      <c r="T83" s="2588"/>
      <c r="U83" s="229" t="s">
        <v>326</v>
      </c>
      <c r="V83" s="223" t="s">
        <v>388</v>
      </c>
      <c r="W83" s="2675"/>
      <c r="X83" s="2576"/>
      <c r="Y83" s="2593"/>
      <c r="Z83" s="220" t="s">
        <v>327</v>
      </c>
      <c r="AA83" s="221" t="s">
        <v>328</v>
      </c>
      <c r="AB83" s="222" t="s">
        <v>389</v>
      </c>
      <c r="AC83" s="2564" t="s">
        <v>7821</v>
      </c>
      <c r="AD83" s="2568"/>
      <c r="AE83" s="2568"/>
      <c r="AF83" s="2568"/>
      <c r="AG83" s="2565"/>
      <c r="AH83" s="2564" t="s">
        <v>9528</v>
      </c>
      <c r="AI83" s="2568"/>
      <c r="AJ83" s="2565"/>
    </row>
    <row r="84" spans="2:46" s="45" customFormat="1" ht="21" hidden="1" thickBot="1" x14ac:dyDescent="0.25">
      <c r="B84" s="106" t="s">
        <v>419</v>
      </c>
      <c r="C84" s="135" t="s">
        <v>417</v>
      </c>
      <c r="D84" s="136" t="s">
        <v>315</v>
      </c>
      <c r="E84" s="136" t="s">
        <v>335</v>
      </c>
      <c r="F84" s="135" t="s">
        <v>311</v>
      </c>
      <c r="G84" s="136" t="s">
        <v>418</v>
      </c>
      <c r="H84" s="136" t="s">
        <v>391</v>
      </c>
      <c r="I84" s="669" t="s">
        <v>333</v>
      </c>
      <c r="J84" s="136" t="s">
        <v>338</v>
      </c>
      <c r="K84" s="136" t="s">
        <v>399</v>
      </c>
      <c r="L84" s="136" t="s">
        <v>387</v>
      </c>
      <c r="M84" s="679" t="s">
        <v>334</v>
      </c>
      <c r="N84" s="207" t="s">
        <v>16</v>
      </c>
      <c r="O84" s="173" t="s">
        <v>416</v>
      </c>
      <c r="P84" s="175" t="s">
        <v>18</v>
      </c>
      <c r="Q84" s="174" t="s">
        <v>19</v>
      </c>
      <c r="R84" s="173" t="s">
        <v>20</v>
      </c>
      <c r="S84" s="173" t="s">
        <v>620</v>
      </c>
      <c r="T84" s="1198" t="s">
        <v>618</v>
      </c>
      <c r="U84" s="173" t="s">
        <v>331</v>
      </c>
      <c r="V84" s="175" t="s">
        <v>339</v>
      </c>
      <c r="W84" s="174" t="s">
        <v>21</v>
      </c>
      <c r="X84" s="173" t="s">
        <v>621</v>
      </c>
      <c r="Y84" s="175" t="s">
        <v>330</v>
      </c>
      <c r="Z84" s="1241" t="s">
        <v>327</v>
      </c>
      <c r="AA84" s="1242" t="s">
        <v>86</v>
      </c>
      <c r="AB84" s="1243" t="s">
        <v>329</v>
      </c>
      <c r="AC84" s="1742" t="s">
        <v>1093</v>
      </c>
      <c r="AD84" s="1742" t="s">
        <v>1094</v>
      </c>
      <c r="AE84" s="1742" t="s">
        <v>1095</v>
      </c>
      <c r="AF84" s="1743" t="s">
        <v>1097</v>
      </c>
      <c r="AG84" s="1742" t="s">
        <v>7735</v>
      </c>
      <c r="AH84" s="1744" t="s">
        <v>1092</v>
      </c>
      <c r="AI84" s="1742" t="s">
        <v>7736</v>
      </c>
      <c r="AJ84" s="1742" t="s">
        <v>7828</v>
      </c>
      <c r="AK84" s="1761"/>
      <c r="AL84" s="1761"/>
      <c r="AM84" s="1761"/>
      <c r="AN84" s="1761"/>
      <c r="AO84" s="1761"/>
      <c r="AP84" s="1761"/>
      <c r="AQ84" s="1761"/>
      <c r="AR84" s="1761"/>
      <c r="AS84" s="1761"/>
      <c r="AT84" s="1761"/>
    </row>
    <row r="85" spans="2:46" s="41" customFormat="1" x14ac:dyDescent="0.3">
      <c r="B85" s="236">
        <f t="shared" ref="B85:B103" si="6">N(B84)+1</f>
        <v>1</v>
      </c>
      <c r="C85" s="254">
        <f>IFERROR(AND(LEN(MAZLS[[#This Row],[Дисциплина]]&amp;MAZLS[[#This Row],[Магистърска програма]]&amp;MAZLS[[#This Row],[Факултет]])&gt;0,LEN(MAZLS[[#This Row],[Вид]])=0)*1,0)</f>
        <v>0</v>
      </c>
      <c r="D85" s="254">
        <f>AND(MAZLS[[#This Row],[Дисциплина]]&lt;&gt;0,OR(N(MAZLS[[#This Row],[Лекции]])&lt;&gt;0,N(MAZLS[[#This Row],[Упражнения]])&lt;&gt;0),N(MAZLS[[#This Row],[Студенти]])=0)*1</f>
        <v>0</v>
      </c>
      <c r="E85" s="254">
        <f>AND(N(MAZLS[[#This Row],[Изпитани]])&gt;0,MAZLS[[#This Row],[Изпитващ]]=0)*1</f>
        <v>0</v>
      </c>
      <c r="F85" s="255">
        <f>IFERROR(VLOOKUP(MAZLS[[#This Row],[Език]],ТобЕзик[[обЕзик]:[Коеф.]],2,0),0)</f>
        <v>1</v>
      </c>
      <c r="G85" s="254" cm="1">
        <f t="array" ref="G85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85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85" s="664">
        <f>IFERROR(VLOOKUP(MAZLS[[#This Row],[ФормаОб]],тТО[[обФорма]:[Коеф.]],2,0),0)</f>
        <v>0</v>
      </c>
      <c r="J85" s="254">
        <f>N(MAZLS[[#This Row],[Лекции]])*MAZLS[[#This Row],[кЕзик]]*MAZLS[[#This Row],[кСтуденти]]*кЛекции</f>
        <v>0</v>
      </c>
      <c r="K85" s="254">
        <f>N(MAZLS[[#This Row],[Упражнения]])*MAZLS[[#This Row],[кЕзик]]*MAZLS[[#This Row],[кСтуденти]]*кУпражнение</f>
        <v>0</v>
      </c>
      <c r="L85" s="254">
        <f>N(MAZLS[[#This Row],[Изпитани]])*MAZLS[[#This Row],[кИзпитващ]]</f>
        <v>0</v>
      </c>
      <c r="M85" s="680">
        <f>N(MAZLS[[#This Row],[ТО]])*MAZLS[[#This Row],[кTO]]</f>
        <v>0</v>
      </c>
      <c r="N85" s="1496"/>
      <c r="O85" s="1459"/>
      <c r="P85" s="1497"/>
      <c r="Q85" s="1498"/>
      <c r="R85" s="581"/>
      <c r="S85" s="581"/>
      <c r="T85" s="1499"/>
      <c r="U85" s="1231"/>
      <c r="V85" s="1232"/>
      <c r="W85" s="1500" t="s">
        <v>84</v>
      </c>
      <c r="X85" s="581"/>
      <c r="Y85" s="1497"/>
      <c r="Z85" s="1230"/>
      <c r="AA85" s="1231"/>
      <c r="AB85" s="1232"/>
      <c r="AC85" s="1143"/>
      <c r="AD85" s="1391"/>
      <c r="AE85" s="1391"/>
      <c r="AF85" s="1391"/>
      <c r="AG85" s="1391"/>
      <c r="AH85" s="1144">
        <f ca="1">N(OFFSET(MAZLS[[#This Row],[|]],-1,0))+1</f>
        <v>1</v>
      </c>
      <c r="AI85" s="1670" t="str">
        <f>IF(MAZLS[[#This Row],[уЧасове]],MAZLS[[#This Row],[нацид|монСпециалностМП]],"")</f>
        <v/>
      </c>
      <c r="AJ85" s="1645">
        <f>SUM(MAZLS[[#This Row],[чЛекции]:[чTO]],N(MAZLS[[#This Row],[КР]])*кКурсова_работа)</f>
        <v>0</v>
      </c>
      <c r="AK85" s="1746"/>
      <c r="AL85" s="270"/>
      <c r="AM85" s="1746"/>
      <c r="AN85" s="1746"/>
      <c r="AO85" s="1746"/>
      <c r="AP85" s="1746"/>
      <c r="AQ85" s="1746"/>
      <c r="AR85" s="1746"/>
      <c r="AS85" s="1746"/>
      <c r="AT85" s="1746"/>
    </row>
    <row r="86" spans="2:46" s="41" customFormat="1" x14ac:dyDescent="0.3">
      <c r="B86" s="236">
        <f t="shared" si="6"/>
        <v>2</v>
      </c>
      <c r="C86" s="254">
        <f>IFERROR(AND(LEN(MAZLS[[#This Row],[Дисциплина]]&amp;MAZLS[[#This Row],[Магистърска програма]]&amp;MAZLS[[#This Row],[Факултет]])&gt;0,LEN(MAZLS[[#This Row],[Вид]])=0)*1,0)</f>
        <v>0</v>
      </c>
      <c r="D86" s="254">
        <f>AND(MAZLS[[#This Row],[Дисциплина]]&lt;&gt;0,OR(N(MAZLS[[#This Row],[Лекции]])&lt;&gt;0,N(MAZLS[[#This Row],[Упражнения]])&lt;&gt;0),N(MAZLS[[#This Row],[Студенти]])=0)*1</f>
        <v>0</v>
      </c>
      <c r="E86" s="254">
        <f>AND(N(MAZLS[[#This Row],[Изпитани]])&gt;0,MAZLS[[#This Row],[Изпитващ]]=0)*1</f>
        <v>0</v>
      </c>
      <c r="F86" s="255">
        <f>IFERROR(VLOOKUP(MAZLS[[#This Row],[Език]],ТобЕзик[[обЕзик]:[Коеф.]],2,0),0)</f>
        <v>1</v>
      </c>
      <c r="G86" s="254" cm="1">
        <f t="array" ref="G86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86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86" s="664">
        <f>IFERROR(VLOOKUP(MAZLS[[#This Row],[ФормаОб]],тТО[[обФорма]:[Коеф.]],2,0),0)</f>
        <v>0</v>
      </c>
      <c r="J86" s="254">
        <f>N(MAZLS[[#This Row],[Лекции]])*MAZLS[[#This Row],[кЕзик]]*MAZLS[[#This Row],[кСтуденти]]*кЛекции</f>
        <v>0</v>
      </c>
      <c r="K86" s="254">
        <f>N(MAZLS[[#This Row],[Упражнения]])*MAZLS[[#This Row],[кЕзик]]*MAZLS[[#This Row],[кСтуденти]]*кУпражнение</f>
        <v>0</v>
      </c>
      <c r="L86" s="254">
        <f>N(MAZLS[[#This Row],[Изпитани]])*MAZLS[[#This Row],[кИзпитващ]]</f>
        <v>0</v>
      </c>
      <c r="M86" s="680">
        <f>N(MAZLS[[#This Row],[ТО]])*MAZLS[[#This Row],[кTO]]</f>
        <v>0</v>
      </c>
      <c r="N86" s="554"/>
      <c r="O86" s="555"/>
      <c r="P86" s="557"/>
      <c r="Q86" s="576"/>
      <c r="R86" s="558"/>
      <c r="S86" s="558"/>
      <c r="T86" s="1199"/>
      <c r="U86" s="241"/>
      <c r="V86" s="242"/>
      <c r="W86" s="608" t="s">
        <v>84</v>
      </c>
      <c r="X86" s="558"/>
      <c r="Y86" s="557"/>
      <c r="Z86" s="247"/>
      <c r="AA86" s="241"/>
      <c r="AB86" s="242"/>
      <c r="AC86" s="1143"/>
      <c r="AD86" s="1391"/>
      <c r="AE86" s="1391"/>
      <c r="AF86" s="1391"/>
      <c r="AG86" s="1391"/>
      <c r="AH86" s="1144">
        <f ca="1">N(OFFSET(MAZLS[[#This Row],[|]],-1,0))+1</f>
        <v>2</v>
      </c>
      <c r="AI86" s="1670" t="str">
        <f>IF(MAZLS[[#This Row],[уЧасове]],MAZLS[[#This Row],[нацид|монСпециалностМП]],"")</f>
        <v/>
      </c>
      <c r="AJ86" s="1645">
        <f>SUM(MAZLS[[#This Row],[чЛекции]:[чTO]],N(MAZLS[[#This Row],[КР]])*кКурсова_работа)</f>
        <v>0</v>
      </c>
      <c r="AK86" s="1746"/>
      <c r="AL86" s="270"/>
      <c r="AM86" s="1746"/>
      <c r="AN86" s="1746"/>
      <c r="AO86" s="1746"/>
      <c r="AP86" s="1746"/>
      <c r="AQ86" s="1746"/>
      <c r="AR86" s="1746"/>
      <c r="AS86" s="1746"/>
      <c r="AT86" s="1746"/>
    </row>
    <row r="87" spans="2:46" s="41" customFormat="1" x14ac:dyDescent="0.3">
      <c r="B87" s="236">
        <f t="shared" si="6"/>
        <v>3</v>
      </c>
      <c r="C87" s="254">
        <f>IFERROR(AND(LEN(MAZLS[[#This Row],[Дисциплина]]&amp;MAZLS[[#This Row],[Магистърска програма]]&amp;MAZLS[[#This Row],[Факултет]])&gt;0,LEN(MAZLS[[#This Row],[Вид]])=0)*1,0)</f>
        <v>0</v>
      </c>
      <c r="D87" s="254">
        <f>AND(MAZLS[[#This Row],[Дисциплина]]&lt;&gt;0,OR(N(MAZLS[[#This Row],[Лекции]])&lt;&gt;0,N(MAZLS[[#This Row],[Упражнения]])&lt;&gt;0),N(MAZLS[[#This Row],[Студенти]])=0)*1</f>
        <v>0</v>
      </c>
      <c r="E87" s="254">
        <f>AND(N(MAZLS[[#This Row],[Изпитани]])&gt;0,MAZLS[[#This Row],[Изпитващ]]=0)*1</f>
        <v>0</v>
      </c>
      <c r="F87" s="255">
        <f>IFERROR(VLOOKUP(MAZLS[[#This Row],[Език]],ТобЕзик[[обЕзик]:[Коеф.]],2,0),0)</f>
        <v>1</v>
      </c>
      <c r="G87" s="254" cm="1">
        <f t="array" ref="G87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87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87" s="664">
        <f>IFERROR(VLOOKUP(MAZLS[[#This Row],[ФормаОб]],тТО[[обФорма]:[Коеф.]],2,0),0)</f>
        <v>0</v>
      </c>
      <c r="J87" s="254">
        <f>N(MAZLS[[#This Row],[Лекции]])*MAZLS[[#This Row],[кЕзик]]*MAZLS[[#This Row],[кСтуденти]]*кЛекции</f>
        <v>0</v>
      </c>
      <c r="K87" s="254">
        <f>N(MAZLS[[#This Row],[Упражнения]])*MAZLS[[#This Row],[кЕзик]]*MAZLS[[#This Row],[кСтуденти]]*кУпражнение</f>
        <v>0</v>
      </c>
      <c r="L87" s="254">
        <f>N(MAZLS[[#This Row],[Изпитани]])*MAZLS[[#This Row],[кИзпитващ]]</f>
        <v>0</v>
      </c>
      <c r="M87" s="680">
        <f>N(MAZLS[[#This Row],[ТО]])*MAZLS[[#This Row],[кTO]]</f>
        <v>0</v>
      </c>
      <c r="N87" s="554"/>
      <c r="O87" s="555"/>
      <c r="P87" s="557"/>
      <c r="Q87" s="576"/>
      <c r="R87" s="558"/>
      <c r="S87" s="558"/>
      <c r="T87" s="1199"/>
      <c r="U87" s="241"/>
      <c r="V87" s="242"/>
      <c r="W87" s="608" t="s">
        <v>84</v>
      </c>
      <c r="X87" s="558"/>
      <c r="Y87" s="557"/>
      <c r="Z87" s="247"/>
      <c r="AA87" s="241"/>
      <c r="AB87" s="242"/>
      <c r="AC87" s="1143"/>
      <c r="AD87" s="1391"/>
      <c r="AE87" s="1391"/>
      <c r="AF87" s="1391"/>
      <c r="AG87" s="1391"/>
      <c r="AH87" s="1144">
        <f ca="1">N(OFFSET(MAZLS[[#This Row],[|]],-1,0))+1</f>
        <v>3</v>
      </c>
      <c r="AI87" s="1670" t="str">
        <f>IF(MAZLS[[#This Row],[уЧасове]],MAZLS[[#This Row],[нацид|монСпециалностМП]],"")</f>
        <v/>
      </c>
      <c r="AJ87" s="1645">
        <f>SUM(MAZLS[[#This Row],[чЛекции]:[чTO]],N(MAZLS[[#This Row],[КР]])*кКурсова_работа)</f>
        <v>0</v>
      </c>
      <c r="AK87" s="1746"/>
      <c r="AL87" s="270"/>
      <c r="AM87" s="1746"/>
      <c r="AN87" s="1746"/>
      <c r="AO87" s="1746"/>
      <c r="AP87" s="1746"/>
      <c r="AQ87" s="1746"/>
      <c r="AR87" s="1746"/>
      <c r="AS87" s="1746"/>
      <c r="AT87" s="1746"/>
    </row>
    <row r="88" spans="2:46" s="41" customFormat="1" x14ac:dyDescent="0.3">
      <c r="B88" s="236">
        <f t="shared" si="6"/>
        <v>4</v>
      </c>
      <c r="C88" s="254">
        <f>IFERROR(AND(LEN(MAZLS[[#This Row],[Дисциплина]]&amp;MAZLS[[#This Row],[Магистърска програма]]&amp;MAZLS[[#This Row],[Факултет]])&gt;0,LEN(MAZLS[[#This Row],[Вид]])=0)*1,0)</f>
        <v>0</v>
      </c>
      <c r="D88" s="254">
        <f>AND(MAZLS[[#This Row],[Дисциплина]]&lt;&gt;0,OR(N(MAZLS[[#This Row],[Лекции]])&lt;&gt;0,N(MAZLS[[#This Row],[Упражнения]])&lt;&gt;0),N(MAZLS[[#This Row],[Студенти]])=0)*1</f>
        <v>0</v>
      </c>
      <c r="E88" s="254">
        <f>AND(N(MAZLS[[#This Row],[Изпитани]])&gt;0,MAZLS[[#This Row],[Изпитващ]]=0)*1</f>
        <v>0</v>
      </c>
      <c r="F88" s="255">
        <f>IFERROR(VLOOKUP(MAZLS[[#This Row],[Език]],ТобЕзик[[обЕзик]:[Коеф.]],2,0),0)</f>
        <v>1</v>
      </c>
      <c r="G88" s="254" cm="1">
        <f t="array" ref="G88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88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88" s="664">
        <f>IFERROR(VLOOKUP(MAZLS[[#This Row],[ФормаОб]],тТО[[обФорма]:[Коеф.]],2,0),0)</f>
        <v>0</v>
      </c>
      <c r="J88" s="254">
        <f>N(MAZLS[[#This Row],[Лекции]])*MAZLS[[#This Row],[кЕзик]]*MAZLS[[#This Row],[кСтуденти]]*кЛекции</f>
        <v>0</v>
      </c>
      <c r="K88" s="254">
        <f>N(MAZLS[[#This Row],[Упражнения]])*MAZLS[[#This Row],[кЕзик]]*MAZLS[[#This Row],[кСтуденти]]*кУпражнение</f>
        <v>0</v>
      </c>
      <c r="L88" s="254">
        <f>N(MAZLS[[#This Row],[Изпитани]])*MAZLS[[#This Row],[кИзпитващ]]</f>
        <v>0</v>
      </c>
      <c r="M88" s="680">
        <f>N(MAZLS[[#This Row],[ТО]])*MAZLS[[#This Row],[кTO]]</f>
        <v>0</v>
      </c>
      <c r="N88" s="554"/>
      <c r="O88" s="555"/>
      <c r="P88" s="557"/>
      <c r="Q88" s="576"/>
      <c r="R88" s="558"/>
      <c r="S88" s="558"/>
      <c r="T88" s="1199"/>
      <c r="U88" s="241"/>
      <c r="V88" s="242"/>
      <c r="W88" s="608" t="s">
        <v>84</v>
      </c>
      <c r="X88" s="558"/>
      <c r="Y88" s="557"/>
      <c r="Z88" s="247"/>
      <c r="AA88" s="241"/>
      <c r="AB88" s="242"/>
      <c r="AC88" s="1143"/>
      <c r="AD88" s="1391"/>
      <c r="AE88" s="1391"/>
      <c r="AF88" s="1391"/>
      <c r="AG88" s="1391"/>
      <c r="AH88" s="1144">
        <f ca="1">N(OFFSET(MAZLS[[#This Row],[|]],-1,0))+1</f>
        <v>4</v>
      </c>
      <c r="AI88" s="1670" t="str">
        <f>IF(MAZLS[[#This Row],[уЧасове]],MAZLS[[#This Row],[нацид|монСпециалностМП]],"")</f>
        <v/>
      </c>
      <c r="AJ88" s="1645">
        <f>SUM(MAZLS[[#This Row],[чЛекции]:[чTO]],N(MAZLS[[#This Row],[КР]])*кКурсова_работа)</f>
        <v>0</v>
      </c>
      <c r="AK88" s="1746"/>
      <c r="AL88" s="270"/>
      <c r="AM88" s="1746"/>
      <c r="AN88" s="1746"/>
      <c r="AO88" s="1746"/>
      <c r="AP88" s="1746"/>
      <c r="AQ88" s="1746"/>
      <c r="AR88" s="1746"/>
      <c r="AS88" s="1746"/>
      <c r="AT88" s="1746"/>
    </row>
    <row r="89" spans="2:46" s="41" customFormat="1" x14ac:dyDescent="0.3">
      <c r="B89" s="236">
        <f t="shared" si="6"/>
        <v>5</v>
      </c>
      <c r="C89" s="254">
        <f>IFERROR(AND(LEN(MAZLS[[#This Row],[Дисциплина]]&amp;MAZLS[[#This Row],[Магистърска програма]]&amp;MAZLS[[#This Row],[Факултет]])&gt;0,LEN(MAZLS[[#This Row],[Вид]])=0)*1,0)</f>
        <v>0</v>
      </c>
      <c r="D89" s="254">
        <f>AND(MAZLS[[#This Row],[Дисциплина]]&lt;&gt;0,OR(N(MAZLS[[#This Row],[Лекции]])&lt;&gt;0,N(MAZLS[[#This Row],[Упражнения]])&lt;&gt;0),N(MAZLS[[#This Row],[Студенти]])=0)*1</f>
        <v>0</v>
      </c>
      <c r="E89" s="254">
        <f>AND(N(MAZLS[[#This Row],[Изпитани]])&gt;0,MAZLS[[#This Row],[Изпитващ]]=0)*1</f>
        <v>0</v>
      </c>
      <c r="F89" s="255">
        <f>IFERROR(VLOOKUP(MAZLS[[#This Row],[Език]],ТобЕзик[[обЕзик]:[Коеф.]],2,0),0)</f>
        <v>1</v>
      </c>
      <c r="G89" s="254" cm="1">
        <f t="array" ref="G89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89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89" s="664">
        <f>IFERROR(VLOOKUP(MAZLS[[#This Row],[ФормаОб]],тТО[[обФорма]:[Коеф.]],2,0),0)</f>
        <v>0</v>
      </c>
      <c r="J89" s="254">
        <f>N(MAZLS[[#This Row],[Лекции]])*MAZLS[[#This Row],[кЕзик]]*MAZLS[[#This Row],[кСтуденти]]*кЛекции</f>
        <v>0</v>
      </c>
      <c r="K89" s="254">
        <f>N(MAZLS[[#This Row],[Упражнения]])*MAZLS[[#This Row],[кЕзик]]*MAZLS[[#This Row],[кСтуденти]]*кУпражнение</f>
        <v>0</v>
      </c>
      <c r="L89" s="254">
        <f>N(MAZLS[[#This Row],[Изпитани]])*MAZLS[[#This Row],[кИзпитващ]]</f>
        <v>0</v>
      </c>
      <c r="M89" s="680">
        <f>N(MAZLS[[#This Row],[ТО]])*MAZLS[[#This Row],[кTO]]</f>
        <v>0</v>
      </c>
      <c r="N89" s="554"/>
      <c r="O89" s="555"/>
      <c r="P89" s="557"/>
      <c r="Q89" s="576"/>
      <c r="R89" s="558"/>
      <c r="S89" s="558"/>
      <c r="T89" s="1199"/>
      <c r="U89" s="241"/>
      <c r="V89" s="242"/>
      <c r="W89" s="608" t="s">
        <v>84</v>
      </c>
      <c r="X89" s="558"/>
      <c r="Y89" s="557"/>
      <c r="Z89" s="247"/>
      <c r="AA89" s="241"/>
      <c r="AB89" s="242"/>
      <c r="AC89" s="1143"/>
      <c r="AD89" s="1391"/>
      <c r="AE89" s="1391"/>
      <c r="AF89" s="1391"/>
      <c r="AG89" s="1391"/>
      <c r="AH89" s="1144">
        <f ca="1">N(OFFSET(MAZLS[[#This Row],[|]],-1,0))+1</f>
        <v>5</v>
      </c>
      <c r="AI89" s="1670" t="str">
        <f>IF(MAZLS[[#This Row],[уЧасове]],MAZLS[[#This Row],[нацид|монСпециалностМП]],"")</f>
        <v/>
      </c>
      <c r="AJ89" s="1645">
        <f>SUM(MAZLS[[#This Row],[чЛекции]:[чTO]],N(MAZLS[[#This Row],[КР]])*кКурсова_работа)</f>
        <v>0</v>
      </c>
      <c r="AK89" s="1746"/>
      <c r="AL89" s="270"/>
      <c r="AM89" s="1746"/>
      <c r="AN89" s="1746"/>
      <c r="AO89" s="1746"/>
      <c r="AP89" s="1746"/>
      <c r="AQ89" s="1746"/>
      <c r="AR89" s="1746"/>
      <c r="AS89" s="1746"/>
      <c r="AT89" s="1746"/>
    </row>
    <row r="90" spans="2:46" s="41" customFormat="1" x14ac:dyDescent="0.3">
      <c r="B90" s="236">
        <f t="shared" si="6"/>
        <v>6</v>
      </c>
      <c r="C90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0" s="254">
        <f>AND(MAZLS[[#This Row],[Дисциплина]]&lt;&gt;0,OR(N(MAZLS[[#This Row],[Лекции]])&lt;&gt;0,N(MAZLS[[#This Row],[Упражнения]])&lt;&gt;0),N(MAZLS[[#This Row],[Студенти]])=0)*1</f>
        <v>0</v>
      </c>
      <c r="E90" s="254">
        <f>AND(N(MAZLS[[#This Row],[Изпитани]])&gt;0,MAZLS[[#This Row],[Изпитващ]]=0)*1</f>
        <v>0</v>
      </c>
      <c r="F90" s="255">
        <f>IFERROR(VLOOKUP(MAZLS[[#This Row],[Език]],ТобЕзик[[обЕзик]:[Коеф.]],2,0),0)</f>
        <v>1</v>
      </c>
      <c r="G90" s="254" cm="1">
        <f t="array" ref="G90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0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0" s="664">
        <f>IFERROR(VLOOKUP(MAZLS[[#This Row],[ФормаОб]],тТО[[обФорма]:[Коеф.]],2,0),0)</f>
        <v>0</v>
      </c>
      <c r="J90" s="254">
        <f>N(MAZLS[[#This Row],[Лекции]])*MAZLS[[#This Row],[кЕзик]]*MAZLS[[#This Row],[кСтуденти]]*кЛекции</f>
        <v>0</v>
      </c>
      <c r="K90" s="254">
        <f>N(MAZLS[[#This Row],[Упражнения]])*MAZLS[[#This Row],[кЕзик]]*MAZLS[[#This Row],[кСтуденти]]*кУпражнение</f>
        <v>0</v>
      </c>
      <c r="L90" s="254">
        <f>N(MAZLS[[#This Row],[Изпитани]])*MAZLS[[#This Row],[кИзпитващ]]</f>
        <v>0</v>
      </c>
      <c r="M90" s="680">
        <f>N(MAZLS[[#This Row],[ТО]])*MAZLS[[#This Row],[кTO]]</f>
        <v>0</v>
      </c>
      <c r="N90" s="554"/>
      <c r="O90" s="555"/>
      <c r="P90" s="557"/>
      <c r="Q90" s="576"/>
      <c r="R90" s="558"/>
      <c r="S90" s="558"/>
      <c r="T90" s="1199"/>
      <c r="U90" s="241"/>
      <c r="V90" s="242"/>
      <c r="W90" s="608" t="s">
        <v>84</v>
      </c>
      <c r="X90" s="558"/>
      <c r="Y90" s="557"/>
      <c r="Z90" s="247"/>
      <c r="AA90" s="241"/>
      <c r="AB90" s="242"/>
      <c r="AC90" s="1143"/>
      <c r="AD90" s="1391"/>
      <c r="AE90" s="1391"/>
      <c r="AF90" s="1391"/>
      <c r="AG90" s="1391"/>
      <c r="AH90" s="1144">
        <f ca="1">N(OFFSET(MAZLS[[#This Row],[|]],-1,0))+1</f>
        <v>6</v>
      </c>
      <c r="AI90" s="1670" t="str">
        <f>IF(MAZLS[[#This Row],[уЧасове]],MAZLS[[#This Row],[нацид|монСпециалностМП]],"")</f>
        <v/>
      </c>
      <c r="AJ90" s="1645">
        <f>SUM(MAZLS[[#This Row],[чЛекции]:[чTO]],N(MAZLS[[#This Row],[КР]])*кКурсова_работа)</f>
        <v>0</v>
      </c>
      <c r="AK90" s="1746"/>
      <c r="AL90" s="270"/>
      <c r="AM90" s="1746"/>
      <c r="AN90" s="1746"/>
      <c r="AO90" s="1746"/>
      <c r="AP90" s="1746"/>
      <c r="AQ90" s="1746"/>
      <c r="AR90" s="1746"/>
      <c r="AS90" s="1746"/>
      <c r="AT90" s="1746"/>
    </row>
    <row r="91" spans="2:46" s="41" customFormat="1" x14ac:dyDescent="0.3">
      <c r="B91" s="236">
        <f t="shared" si="6"/>
        <v>7</v>
      </c>
      <c r="C91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1" s="254">
        <f>AND(MAZLS[[#This Row],[Дисциплина]]&lt;&gt;0,OR(N(MAZLS[[#This Row],[Лекции]])&lt;&gt;0,N(MAZLS[[#This Row],[Упражнения]])&lt;&gt;0),N(MAZLS[[#This Row],[Студенти]])=0)*1</f>
        <v>0</v>
      </c>
      <c r="E91" s="254">
        <f>AND(N(MAZLS[[#This Row],[Изпитани]])&gt;0,MAZLS[[#This Row],[Изпитващ]]=0)*1</f>
        <v>0</v>
      </c>
      <c r="F91" s="255">
        <f>IFERROR(VLOOKUP(MAZLS[[#This Row],[Език]],ТобЕзик[[обЕзик]:[Коеф.]],2,0),0)</f>
        <v>1</v>
      </c>
      <c r="G91" s="254" cm="1">
        <f t="array" ref="G91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1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1" s="664">
        <f>IFERROR(VLOOKUP(MAZLS[[#This Row],[ФормаОб]],тТО[[обФорма]:[Коеф.]],2,0),0)</f>
        <v>0</v>
      </c>
      <c r="J91" s="254">
        <f>N(MAZLS[[#This Row],[Лекции]])*MAZLS[[#This Row],[кЕзик]]*MAZLS[[#This Row],[кСтуденти]]*кЛекции</f>
        <v>0</v>
      </c>
      <c r="K91" s="254">
        <f>N(MAZLS[[#This Row],[Упражнения]])*MAZLS[[#This Row],[кЕзик]]*MAZLS[[#This Row],[кСтуденти]]*кУпражнение</f>
        <v>0</v>
      </c>
      <c r="L91" s="254">
        <f>N(MAZLS[[#This Row],[Изпитани]])*MAZLS[[#This Row],[кИзпитващ]]</f>
        <v>0</v>
      </c>
      <c r="M91" s="680">
        <f>N(MAZLS[[#This Row],[ТО]])*MAZLS[[#This Row],[кTO]]</f>
        <v>0</v>
      </c>
      <c r="N91" s="554"/>
      <c r="O91" s="555"/>
      <c r="P91" s="557"/>
      <c r="Q91" s="576"/>
      <c r="R91" s="558"/>
      <c r="S91" s="558"/>
      <c r="T91" s="1199"/>
      <c r="U91" s="241"/>
      <c r="V91" s="242"/>
      <c r="W91" s="608" t="s">
        <v>84</v>
      </c>
      <c r="X91" s="558"/>
      <c r="Y91" s="557"/>
      <c r="Z91" s="247"/>
      <c r="AA91" s="241"/>
      <c r="AB91" s="242"/>
      <c r="AC91" s="1143"/>
      <c r="AD91" s="1391"/>
      <c r="AE91" s="1391"/>
      <c r="AF91" s="1391"/>
      <c r="AG91" s="1391"/>
      <c r="AH91" s="1144">
        <f ca="1">N(OFFSET(MAZLS[[#This Row],[|]],-1,0))+1</f>
        <v>7</v>
      </c>
      <c r="AI91" s="1670" t="str">
        <f>IF(MAZLS[[#This Row],[уЧасове]],MAZLS[[#This Row],[нацид|монСпециалностМП]],"")</f>
        <v/>
      </c>
      <c r="AJ91" s="1645">
        <f>SUM(MAZLS[[#This Row],[чЛекции]:[чTO]],N(MAZLS[[#This Row],[КР]])*кКурсова_работа)</f>
        <v>0</v>
      </c>
      <c r="AK91" s="1746"/>
      <c r="AL91" s="270"/>
      <c r="AM91" s="1746"/>
      <c r="AN91" s="1746"/>
      <c r="AO91" s="1746"/>
      <c r="AP91" s="1746"/>
      <c r="AQ91" s="1746"/>
      <c r="AR91" s="1746"/>
      <c r="AS91" s="1746"/>
      <c r="AT91" s="1746"/>
    </row>
    <row r="92" spans="2:46" s="41" customFormat="1" x14ac:dyDescent="0.3">
      <c r="B92" s="236">
        <f t="shared" si="6"/>
        <v>8</v>
      </c>
      <c r="C92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2" s="254">
        <f>AND(MAZLS[[#This Row],[Дисциплина]]&lt;&gt;0,OR(N(MAZLS[[#This Row],[Лекции]])&lt;&gt;0,N(MAZLS[[#This Row],[Упражнения]])&lt;&gt;0),N(MAZLS[[#This Row],[Студенти]])=0)*1</f>
        <v>0</v>
      </c>
      <c r="E92" s="254">
        <f>AND(N(MAZLS[[#This Row],[Изпитани]])&gt;0,MAZLS[[#This Row],[Изпитващ]]=0)*1</f>
        <v>0</v>
      </c>
      <c r="F92" s="255">
        <f>IFERROR(VLOOKUP(MAZLS[[#This Row],[Език]],ТобЕзик[[обЕзик]:[Коеф.]],2,0),0)</f>
        <v>1</v>
      </c>
      <c r="G92" s="254" cm="1">
        <f t="array" ref="G92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2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2" s="664">
        <f>IFERROR(VLOOKUP(MAZLS[[#This Row],[ФормаОб]],тТО[[обФорма]:[Коеф.]],2,0),0)</f>
        <v>0</v>
      </c>
      <c r="J92" s="254">
        <f>N(MAZLS[[#This Row],[Лекции]])*MAZLS[[#This Row],[кЕзик]]*MAZLS[[#This Row],[кСтуденти]]*кЛекции</f>
        <v>0</v>
      </c>
      <c r="K92" s="254">
        <f>N(MAZLS[[#This Row],[Упражнения]])*MAZLS[[#This Row],[кЕзик]]*MAZLS[[#This Row],[кСтуденти]]*кУпражнение</f>
        <v>0</v>
      </c>
      <c r="L92" s="254">
        <f>N(MAZLS[[#This Row],[Изпитани]])*MAZLS[[#This Row],[кИзпитващ]]</f>
        <v>0</v>
      </c>
      <c r="M92" s="680">
        <f>N(MAZLS[[#This Row],[ТО]])*MAZLS[[#This Row],[кTO]]</f>
        <v>0</v>
      </c>
      <c r="N92" s="554"/>
      <c r="O92" s="555"/>
      <c r="P92" s="557"/>
      <c r="Q92" s="576"/>
      <c r="R92" s="558"/>
      <c r="S92" s="558"/>
      <c r="T92" s="1199"/>
      <c r="U92" s="241"/>
      <c r="V92" s="242"/>
      <c r="W92" s="608" t="s">
        <v>84</v>
      </c>
      <c r="X92" s="558"/>
      <c r="Y92" s="557"/>
      <c r="Z92" s="247"/>
      <c r="AA92" s="241"/>
      <c r="AB92" s="242"/>
      <c r="AC92" s="1143"/>
      <c r="AD92" s="1391"/>
      <c r="AE92" s="1391"/>
      <c r="AF92" s="1391"/>
      <c r="AG92" s="1391"/>
      <c r="AH92" s="1144">
        <f ca="1">N(OFFSET(MAZLS[[#This Row],[|]],-1,0))+1</f>
        <v>8</v>
      </c>
      <c r="AI92" s="1670" t="str">
        <f>IF(MAZLS[[#This Row],[уЧасове]],MAZLS[[#This Row],[нацид|монСпециалностМП]],"")</f>
        <v/>
      </c>
      <c r="AJ92" s="1645">
        <f>SUM(MAZLS[[#This Row],[чЛекции]:[чTO]],N(MAZLS[[#This Row],[КР]])*кКурсова_работа)</f>
        <v>0</v>
      </c>
      <c r="AK92" s="1746"/>
      <c r="AL92" s="1746"/>
      <c r="AM92" s="1746"/>
      <c r="AN92" s="1746"/>
      <c r="AO92" s="1746"/>
      <c r="AP92" s="1746"/>
      <c r="AQ92" s="1746"/>
      <c r="AR92" s="1746"/>
      <c r="AS92" s="1746"/>
      <c r="AT92" s="1746"/>
    </row>
    <row r="93" spans="2:46" s="41" customFormat="1" x14ac:dyDescent="0.3">
      <c r="B93" s="236">
        <f t="shared" si="6"/>
        <v>9</v>
      </c>
      <c r="C93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3" s="254">
        <f>AND(MAZLS[[#This Row],[Дисциплина]]&lt;&gt;0,OR(N(MAZLS[[#This Row],[Лекции]])&lt;&gt;0,N(MAZLS[[#This Row],[Упражнения]])&lt;&gt;0),N(MAZLS[[#This Row],[Студенти]])=0)*1</f>
        <v>0</v>
      </c>
      <c r="E93" s="254">
        <f>AND(N(MAZLS[[#This Row],[Изпитани]])&gt;0,MAZLS[[#This Row],[Изпитващ]]=0)*1</f>
        <v>0</v>
      </c>
      <c r="F93" s="255">
        <f>IFERROR(VLOOKUP(MAZLS[[#This Row],[Език]],ТобЕзик[[обЕзик]:[Коеф.]],2,0),0)</f>
        <v>1</v>
      </c>
      <c r="G93" s="254" cm="1">
        <f t="array" ref="G93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3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3" s="664">
        <f>IFERROR(VLOOKUP(MAZLS[[#This Row],[ФормаОб]],тТО[[обФорма]:[Коеф.]],2,0),0)</f>
        <v>0</v>
      </c>
      <c r="J93" s="254">
        <f>N(MAZLS[[#This Row],[Лекции]])*MAZLS[[#This Row],[кЕзик]]*MAZLS[[#This Row],[кСтуденти]]*кЛекции</f>
        <v>0</v>
      </c>
      <c r="K93" s="254">
        <f>N(MAZLS[[#This Row],[Упражнения]])*MAZLS[[#This Row],[кЕзик]]*MAZLS[[#This Row],[кСтуденти]]*кУпражнение</f>
        <v>0</v>
      </c>
      <c r="L93" s="254">
        <f>N(MAZLS[[#This Row],[Изпитани]])*MAZLS[[#This Row],[кИзпитващ]]</f>
        <v>0</v>
      </c>
      <c r="M93" s="680">
        <f>N(MAZLS[[#This Row],[ТО]])*MAZLS[[#This Row],[кTO]]</f>
        <v>0</v>
      </c>
      <c r="N93" s="554"/>
      <c r="O93" s="555"/>
      <c r="P93" s="557"/>
      <c r="Q93" s="576"/>
      <c r="R93" s="558"/>
      <c r="S93" s="558"/>
      <c r="T93" s="1199"/>
      <c r="U93" s="241"/>
      <c r="V93" s="242"/>
      <c r="W93" s="608" t="s">
        <v>84</v>
      </c>
      <c r="X93" s="558"/>
      <c r="Y93" s="557"/>
      <c r="Z93" s="247"/>
      <c r="AA93" s="241"/>
      <c r="AB93" s="242"/>
      <c r="AC93" s="1143"/>
      <c r="AD93" s="1391"/>
      <c r="AE93" s="1391"/>
      <c r="AF93" s="1391"/>
      <c r="AG93" s="1391"/>
      <c r="AH93" s="1144">
        <f ca="1">N(OFFSET(MAZLS[[#This Row],[|]],-1,0))+1</f>
        <v>9</v>
      </c>
      <c r="AI93" s="1670" t="str">
        <f>IF(MAZLS[[#This Row],[уЧасове]],MAZLS[[#This Row],[нацид|монСпециалностМП]],"")</f>
        <v/>
      </c>
      <c r="AJ93" s="1645">
        <f>SUM(MAZLS[[#This Row],[чЛекции]:[чTO]],N(MAZLS[[#This Row],[КР]])*кКурсова_работа)</f>
        <v>0</v>
      </c>
      <c r="AK93" s="1746"/>
      <c r="AL93" s="1746"/>
      <c r="AM93" s="1746"/>
      <c r="AN93" s="1746"/>
      <c r="AO93" s="1746"/>
      <c r="AP93" s="1746"/>
      <c r="AQ93" s="1746"/>
      <c r="AR93" s="1746"/>
      <c r="AS93" s="1746"/>
      <c r="AT93" s="1746"/>
    </row>
    <row r="94" spans="2:46" s="41" customFormat="1" x14ac:dyDescent="0.3">
      <c r="B94" s="236">
        <f t="shared" si="6"/>
        <v>10</v>
      </c>
      <c r="C94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4" s="254">
        <f>AND(MAZLS[[#This Row],[Дисциплина]]&lt;&gt;0,OR(N(MAZLS[[#This Row],[Лекции]])&lt;&gt;0,N(MAZLS[[#This Row],[Упражнения]])&lt;&gt;0),N(MAZLS[[#This Row],[Студенти]])=0)*1</f>
        <v>0</v>
      </c>
      <c r="E94" s="254">
        <f>AND(N(MAZLS[[#This Row],[Изпитани]])&gt;0,MAZLS[[#This Row],[Изпитващ]]=0)*1</f>
        <v>0</v>
      </c>
      <c r="F94" s="255">
        <f>IFERROR(VLOOKUP(MAZLS[[#This Row],[Език]],ТобЕзик[[обЕзик]:[Коеф.]],2,0),0)</f>
        <v>1</v>
      </c>
      <c r="G94" s="254" cm="1">
        <f t="array" ref="G94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4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4" s="664">
        <f>IFERROR(VLOOKUP(MAZLS[[#This Row],[ФормаОб]],тТО[[обФорма]:[Коеф.]],2,0),0)</f>
        <v>0</v>
      </c>
      <c r="J94" s="254">
        <f>N(MAZLS[[#This Row],[Лекции]])*MAZLS[[#This Row],[кЕзик]]*MAZLS[[#This Row],[кСтуденти]]*кЛекции</f>
        <v>0</v>
      </c>
      <c r="K94" s="254">
        <f>N(MAZLS[[#This Row],[Упражнения]])*MAZLS[[#This Row],[кЕзик]]*MAZLS[[#This Row],[кСтуденти]]*кУпражнение</f>
        <v>0</v>
      </c>
      <c r="L94" s="254">
        <f>N(MAZLS[[#This Row],[Изпитани]])*MAZLS[[#This Row],[кИзпитващ]]</f>
        <v>0</v>
      </c>
      <c r="M94" s="680">
        <f>N(MAZLS[[#This Row],[ТО]])*MAZLS[[#This Row],[кTO]]</f>
        <v>0</v>
      </c>
      <c r="N94" s="554"/>
      <c r="O94" s="555"/>
      <c r="P94" s="557"/>
      <c r="Q94" s="576"/>
      <c r="R94" s="558"/>
      <c r="S94" s="558"/>
      <c r="T94" s="1199"/>
      <c r="U94" s="241"/>
      <c r="V94" s="242"/>
      <c r="W94" s="608" t="s">
        <v>84</v>
      </c>
      <c r="X94" s="558"/>
      <c r="Y94" s="557"/>
      <c r="Z94" s="247"/>
      <c r="AA94" s="241"/>
      <c r="AB94" s="242"/>
      <c r="AC94" s="1143"/>
      <c r="AD94" s="1391"/>
      <c r="AE94" s="1391"/>
      <c r="AF94" s="1391"/>
      <c r="AG94" s="1391"/>
      <c r="AH94" s="1144">
        <f ca="1">N(OFFSET(MAZLS[[#This Row],[|]],-1,0))+1</f>
        <v>10</v>
      </c>
      <c r="AI94" s="1670" t="str">
        <f>IF(MAZLS[[#This Row],[уЧасове]],MAZLS[[#This Row],[нацид|монСпециалностМП]],"")</f>
        <v/>
      </c>
      <c r="AJ94" s="1645">
        <f>SUM(MAZLS[[#This Row],[чЛекции]:[чTO]],N(MAZLS[[#This Row],[КР]])*кКурсова_работа)</f>
        <v>0</v>
      </c>
      <c r="AK94" s="1746"/>
      <c r="AL94" s="1746"/>
      <c r="AM94" s="1746"/>
      <c r="AN94" s="1746"/>
      <c r="AO94" s="1746"/>
      <c r="AP94" s="1746"/>
      <c r="AQ94" s="1746"/>
      <c r="AR94" s="1746"/>
      <c r="AS94" s="1746"/>
      <c r="AT94" s="1746"/>
    </row>
    <row r="95" spans="2:46" s="41" customFormat="1" x14ac:dyDescent="0.3">
      <c r="B95" s="236">
        <f t="shared" si="6"/>
        <v>11</v>
      </c>
      <c r="C95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5" s="254">
        <f>AND(MAZLS[[#This Row],[Дисциплина]]&lt;&gt;0,OR(N(MAZLS[[#This Row],[Лекции]])&lt;&gt;0,N(MAZLS[[#This Row],[Упражнения]])&lt;&gt;0),N(MAZLS[[#This Row],[Студенти]])=0)*1</f>
        <v>0</v>
      </c>
      <c r="E95" s="254">
        <f>AND(N(MAZLS[[#This Row],[Изпитани]])&gt;0,MAZLS[[#This Row],[Изпитващ]]=0)*1</f>
        <v>0</v>
      </c>
      <c r="F95" s="255">
        <f>IFERROR(VLOOKUP(MAZLS[[#This Row],[Език]],ТобЕзик[[обЕзик]:[Коеф.]],2,0),0)</f>
        <v>1</v>
      </c>
      <c r="G95" s="254" cm="1">
        <f t="array" ref="G95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5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5" s="664">
        <f>IFERROR(VLOOKUP(MAZLS[[#This Row],[ФормаОб]],тТО[[обФорма]:[Коеф.]],2,0),0)</f>
        <v>0</v>
      </c>
      <c r="J95" s="254">
        <f>N(MAZLS[[#This Row],[Лекции]])*MAZLS[[#This Row],[кЕзик]]*MAZLS[[#This Row],[кСтуденти]]*кЛекции</f>
        <v>0</v>
      </c>
      <c r="K95" s="254">
        <f>N(MAZLS[[#This Row],[Упражнения]])*MAZLS[[#This Row],[кЕзик]]*MAZLS[[#This Row],[кСтуденти]]*кУпражнение</f>
        <v>0</v>
      </c>
      <c r="L95" s="254">
        <f>N(MAZLS[[#This Row],[Изпитани]])*MAZLS[[#This Row],[кИзпитващ]]</f>
        <v>0</v>
      </c>
      <c r="M95" s="680">
        <f>N(MAZLS[[#This Row],[ТО]])*MAZLS[[#This Row],[кTO]]</f>
        <v>0</v>
      </c>
      <c r="N95" s="554"/>
      <c r="O95" s="555"/>
      <c r="P95" s="557"/>
      <c r="Q95" s="576"/>
      <c r="R95" s="558"/>
      <c r="S95" s="558"/>
      <c r="T95" s="1199"/>
      <c r="U95" s="241"/>
      <c r="V95" s="242"/>
      <c r="W95" s="608" t="s">
        <v>84</v>
      </c>
      <c r="X95" s="558"/>
      <c r="Y95" s="557"/>
      <c r="Z95" s="247"/>
      <c r="AA95" s="241"/>
      <c r="AB95" s="242"/>
      <c r="AC95" s="1143"/>
      <c r="AD95" s="1391"/>
      <c r="AE95" s="1391"/>
      <c r="AF95" s="1391"/>
      <c r="AG95" s="1391"/>
      <c r="AH95" s="1144">
        <f ca="1">N(OFFSET(MAZLS[[#This Row],[|]],-1,0))+1</f>
        <v>11</v>
      </c>
      <c r="AI95" s="1670" t="str">
        <f>IF(MAZLS[[#This Row],[уЧасове]],MAZLS[[#This Row],[нацид|монСпециалностМП]],"")</f>
        <v/>
      </c>
      <c r="AJ95" s="1645">
        <f>SUM(MAZLS[[#This Row],[чЛекции]:[чTO]],N(MAZLS[[#This Row],[КР]])*кКурсова_работа)</f>
        <v>0</v>
      </c>
      <c r="AK95" s="1746"/>
      <c r="AL95" s="1746"/>
      <c r="AM95" s="1746"/>
      <c r="AN95" s="1746"/>
      <c r="AO95" s="1746"/>
      <c r="AP95" s="1746"/>
      <c r="AQ95" s="1746"/>
      <c r="AR95" s="1746"/>
      <c r="AS95" s="1746"/>
      <c r="AT95" s="1746"/>
    </row>
    <row r="96" spans="2:46" s="41" customFormat="1" x14ac:dyDescent="0.3">
      <c r="B96" s="236">
        <f t="shared" si="6"/>
        <v>12</v>
      </c>
      <c r="C96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6" s="254">
        <f>AND(MAZLS[[#This Row],[Дисциплина]]&lt;&gt;0,OR(N(MAZLS[[#This Row],[Лекции]])&lt;&gt;0,N(MAZLS[[#This Row],[Упражнения]])&lt;&gt;0),N(MAZLS[[#This Row],[Студенти]])=0)*1</f>
        <v>0</v>
      </c>
      <c r="E96" s="254">
        <f>AND(N(MAZLS[[#This Row],[Изпитани]])&gt;0,MAZLS[[#This Row],[Изпитващ]]=0)*1</f>
        <v>0</v>
      </c>
      <c r="F96" s="255">
        <f>IFERROR(VLOOKUP(MAZLS[[#This Row],[Език]],ТобЕзик[[обЕзик]:[Коеф.]],2,0),0)</f>
        <v>1</v>
      </c>
      <c r="G96" s="254" cm="1">
        <f t="array" ref="G96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6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6" s="664">
        <f>IFERROR(VLOOKUP(MAZLS[[#This Row],[ФормаОб]],тТО[[обФорма]:[Коеф.]],2,0),0)</f>
        <v>0</v>
      </c>
      <c r="J96" s="254">
        <f>N(MAZLS[[#This Row],[Лекции]])*MAZLS[[#This Row],[кЕзик]]*MAZLS[[#This Row],[кСтуденти]]*кЛекции</f>
        <v>0</v>
      </c>
      <c r="K96" s="254">
        <f>N(MAZLS[[#This Row],[Упражнения]])*MAZLS[[#This Row],[кЕзик]]*MAZLS[[#This Row],[кСтуденти]]*кУпражнение</f>
        <v>0</v>
      </c>
      <c r="L96" s="254">
        <f>N(MAZLS[[#This Row],[Изпитани]])*MAZLS[[#This Row],[кИзпитващ]]</f>
        <v>0</v>
      </c>
      <c r="M96" s="680">
        <f>N(MAZLS[[#This Row],[ТО]])*MAZLS[[#This Row],[кTO]]</f>
        <v>0</v>
      </c>
      <c r="N96" s="554"/>
      <c r="O96" s="555"/>
      <c r="P96" s="557"/>
      <c r="Q96" s="576"/>
      <c r="R96" s="558"/>
      <c r="S96" s="558"/>
      <c r="T96" s="1199"/>
      <c r="U96" s="241"/>
      <c r="V96" s="242"/>
      <c r="W96" s="608" t="s">
        <v>84</v>
      </c>
      <c r="X96" s="558"/>
      <c r="Y96" s="557"/>
      <c r="Z96" s="247"/>
      <c r="AA96" s="241"/>
      <c r="AB96" s="242"/>
      <c r="AC96" s="1143"/>
      <c r="AD96" s="1391"/>
      <c r="AE96" s="1391"/>
      <c r="AF96" s="1391"/>
      <c r="AG96" s="1391"/>
      <c r="AH96" s="1144">
        <f ca="1">N(OFFSET(MAZLS[[#This Row],[|]],-1,0))+1</f>
        <v>12</v>
      </c>
      <c r="AI96" s="1670" t="str">
        <f>IF(MAZLS[[#This Row],[уЧасове]],MAZLS[[#This Row],[нацид|монСпециалностМП]],"")</f>
        <v/>
      </c>
      <c r="AJ96" s="1645">
        <f>SUM(MAZLS[[#This Row],[чЛекции]:[чTO]],N(MAZLS[[#This Row],[КР]])*кКурсова_работа)</f>
        <v>0</v>
      </c>
      <c r="AK96" s="1746"/>
      <c r="AL96" s="1746"/>
      <c r="AM96" s="1746"/>
      <c r="AN96" s="1746"/>
      <c r="AO96" s="1746"/>
      <c r="AP96" s="1746"/>
      <c r="AQ96" s="1746"/>
      <c r="AR96" s="1746"/>
      <c r="AS96" s="1746"/>
      <c r="AT96" s="1746"/>
    </row>
    <row r="97" spans="2:46" s="41" customFormat="1" x14ac:dyDescent="0.3">
      <c r="B97" s="236">
        <f t="shared" si="6"/>
        <v>13</v>
      </c>
      <c r="C97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7" s="254">
        <f>AND(MAZLS[[#This Row],[Дисциплина]]&lt;&gt;0,OR(N(MAZLS[[#This Row],[Лекции]])&lt;&gt;0,N(MAZLS[[#This Row],[Упражнения]])&lt;&gt;0),N(MAZLS[[#This Row],[Студенти]])=0)*1</f>
        <v>0</v>
      </c>
      <c r="E97" s="254">
        <f>AND(N(MAZLS[[#This Row],[Изпитани]])&gt;0,MAZLS[[#This Row],[Изпитващ]]=0)*1</f>
        <v>0</v>
      </c>
      <c r="F97" s="255">
        <f>IFERROR(VLOOKUP(MAZLS[[#This Row],[Език]],ТобЕзик[[обЕзик]:[Коеф.]],2,0),0)</f>
        <v>1</v>
      </c>
      <c r="G97" s="254" cm="1">
        <f t="array" ref="G97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7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7" s="664">
        <f>IFERROR(VLOOKUP(MAZLS[[#This Row],[ФормаОб]],тТО[[обФорма]:[Коеф.]],2,0),0)</f>
        <v>0</v>
      </c>
      <c r="J97" s="254">
        <f>N(MAZLS[[#This Row],[Лекции]])*MAZLS[[#This Row],[кЕзик]]*MAZLS[[#This Row],[кСтуденти]]*кЛекции</f>
        <v>0</v>
      </c>
      <c r="K97" s="254">
        <f>N(MAZLS[[#This Row],[Упражнения]])*MAZLS[[#This Row],[кЕзик]]*MAZLS[[#This Row],[кСтуденти]]*кУпражнение</f>
        <v>0</v>
      </c>
      <c r="L97" s="254">
        <f>N(MAZLS[[#This Row],[Изпитани]])*MAZLS[[#This Row],[кИзпитващ]]</f>
        <v>0</v>
      </c>
      <c r="M97" s="680">
        <f>N(MAZLS[[#This Row],[ТО]])*MAZLS[[#This Row],[кTO]]</f>
        <v>0</v>
      </c>
      <c r="N97" s="554"/>
      <c r="O97" s="555"/>
      <c r="P97" s="557"/>
      <c r="Q97" s="576"/>
      <c r="R97" s="558"/>
      <c r="S97" s="558"/>
      <c r="T97" s="1199"/>
      <c r="U97" s="241"/>
      <c r="V97" s="242"/>
      <c r="W97" s="608" t="s">
        <v>84</v>
      </c>
      <c r="X97" s="558"/>
      <c r="Y97" s="557"/>
      <c r="Z97" s="247"/>
      <c r="AA97" s="241"/>
      <c r="AB97" s="242"/>
      <c r="AC97" s="1143"/>
      <c r="AD97" s="1391"/>
      <c r="AE97" s="1391"/>
      <c r="AF97" s="1391"/>
      <c r="AG97" s="1391"/>
      <c r="AH97" s="1144">
        <f ca="1">N(OFFSET(MAZLS[[#This Row],[|]],-1,0))+1</f>
        <v>13</v>
      </c>
      <c r="AI97" s="1670" t="str">
        <f>IF(MAZLS[[#This Row],[уЧасове]],MAZLS[[#This Row],[нацид|монСпециалностМП]],"")</f>
        <v/>
      </c>
      <c r="AJ97" s="1645">
        <f>SUM(MAZLS[[#This Row],[чЛекции]:[чTO]],N(MAZLS[[#This Row],[КР]])*кКурсова_работа)</f>
        <v>0</v>
      </c>
      <c r="AK97" s="1746"/>
      <c r="AL97" s="1746"/>
      <c r="AM97" s="1746"/>
      <c r="AN97" s="1746"/>
      <c r="AO97" s="1746"/>
      <c r="AP97" s="1746"/>
      <c r="AQ97" s="1746"/>
      <c r="AR97" s="1746"/>
      <c r="AS97" s="1746"/>
      <c r="AT97" s="1746"/>
    </row>
    <row r="98" spans="2:46" s="41" customFormat="1" x14ac:dyDescent="0.3">
      <c r="B98" s="236">
        <f t="shared" si="6"/>
        <v>14</v>
      </c>
      <c r="C98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8" s="254">
        <f>AND(MAZLS[[#This Row],[Дисциплина]]&lt;&gt;0,OR(N(MAZLS[[#This Row],[Лекции]])&lt;&gt;0,N(MAZLS[[#This Row],[Упражнения]])&lt;&gt;0),N(MAZLS[[#This Row],[Студенти]])=0)*1</f>
        <v>0</v>
      </c>
      <c r="E98" s="254">
        <f>AND(N(MAZLS[[#This Row],[Изпитани]])&gt;0,MAZLS[[#This Row],[Изпитващ]]=0)*1</f>
        <v>0</v>
      </c>
      <c r="F98" s="255">
        <f>IFERROR(VLOOKUP(MAZLS[[#This Row],[Език]],ТобЕзик[[обЕзик]:[Коеф.]],2,0),0)</f>
        <v>1</v>
      </c>
      <c r="G98" s="254" cm="1">
        <f t="array" ref="G98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8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8" s="664">
        <f>IFERROR(VLOOKUP(MAZLS[[#This Row],[ФормаОб]],тТО[[обФорма]:[Коеф.]],2,0),0)</f>
        <v>0</v>
      </c>
      <c r="J98" s="254">
        <f>N(MAZLS[[#This Row],[Лекции]])*MAZLS[[#This Row],[кЕзик]]*MAZLS[[#This Row],[кСтуденти]]*кЛекции</f>
        <v>0</v>
      </c>
      <c r="K98" s="254">
        <f>N(MAZLS[[#This Row],[Упражнения]])*MAZLS[[#This Row],[кЕзик]]*MAZLS[[#This Row],[кСтуденти]]*кУпражнение</f>
        <v>0</v>
      </c>
      <c r="L98" s="254">
        <f>N(MAZLS[[#This Row],[Изпитани]])*MAZLS[[#This Row],[кИзпитващ]]</f>
        <v>0</v>
      </c>
      <c r="M98" s="680">
        <f>N(MAZLS[[#This Row],[ТО]])*MAZLS[[#This Row],[кTO]]</f>
        <v>0</v>
      </c>
      <c r="N98" s="554"/>
      <c r="O98" s="555"/>
      <c r="P98" s="557"/>
      <c r="Q98" s="576"/>
      <c r="R98" s="558"/>
      <c r="S98" s="558"/>
      <c r="T98" s="1199"/>
      <c r="U98" s="241"/>
      <c r="V98" s="242"/>
      <c r="W98" s="608" t="s">
        <v>84</v>
      </c>
      <c r="X98" s="558"/>
      <c r="Y98" s="557"/>
      <c r="Z98" s="247"/>
      <c r="AA98" s="241"/>
      <c r="AB98" s="242"/>
      <c r="AC98" s="1143"/>
      <c r="AD98" s="1391"/>
      <c r="AE98" s="1391"/>
      <c r="AF98" s="1391"/>
      <c r="AG98" s="1391"/>
      <c r="AH98" s="1144">
        <f ca="1">N(OFFSET(MAZLS[[#This Row],[|]],-1,0))+1</f>
        <v>14</v>
      </c>
      <c r="AI98" s="1670" t="str">
        <f>IF(MAZLS[[#This Row],[уЧасове]],MAZLS[[#This Row],[нацид|монСпециалностМП]],"")</f>
        <v/>
      </c>
      <c r="AJ98" s="1645">
        <f>SUM(MAZLS[[#This Row],[чЛекции]:[чTO]],N(MAZLS[[#This Row],[КР]])*кКурсова_работа)</f>
        <v>0</v>
      </c>
      <c r="AK98" s="1746"/>
      <c r="AL98" s="1746"/>
      <c r="AM98" s="1746"/>
      <c r="AN98" s="1746"/>
      <c r="AO98" s="1746"/>
      <c r="AP98" s="1746"/>
      <c r="AQ98" s="1746"/>
      <c r="AR98" s="1746"/>
      <c r="AS98" s="1746"/>
      <c r="AT98" s="1746"/>
    </row>
    <row r="99" spans="2:46" s="41" customFormat="1" x14ac:dyDescent="0.3">
      <c r="B99" s="236">
        <f t="shared" si="6"/>
        <v>15</v>
      </c>
      <c r="C99" s="254">
        <f>IFERROR(AND(LEN(MAZLS[[#This Row],[Дисциплина]]&amp;MAZLS[[#This Row],[Магистърска програма]]&amp;MAZLS[[#This Row],[Факултет]])&gt;0,LEN(MAZLS[[#This Row],[Вид]])=0)*1,0)</f>
        <v>0</v>
      </c>
      <c r="D99" s="254">
        <f>AND(MAZLS[[#This Row],[Дисциплина]]&lt;&gt;0,OR(N(MAZLS[[#This Row],[Лекции]])&lt;&gt;0,N(MAZLS[[#This Row],[Упражнения]])&lt;&gt;0),N(MAZLS[[#This Row],[Студенти]])=0)*1</f>
        <v>0</v>
      </c>
      <c r="E99" s="254">
        <f>AND(N(MAZLS[[#This Row],[Изпитани]])&gt;0,MAZLS[[#This Row],[Изпитващ]]=0)*1</f>
        <v>0</v>
      </c>
      <c r="F99" s="255">
        <f>IFERROR(VLOOKUP(MAZLS[[#This Row],[Език]],ТобЕзик[[обЕзик]:[Коеф.]],2,0),0)</f>
        <v>1</v>
      </c>
      <c r="G99" s="254" cm="1">
        <f t="array" ref="G99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99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99" s="664">
        <f>IFERROR(VLOOKUP(MAZLS[[#This Row],[ФормаОб]],тТО[[обФорма]:[Коеф.]],2,0),0)</f>
        <v>0</v>
      </c>
      <c r="J99" s="254">
        <f>N(MAZLS[[#This Row],[Лекции]])*MAZLS[[#This Row],[кЕзик]]*MAZLS[[#This Row],[кСтуденти]]*кЛекции</f>
        <v>0</v>
      </c>
      <c r="K99" s="254">
        <f>N(MAZLS[[#This Row],[Упражнения]])*MAZLS[[#This Row],[кЕзик]]*MAZLS[[#This Row],[кСтуденти]]*кУпражнение</f>
        <v>0</v>
      </c>
      <c r="L99" s="254">
        <f>N(MAZLS[[#This Row],[Изпитани]])*MAZLS[[#This Row],[кИзпитващ]]</f>
        <v>0</v>
      </c>
      <c r="M99" s="680">
        <f>N(MAZLS[[#This Row],[ТО]])*MAZLS[[#This Row],[кTO]]</f>
        <v>0</v>
      </c>
      <c r="N99" s="554"/>
      <c r="O99" s="555"/>
      <c r="P99" s="557"/>
      <c r="Q99" s="576"/>
      <c r="R99" s="558"/>
      <c r="S99" s="558"/>
      <c r="T99" s="1199"/>
      <c r="U99" s="241"/>
      <c r="V99" s="242"/>
      <c r="W99" s="608" t="s">
        <v>84</v>
      </c>
      <c r="X99" s="558"/>
      <c r="Y99" s="557"/>
      <c r="Z99" s="247"/>
      <c r="AA99" s="241"/>
      <c r="AB99" s="242"/>
      <c r="AC99" s="1143"/>
      <c r="AD99" s="1391"/>
      <c r="AE99" s="1391"/>
      <c r="AF99" s="1391"/>
      <c r="AG99" s="1391"/>
      <c r="AH99" s="1144">
        <f ca="1">N(OFFSET(MAZLS[[#This Row],[|]],-1,0))+1</f>
        <v>15</v>
      </c>
      <c r="AI99" s="1670" t="str">
        <f>IF(MAZLS[[#This Row],[уЧасове]],MAZLS[[#This Row],[нацид|монСпециалностМП]],"")</f>
        <v/>
      </c>
      <c r="AJ99" s="1645">
        <f>SUM(MAZLS[[#This Row],[чЛекции]:[чTO]],N(MAZLS[[#This Row],[КР]])*кКурсова_работа)</f>
        <v>0</v>
      </c>
      <c r="AK99" s="1746"/>
      <c r="AL99" s="1746"/>
      <c r="AM99" s="1746"/>
      <c r="AN99" s="1746"/>
      <c r="AO99" s="1746"/>
      <c r="AP99" s="1746"/>
      <c r="AQ99" s="1746"/>
      <c r="AR99" s="1746"/>
      <c r="AS99" s="1746"/>
      <c r="AT99" s="1746"/>
    </row>
    <row r="100" spans="2:46" s="41" customFormat="1" x14ac:dyDescent="0.3">
      <c r="B100" s="236">
        <f t="shared" si="6"/>
        <v>16</v>
      </c>
      <c r="C100" s="254">
        <f>IFERROR(AND(LEN(MAZLS[[#This Row],[Дисциплина]]&amp;MAZLS[[#This Row],[Магистърска програма]]&amp;MAZLS[[#This Row],[Факултет]])&gt;0,LEN(MAZLS[[#This Row],[Вид]])=0)*1,0)</f>
        <v>0</v>
      </c>
      <c r="D100" s="254">
        <f>AND(MAZLS[[#This Row],[Дисциплина]]&lt;&gt;0,OR(N(MAZLS[[#This Row],[Лекции]])&lt;&gt;0,N(MAZLS[[#This Row],[Упражнения]])&lt;&gt;0),N(MAZLS[[#This Row],[Студенти]])=0)*1</f>
        <v>0</v>
      </c>
      <c r="E100" s="254">
        <f>AND(N(MAZLS[[#This Row],[Изпитани]])&gt;0,MAZLS[[#This Row],[Изпитващ]]=0)*1</f>
        <v>0</v>
      </c>
      <c r="F100" s="255">
        <f>IFERROR(VLOOKUP(MAZLS[[#This Row],[Език]],ТобЕзик[[обЕзик]:[Коеф.]],2,0),0)</f>
        <v>1</v>
      </c>
      <c r="G100" s="254" cm="1">
        <f t="array" ref="G100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100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100" s="664">
        <f>IFERROR(VLOOKUP(MAZLS[[#This Row],[ФормаОб]],тТО[[обФорма]:[Коеф.]],2,0),0)</f>
        <v>0</v>
      </c>
      <c r="J100" s="254">
        <f>N(MAZLS[[#This Row],[Лекции]])*MAZLS[[#This Row],[кЕзик]]*MAZLS[[#This Row],[кСтуденти]]*кЛекции</f>
        <v>0</v>
      </c>
      <c r="K100" s="254">
        <f>N(MAZLS[[#This Row],[Упражнения]])*MAZLS[[#This Row],[кЕзик]]*MAZLS[[#This Row],[кСтуденти]]*кУпражнение</f>
        <v>0</v>
      </c>
      <c r="L100" s="254">
        <f>N(MAZLS[[#This Row],[Изпитани]])*MAZLS[[#This Row],[кИзпитващ]]</f>
        <v>0</v>
      </c>
      <c r="M100" s="680">
        <f>N(MAZLS[[#This Row],[ТО]])*MAZLS[[#This Row],[кTO]]</f>
        <v>0</v>
      </c>
      <c r="N100" s="554"/>
      <c r="O100" s="555"/>
      <c r="P100" s="557"/>
      <c r="Q100" s="576"/>
      <c r="R100" s="558"/>
      <c r="S100" s="558"/>
      <c r="T100" s="1199"/>
      <c r="U100" s="241"/>
      <c r="V100" s="242"/>
      <c r="W100" s="608" t="s">
        <v>84</v>
      </c>
      <c r="X100" s="558"/>
      <c r="Y100" s="557"/>
      <c r="Z100" s="247"/>
      <c r="AA100" s="241"/>
      <c r="AB100" s="242"/>
      <c r="AC100" s="1143"/>
      <c r="AD100" s="1391"/>
      <c r="AE100" s="1391"/>
      <c r="AF100" s="1391"/>
      <c r="AG100" s="1391"/>
      <c r="AH100" s="1144">
        <f ca="1">N(OFFSET(MAZLS[[#This Row],[|]],-1,0))+1</f>
        <v>16</v>
      </c>
      <c r="AI100" s="1670" t="str">
        <f>IF(MAZLS[[#This Row],[уЧасове]],MAZLS[[#This Row],[нацид|монСпециалностМП]],"")</f>
        <v/>
      </c>
      <c r="AJ100" s="1645">
        <f>SUM(MAZLS[[#This Row],[чЛекции]:[чTO]],N(MAZLS[[#This Row],[КР]])*кКурсова_работа)</f>
        <v>0</v>
      </c>
      <c r="AK100" s="1746"/>
      <c r="AL100" s="1746"/>
      <c r="AM100" s="1746"/>
      <c r="AN100" s="1746"/>
      <c r="AO100" s="1746"/>
      <c r="AP100" s="1746"/>
      <c r="AQ100" s="1746"/>
      <c r="AR100" s="1746"/>
      <c r="AS100" s="1746"/>
      <c r="AT100" s="1746"/>
    </row>
    <row r="101" spans="2:46" s="41" customFormat="1" x14ac:dyDescent="0.3">
      <c r="B101" s="236">
        <f t="shared" si="6"/>
        <v>17</v>
      </c>
      <c r="C101" s="254">
        <f>IFERROR(AND(LEN(MAZLS[[#This Row],[Дисциплина]]&amp;MAZLS[[#This Row],[Магистърска програма]]&amp;MAZLS[[#This Row],[Факултет]])&gt;0,LEN(MAZLS[[#This Row],[Вид]])=0)*1,0)</f>
        <v>0</v>
      </c>
      <c r="D101" s="254">
        <f>AND(MAZLS[[#This Row],[Дисциплина]]&lt;&gt;0,OR(N(MAZLS[[#This Row],[Лекции]])&lt;&gt;0,N(MAZLS[[#This Row],[Упражнения]])&lt;&gt;0),N(MAZLS[[#This Row],[Студенти]])=0)*1</f>
        <v>0</v>
      </c>
      <c r="E101" s="254">
        <f>AND(N(MAZLS[[#This Row],[Изпитани]])&gt;0,MAZLS[[#This Row],[Изпитващ]]=0)*1</f>
        <v>0</v>
      </c>
      <c r="F101" s="255">
        <f>IFERROR(VLOOKUP(MAZLS[[#This Row],[Език]],ТобЕзик[[обЕзик]:[Коеф.]],2,0),0)</f>
        <v>1</v>
      </c>
      <c r="G101" s="254" cm="1">
        <f t="array" ref="G101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101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101" s="664">
        <f>IFERROR(VLOOKUP(MAZLS[[#This Row],[ФормаОб]],тТО[[обФорма]:[Коеф.]],2,0),0)</f>
        <v>0</v>
      </c>
      <c r="J101" s="254">
        <f>N(MAZLS[[#This Row],[Лекции]])*MAZLS[[#This Row],[кЕзик]]*MAZLS[[#This Row],[кСтуденти]]*кЛекции</f>
        <v>0</v>
      </c>
      <c r="K101" s="254">
        <f>N(MAZLS[[#This Row],[Упражнения]])*MAZLS[[#This Row],[кЕзик]]*MAZLS[[#This Row],[кСтуденти]]*кУпражнение</f>
        <v>0</v>
      </c>
      <c r="L101" s="254">
        <f>N(MAZLS[[#This Row],[Изпитани]])*MAZLS[[#This Row],[кИзпитващ]]</f>
        <v>0</v>
      </c>
      <c r="M101" s="680">
        <f>N(MAZLS[[#This Row],[ТО]])*MAZLS[[#This Row],[кTO]]</f>
        <v>0</v>
      </c>
      <c r="N101" s="554"/>
      <c r="O101" s="555"/>
      <c r="P101" s="557"/>
      <c r="Q101" s="576"/>
      <c r="R101" s="558"/>
      <c r="S101" s="558"/>
      <c r="T101" s="1199"/>
      <c r="U101" s="241"/>
      <c r="V101" s="242"/>
      <c r="W101" s="608" t="s">
        <v>84</v>
      </c>
      <c r="X101" s="558"/>
      <c r="Y101" s="557"/>
      <c r="Z101" s="247"/>
      <c r="AA101" s="241"/>
      <c r="AB101" s="242"/>
      <c r="AC101" s="1143"/>
      <c r="AD101" s="1391"/>
      <c r="AE101" s="1391"/>
      <c r="AF101" s="1391"/>
      <c r="AG101" s="1391"/>
      <c r="AH101" s="1144">
        <f ca="1">N(OFFSET(MAZLS[[#This Row],[|]],-1,0))+1</f>
        <v>17</v>
      </c>
      <c r="AI101" s="1670" t="str">
        <f>IF(MAZLS[[#This Row],[уЧасове]],MAZLS[[#This Row],[нацид|монСпециалностМП]],"")</f>
        <v/>
      </c>
      <c r="AJ101" s="1645">
        <f>SUM(MAZLS[[#This Row],[чЛекции]:[чTO]],N(MAZLS[[#This Row],[КР]])*кКурсова_работа)</f>
        <v>0</v>
      </c>
      <c r="AK101" s="1746"/>
      <c r="AL101" s="1746"/>
      <c r="AM101" s="1746"/>
      <c r="AN101" s="1746"/>
      <c r="AO101" s="1746"/>
      <c r="AP101" s="1746"/>
      <c r="AQ101" s="1746"/>
      <c r="AR101" s="1746"/>
      <c r="AS101" s="1746"/>
      <c r="AT101" s="1746"/>
    </row>
    <row r="102" spans="2:46" s="41" customFormat="1" x14ac:dyDescent="0.3">
      <c r="B102" s="236">
        <f t="shared" si="6"/>
        <v>18</v>
      </c>
      <c r="C102" s="254">
        <f>IFERROR(AND(LEN(MAZLS[[#This Row],[Дисциплина]]&amp;MAZLS[[#This Row],[Магистърска програма]]&amp;MAZLS[[#This Row],[Факултет]])&gt;0,LEN(MAZLS[[#This Row],[Вид]])=0)*1,0)</f>
        <v>0</v>
      </c>
      <c r="D102" s="254">
        <f>AND(MAZLS[[#This Row],[Дисциплина]]&lt;&gt;0,OR(N(MAZLS[[#This Row],[Лекции]])&lt;&gt;0,N(MAZLS[[#This Row],[Упражнения]])&lt;&gt;0),N(MAZLS[[#This Row],[Студенти]])=0)*1</f>
        <v>0</v>
      </c>
      <c r="E102" s="254">
        <f>AND(N(MAZLS[[#This Row],[Изпитани]])&gt;0,MAZLS[[#This Row],[Изпитващ]]=0)*1</f>
        <v>0</v>
      </c>
      <c r="F102" s="255">
        <f>IFERROR(VLOOKUP(MAZLS[[#This Row],[Език]],ТобЕзик[[обЕзик]:[Коеф.]],2,0),0)</f>
        <v>1</v>
      </c>
      <c r="G102" s="254" cm="1">
        <f t="array" ref="G102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102" s="254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102" s="664">
        <f>IFERROR(VLOOKUP(MAZLS[[#This Row],[ФормаОб]],тТО[[обФорма]:[Коеф.]],2,0),0)</f>
        <v>0</v>
      </c>
      <c r="J102" s="254">
        <f>N(MAZLS[[#This Row],[Лекции]])*MAZLS[[#This Row],[кЕзик]]*MAZLS[[#This Row],[кСтуденти]]*кЛекции</f>
        <v>0</v>
      </c>
      <c r="K102" s="254">
        <f>N(MAZLS[[#This Row],[Упражнения]])*MAZLS[[#This Row],[кЕзик]]*MAZLS[[#This Row],[кСтуденти]]*кУпражнение</f>
        <v>0</v>
      </c>
      <c r="L102" s="254">
        <f>N(MAZLS[[#This Row],[Изпитани]])*MAZLS[[#This Row],[кИзпитващ]]</f>
        <v>0</v>
      </c>
      <c r="M102" s="680">
        <f>N(MAZLS[[#This Row],[ТО]])*MAZLS[[#This Row],[кTO]]</f>
        <v>0</v>
      </c>
      <c r="N102" s="554"/>
      <c r="O102" s="555"/>
      <c r="P102" s="557"/>
      <c r="Q102" s="576"/>
      <c r="R102" s="558"/>
      <c r="S102" s="558"/>
      <c r="T102" s="1199"/>
      <c r="U102" s="241"/>
      <c r="V102" s="242"/>
      <c r="W102" s="608" t="s">
        <v>84</v>
      </c>
      <c r="X102" s="558"/>
      <c r="Y102" s="557"/>
      <c r="Z102" s="247"/>
      <c r="AA102" s="241"/>
      <c r="AB102" s="242"/>
      <c r="AC102" s="1143"/>
      <c r="AD102" s="1391"/>
      <c r="AE102" s="1391"/>
      <c r="AF102" s="1391"/>
      <c r="AG102" s="1391"/>
      <c r="AH102" s="1144">
        <f ca="1">N(OFFSET(MAZLS[[#This Row],[|]],-1,0))+1</f>
        <v>18</v>
      </c>
      <c r="AI102" s="1670" t="str">
        <f>IF(MAZLS[[#This Row],[уЧасове]],MAZLS[[#This Row],[нацид|монСпециалностМП]],"")</f>
        <v/>
      </c>
      <c r="AJ102" s="1645">
        <f>SUM(MAZLS[[#This Row],[чЛекции]:[чTO]],N(MAZLS[[#This Row],[КР]])*кКурсова_работа)</f>
        <v>0</v>
      </c>
      <c r="AK102" s="1746"/>
      <c r="AL102" s="1746"/>
      <c r="AM102" s="1746"/>
      <c r="AN102" s="1746"/>
      <c r="AO102" s="1746"/>
      <c r="AP102" s="1746"/>
      <c r="AQ102" s="1746"/>
      <c r="AR102" s="1746"/>
      <c r="AS102" s="1746"/>
      <c r="AT102" s="1746"/>
    </row>
    <row r="103" spans="2:46" s="41" customFormat="1" ht="17.25" thickBot="1" x14ac:dyDescent="0.35">
      <c r="B103" s="236">
        <f t="shared" si="6"/>
        <v>19</v>
      </c>
      <c r="C103" s="254">
        <f>IFERROR(AND(LEN(MAZLS[[#This Row],[Дисциплина]]&amp;MAZLS[[#This Row],[Магистърска програма]]&amp;MAZLS[[#This Row],[Факултет]])&gt;0,LEN(MAZLS[[#This Row],[Вид]])=0)*1,0)</f>
        <v>0</v>
      </c>
      <c r="D103" s="254">
        <f>AND(MAZLS[[#This Row],[Дисциплина]]&lt;&gt;0,OR(N(MAZLS[[#This Row],[Лекции]])&lt;&gt;0,N(MAZLS[[#This Row],[Упражнения]])&lt;&gt;0),N(MAZLS[[#This Row],[Студенти]])=0)*1</f>
        <v>0</v>
      </c>
      <c r="E103" s="254">
        <f>AND(N(MAZLS[[#This Row],[Изпитани]])&gt;0,MAZLS[[#This Row],[Изпитващ]]=0)*1</f>
        <v>0</v>
      </c>
      <c r="F103" s="257">
        <f>IFERROR(VLOOKUP(MAZLS[[#This Row],[Език]],ТобЕзик[[обЕзик]:[Коеф.]],2,0),0)</f>
        <v>1</v>
      </c>
      <c r="G103" s="258" cm="1">
        <f t="array" ref="G103">IFERROR(IF(AND(MAZLS[[#This Row],[Студенти]]&gt;0,OR(MAZLS[[#This Row],[Студенти]]&gt;=6,SUMPRODUCT(COUNTIF(MAZLS[[#This Row],[Факултет]],"*"&amp;тЗСпец[Факултет]&amp;"*"),COUNTIF(MAZLS[[#This Row],[Магистърска програма]],тЗСпец[Маг]&amp;"*")))),1,VLOOKUP(MAZLS[[#This Row],[Студенти]],ТкСтуденти[[брСтуденти]:[Коеф.]],2,0)),0)</f>
        <v>0</v>
      </c>
      <c r="H103" s="258">
        <f>IFERROR(IF(AND(COUNTIF(nФакултетОтчет,"*математика*"),MAZLS[[#This Row],[ФормаОц]]="КИ"),0.9,IF(T(MAZLS[[#This Row],[Изпитващ]])="",0,VLOOKUP(MAZLS[[#This Row],[Изпитващ]],ТвидИзпитващ[[видИзпитващ]:[Коеф.]],2,0))),0)</f>
        <v>0</v>
      </c>
      <c r="I103" s="665">
        <f>IFERROR(VLOOKUP(MAZLS[[#This Row],[ФормаОб]],тТО[[обФорма]:[Коеф.]],2,0),0)</f>
        <v>0</v>
      </c>
      <c r="J103" s="254">
        <f>N(MAZLS[[#This Row],[Лекции]])*MAZLS[[#This Row],[кЕзик]]*MAZLS[[#This Row],[кСтуденти]]*кЛекции</f>
        <v>0</v>
      </c>
      <c r="K103" s="254">
        <f>N(MAZLS[[#This Row],[Упражнения]])*MAZLS[[#This Row],[кЕзик]]*MAZLS[[#This Row],[кСтуденти]]*кУпражнение</f>
        <v>0</v>
      </c>
      <c r="L103" s="254">
        <f>N(MAZLS[[#This Row],[Изпитани]])*MAZLS[[#This Row],[кИзпитващ]]</f>
        <v>0</v>
      </c>
      <c r="M103" s="680">
        <f>N(MAZLS[[#This Row],[ТО]])*MAZLS[[#This Row],[кTO]]</f>
        <v>0</v>
      </c>
      <c r="N103" s="606"/>
      <c r="O103" s="607"/>
      <c r="P103" s="579"/>
      <c r="Q103" s="577"/>
      <c r="R103" s="578"/>
      <c r="S103" s="578"/>
      <c r="T103" s="1200"/>
      <c r="U103" s="263"/>
      <c r="V103" s="264"/>
      <c r="W103" s="609" t="s">
        <v>84</v>
      </c>
      <c r="X103" s="578"/>
      <c r="Y103" s="579"/>
      <c r="Z103" s="262"/>
      <c r="AA103" s="263"/>
      <c r="AB103" s="264"/>
      <c r="AC103" s="1143"/>
      <c r="AD103" s="1391"/>
      <c r="AE103" s="1391"/>
      <c r="AF103" s="1391"/>
      <c r="AG103" s="1391"/>
      <c r="AH103" s="1145">
        <f ca="1">N(OFFSET(MAZLS[[#This Row],[|]],-1,0))+1</f>
        <v>19</v>
      </c>
      <c r="AI103" s="1670" t="str">
        <f>IF(MAZLS[[#This Row],[уЧасове]],MAZLS[[#This Row],[нацид|монСпециалностМП]],"")</f>
        <v/>
      </c>
      <c r="AJ103" s="1645">
        <f>SUM(MAZLS[[#This Row],[чЛекции]:[чTO]],N(MAZLS[[#This Row],[КР]])*кКурсова_работа)</f>
        <v>0</v>
      </c>
      <c r="AK103" s="1746"/>
      <c r="AL103" s="1746"/>
      <c r="AM103" s="1746"/>
      <c r="AN103" s="1746"/>
      <c r="AO103" s="1746"/>
      <c r="AP103" s="1746"/>
      <c r="AQ103" s="1746"/>
      <c r="AR103" s="1746"/>
      <c r="AS103" s="1746"/>
      <c r="AT103" s="1746"/>
    </row>
    <row r="104" spans="2:46" ht="9.9499999999999993" customHeight="1" x14ac:dyDescent="0.3">
      <c r="B104" s="107" t="s">
        <v>412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</row>
    <row r="105" spans="2:46" ht="26.25" customHeight="1" x14ac:dyDescent="0.3">
      <c r="B105" s="176" t="s">
        <v>415</v>
      </c>
      <c r="M105" s="99" t="str">
        <f>IF($M$79,2,"2.2")</f>
        <v>2.2</v>
      </c>
      <c r="N105" s="2594" t="str">
        <f>M105&amp;". ОКС ""магистър"" след придобита образователно-квалификационна степен на висшето образование – практики и курсови работи – ЛЕТЕН семестър"</f>
        <v>2.2. ОКС "магистър" след придобита образователно-квалификационна степен на висшето образование – практики и курсови работи – ЛЕТЕН семестър</v>
      </c>
      <c r="O105" s="2595"/>
      <c r="P105" s="2595"/>
      <c r="Q105" s="2595"/>
      <c r="R105" s="2595"/>
      <c r="S105" s="2595"/>
      <c r="T105" s="2595"/>
      <c r="U105" s="2595"/>
      <c r="V105" s="2595"/>
      <c r="W105" s="2595"/>
      <c r="X105" s="2595"/>
      <c r="Y105" s="2595"/>
      <c r="Z105" s="2595"/>
      <c r="AA105" s="2595"/>
      <c r="AB105" s="2596"/>
    </row>
    <row r="106" spans="2:46" ht="21" customHeight="1" thickBot="1" x14ac:dyDescent="0.35">
      <c r="B106" s="106" t="s">
        <v>471</v>
      </c>
      <c r="M106" s="180"/>
      <c r="N106" s="2676" t="str">
        <f>"(За дейностите, описани в таблиците, предвидени за учебни практики и курсови работи в учебния план.)"</f>
        <v>(За дейностите, описани в таблиците, предвидени за учебни практики и курсови работи в учебния план.)</v>
      </c>
      <c r="O106" s="2677"/>
      <c r="P106" s="2677"/>
      <c r="Q106" s="2677"/>
      <c r="R106" s="2677"/>
      <c r="S106" s="2677"/>
      <c r="T106" s="2677"/>
      <c r="U106" s="2677"/>
      <c r="V106" s="2677"/>
      <c r="W106" s="2677"/>
      <c r="X106" s="2677"/>
      <c r="Y106" s="2677"/>
      <c r="Z106" s="2677"/>
      <c r="AA106" s="2677"/>
      <c r="AB106" s="2678"/>
    </row>
    <row r="107" spans="2:46" s="42" customFormat="1" ht="21" thickBot="1" x14ac:dyDescent="0.35">
      <c r="B107" s="106" t="s">
        <v>413</v>
      </c>
      <c r="C107" s="36"/>
      <c r="D107" s="36"/>
      <c r="E107" s="36"/>
      <c r="F107" s="36"/>
      <c r="G107" s="36"/>
      <c r="N107" s="2684" t="s">
        <v>22</v>
      </c>
      <c r="O107" s="2584" t="s">
        <v>466</v>
      </c>
      <c r="P107" s="2587" t="s">
        <v>18</v>
      </c>
      <c r="Q107" s="2584" t="s">
        <v>19</v>
      </c>
      <c r="R107" s="2575" t="s">
        <v>20</v>
      </c>
      <c r="S107" s="2592" t="s">
        <v>562</v>
      </c>
      <c r="T107" s="2587" t="str">
        <f>T82</f>
        <v>Студенти
бр.</v>
      </c>
      <c r="U107" s="2604" t="s">
        <v>551</v>
      </c>
      <c r="V107" s="2605"/>
      <c r="W107" s="2606"/>
      <c r="X107" s="2575" t="s">
        <v>468</v>
      </c>
      <c r="Y107" s="2592" t="s">
        <v>309</v>
      </c>
      <c r="Z107" s="2584" t="s">
        <v>332</v>
      </c>
      <c r="AA107" s="2575"/>
      <c r="AB107" s="2587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</row>
    <row r="108" spans="2:46" s="42" customFormat="1" ht="26.25" thickBot="1" x14ac:dyDescent="0.35">
      <c r="B108" s="106" t="s">
        <v>414</v>
      </c>
      <c r="C108" s="2580" t="s">
        <v>568</v>
      </c>
      <c r="D108" s="2600"/>
      <c r="E108" s="2600"/>
      <c r="F108" s="2581"/>
      <c r="G108" s="2580" t="s">
        <v>313</v>
      </c>
      <c r="H108" s="2581"/>
      <c r="I108" s="2580" t="s">
        <v>310</v>
      </c>
      <c r="J108" s="2581"/>
      <c r="K108" s="2686" t="s">
        <v>336</v>
      </c>
      <c r="L108" s="2611"/>
      <c r="M108" s="2612"/>
      <c r="N108" s="2685"/>
      <c r="O108" s="2585"/>
      <c r="P108" s="2588"/>
      <c r="Q108" s="2585"/>
      <c r="R108" s="2576"/>
      <c r="S108" s="2593"/>
      <c r="T108" s="2588"/>
      <c r="U108" s="369" t="s">
        <v>550</v>
      </c>
      <c r="V108" s="370" t="s">
        <v>774</v>
      </c>
      <c r="W108" s="371" t="s">
        <v>775</v>
      </c>
      <c r="X108" s="2576"/>
      <c r="Y108" s="2593"/>
      <c r="Z108" s="220" t="s">
        <v>327</v>
      </c>
      <c r="AA108" s="221" t="s">
        <v>328</v>
      </c>
      <c r="AB108" s="222" t="s">
        <v>389</v>
      </c>
      <c r="AC108" s="2564" t="s">
        <v>7821</v>
      </c>
      <c r="AD108" s="2568"/>
      <c r="AE108" s="2568"/>
      <c r="AF108" s="2568"/>
      <c r="AG108" s="2565"/>
      <c r="AH108" s="2564" t="s">
        <v>9528</v>
      </c>
      <c r="AI108" s="2568"/>
      <c r="AJ108" s="2565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</row>
    <row r="109" spans="2:46" ht="21" hidden="1" thickBot="1" x14ac:dyDescent="0.35">
      <c r="B109" s="107" t="s">
        <v>419</v>
      </c>
      <c r="C109" s="380" t="s">
        <v>575</v>
      </c>
      <c r="D109" s="119" t="s">
        <v>894</v>
      </c>
      <c r="E109" s="119" t="s">
        <v>569</v>
      </c>
      <c r="F109" s="121" t="s">
        <v>616</v>
      </c>
      <c r="G109" s="122" t="s">
        <v>390</v>
      </c>
      <c r="H109" s="123" t="s">
        <v>335</v>
      </c>
      <c r="I109" s="122" t="s">
        <v>391</v>
      </c>
      <c r="J109" s="670" t="s">
        <v>333</v>
      </c>
      <c r="K109" s="119" t="s">
        <v>572</v>
      </c>
      <c r="L109" s="120" t="s">
        <v>387</v>
      </c>
      <c r="M109" s="681" t="s">
        <v>334</v>
      </c>
      <c r="N109" s="137" t="s">
        <v>22</v>
      </c>
      <c r="O109" s="1508" t="s">
        <v>416</v>
      </c>
      <c r="P109" s="1509" t="s">
        <v>18</v>
      </c>
      <c r="Q109" s="134" t="s">
        <v>19</v>
      </c>
      <c r="R109" s="134" t="s">
        <v>20</v>
      </c>
      <c r="S109" s="132" t="s">
        <v>620</v>
      </c>
      <c r="T109" s="205" t="s">
        <v>618</v>
      </c>
      <c r="U109" s="1434" t="s">
        <v>571</v>
      </c>
      <c r="V109" s="1435" t="s">
        <v>547</v>
      </c>
      <c r="W109" s="1501" t="s">
        <v>564</v>
      </c>
      <c r="X109" s="427" t="s">
        <v>621</v>
      </c>
      <c r="Y109" s="429" t="s">
        <v>330</v>
      </c>
      <c r="Z109" s="132" t="s">
        <v>327</v>
      </c>
      <c r="AA109" s="132" t="s">
        <v>86</v>
      </c>
      <c r="AB109" s="132" t="s">
        <v>329</v>
      </c>
      <c r="AC109" s="1742" t="s">
        <v>1093</v>
      </c>
      <c r="AD109" s="1742" t="s">
        <v>1094</v>
      </c>
      <c r="AE109" s="1742" t="s">
        <v>1095</v>
      </c>
      <c r="AF109" s="1743" t="s">
        <v>1097</v>
      </c>
      <c r="AG109" s="1742" t="s">
        <v>7735</v>
      </c>
      <c r="AH109" s="1744" t="s">
        <v>1092</v>
      </c>
      <c r="AI109" s="1742" t="s">
        <v>7736</v>
      </c>
      <c r="AJ109" s="1742" t="s">
        <v>7828</v>
      </c>
    </row>
    <row r="110" spans="2:46" x14ac:dyDescent="0.3">
      <c r="B110" s="236">
        <f t="shared" ref="B110:B119" si="7">N(B109)+1</f>
        <v>1</v>
      </c>
      <c r="C110" s="110">
        <f>IFERROR(MATCH(MPLS[[#This Row],[ВидПрактика]],T_УчПрактики[Практика и курсова работа],0),0)</f>
        <v>0</v>
      </c>
      <c r="D110" s="111" t="str" cm="1">
        <f t="array" ref="D110">IF(MPLS[[#This Row],[пВидПрактика]],INDEX(T_УчПрактики[Студенти],MPLS[[#This Row],[пВидПрактика]]),"-")</f>
        <v>-</v>
      </c>
      <c r="E110" s="111" t="str" cm="1">
        <f t="array" ref="E110">IF(MPLS[[#This Row],[пВидПрактика]],INDEX(T_УчПрактики[Група],MPLS[[#This Row],[пВидПрактика]])*2,"-")</f>
        <v>-</v>
      </c>
      <c r="F110" s="366" t="str" cm="1">
        <f t="array" ref="F110">IF(MPLS[[#This Row],[пВидПрактика]],INDEX(T_УчПрактики[Ден],MPLS[[#This Row],[пВидПрактика]])*4,"-")</f>
        <v>-</v>
      </c>
      <c r="G110" s="111">
        <f>IFERROR(AND(MPLS[[#This Row],[ТО]]&lt;&gt;0,MPLS[[#This Row],[ФормаОб]]=0)*1,0)</f>
        <v>0</v>
      </c>
      <c r="H110" s="110">
        <f>IFERROR(AND(MPLS[[#This Row],[Изпитани]]&lt;&gt;0,LEN(MPLS[[#This Row],[Изпитващ]])=0)*1,0)</f>
        <v>0</v>
      </c>
      <c r="I110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0" s="666">
        <f>IFERROR(VLOOKUP(MPLS[[#This Row],[ФормаОб]],тТО[[обФорма]:[Коеф.]],2,0),0)</f>
        <v>0</v>
      </c>
      <c r="K110" s="364" cm="1">
        <f t="array" ref="K110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0" s="365">
        <f>N(MPLS[[#This Row],[Изпитани]])*MPLS[[#This Row],[кИзпитващ]]</f>
        <v>0</v>
      </c>
      <c r="M110" s="682">
        <f>N(MPLS[[#This Row],[ТО]])*MPLS[[#This Row],[кTO]]</f>
        <v>0</v>
      </c>
      <c r="N110" s="1480"/>
      <c r="O110" s="1481"/>
      <c r="P110" s="1462"/>
      <c r="Q110" s="1061"/>
      <c r="R110" s="581"/>
      <c r="S110" s="1194"/>
      <c r="T110" s="1482"/>
      <c r="U110" s="1451"/>
      <c r="V110" s="1483"/>
      <c r="W110" s="1484"/>
      <c r="X110" s="1485"/>
      <c r="Y110" s="1486"/>
      <c r="Z110" s="245"/>
      <c r="AA110" s="1244"/>
      <c r="AB110" s="246"/>
      <c r="AC110" s="1143"/>
      <c r="AD110" s="1401"/>
      <c r="AE110" s="1401"/>
      <c r="AF110" s="1401"/>
      <c r="AG110" s="1401"/>
      <c r="AH110" s="1144">
        <f ca="1">N(OFFSET(MPLS[[#This Row],[|]],-1,0))+1</f>
        <v>1</v>
      </c>
      <c r="AI110" s="1685" t="str">
        <f>IF(MPLS[[#This Row],[уЧасове]],MPLS[[#This Row],[нацид|монСпециалностМП]],"")</f>
        <v/>
      </c>
      <c r="AJ110" s="1645">
        <f>SUM(MPLS[[#This Row],[чПрактика]:[чTO]],N(MPLS[[#This Row],[КР]])*кКурсова_работа)</f>
        <v>0</v>
      </c>
    </row>
    <row r="111" spans="2:46" x14ac:dyDescent="0.3">
      <c r="B111" s="236">
        <f t="shared" si="7"/>
        <v>2</v>
      </c>
      <c r="C111" s="110">
        <f>IFERROR(MATCH(MPLS[[#This Row],[ВидПрактика]],T_УчПрактики[Практика и курсова работа],0),0)</f>
        <v>0</v>
      </c>
      <c r="D111" s="111" t="str" cm="1">
        <f t="array" ref="D111">IF(MPLS[[#This Row],[пВидПрактика]],INDEX(T_УчПрактики[Студенти],MPLS[[#This Row],[пВидПрактика]]),"-")</f>
        <v>-</v>
      </c>
      <c r="E111" s="111" t="str" cm="1">
        <f t="array" ref="E111">IF(MPLS[[#This Row],[пВидПрактика]],INDEX(T_УчПрактики[Група],MPLS[[#This Row],[пВидПрактика]])*2,"-")</f>
        <v>-</v>
      </c>
      <c r="F111" s="358" t="str" cm="1">
        <f t="array" ref="F111">IF(MPLS[[#This Row],[пВидПрактика]],INDEX(T_УчПрактики[Ден],MPLS[[#This Row],[пВидПрактика]])*4,"-")</f>
        <v>-</v>
      </c>
      <c r="G111" s="111">
        <f>IFERROR(AND(MPLS[[#This Row],[ТО]]&lt;&gt;0,MPLS[[#This Row],[ФормаОб]]=0)*1,0)</f>
        <v>0</v>
      </c>
      <c r="H111" s="110">
        <f>IFERROR(AND(MPLS[[#This Row],[Изпитани]]&lt;&gt;0,LEN(MPLS[[#This Row],[Изпитващ]])=0)*1,0)</f>
        <v>0</v>
      </c>
      <c r="I111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1" s="666">
        <f>IFERROR(VLOOKUP(MPLS[[#This Row],[ФормаОб]],тТО[[обФорма]:[Коеф.]],2,0),0)</f>
        <v>0</v>
      </c>
      <c r="K111" s="356" cm="1">
        <f t="array" ref="K111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1" s="360">
        <f>N(MPLS[[#This Row],[Изпитани]])*MPLS[[#This Row],[кИзпитващ]]</f>
        <v>0</v>
      </c>
      <c r="M111" s="683">
        <f>N(MPLS[[#This Row],[ТО]])*MPLS[[#This Row],[кTO]]</f>
        <v>0</v>
      </c>
      <c r="N111" s="1487"/>
      <c r="O111" s="582"/>
      <c r="P111" s="1060"/>
      <c r="Q111" s="904"/>
      <c r="R111" s="558"/>
      <c r="S111" s="896"/>
      <c r="T111" s="1196"/>
      <c r="U111" s="551"/>
      <c r="V111" s="378"/>
      <c r="W111" s="376"/>
      <c r="X111" s="1058"/>
      <c r="Y111" s="1059"/>
      <c r="Z111" s="249"/>
      <c r="AA111" s="272"/>
      <c r="AB111" s="250"/>
      <c r="AC111" s="1143"/>
      <c r="AD111" s="1401"/>
      <c r="AE111" s="1401"/>
      <c r="AF111" s="1401"/>
      <c r="AG111" s="1401"/>
      <c r="AH111" s="1144">
        <f ca="1">N(OFFSET(MPLS[[#This Row],[|]],-1,0))+1</f>
        <v>2</v>
      </c>
      <c r="AI111" s="1685" t="str">
        <f>IF(MPLS[[#This Row],[уЧасове]],MPLS[[#This Row],[нацид|монСпециалностМП]],"")</f>
        <v/>
      </c>
      <c r="AJ111" s="1645">
        <f>SUM(MPLS[[#This Row],[чПрактика]:[чTO]],N(MPLS[[#This Row],[КР]])*кКурсова_работа)</f>
        <v>0</v>
      </c>
    </row>
    <row r="112" spans="2:46" x14ac:dyDescent="0.3">
      <c r="B112" s="236">
        <f t="shared" si="7"/>
        <v>3</v>
      </c>
      <c r="C112" s="110">
        <f>IFERROR(MATCH(MPLS[[#This Row],[ВидПрактика]],T_УчПрактики[Практика и курсова работа],0),0)</f>
        <v>0</v>
      </c>
      <c r="D112" s="111" t="str" cm="1">
        <f t="array" ref="D112">IF(MPLS[[#This Row],[пВидПрактика]],INDEX(T_УчПрактики[Студенти],MPLS[[#This Row],[пВидПрактика]]),"-")</f>
        <v>-</v>
      </c>
      <c r="E112" s="111" t="str" cm="1">
        <f t="array" ref="E112">IF(MPLS[[#This Row],[пВидПрактика]],INDEX(T_УчПрактики[Група],MPLS[[#This Row],[пВидПрактика]])*2,"-")</f>
        <v>-</v>
      </c>
      <c r="F112" s="358" t="str" cm="1">
        <f t="array" ref="F112">IF(MPLS[[#This Row],[пВидПрактика]],INDEX(T_УчПрактики[Ден],MPLS[[#This Row],[пВидПрактика]])*4,"-")</f>
        <v>-</v>
      </c>
      <c r="G112" s="111">
        <f>IFERROR(AND(MPLS[[#This Row],[ТО]]&lt;&gt;0,MPLS[[#This Row],[ФормаОб]]=0)*1,0)</f>
        <v>0</v>
      </c>
      <c r="H112" s="110">
        <f>IFERROR(AND(MPLS[[#This Row],[Изпитани]]&lt;&gt;0,LEN(MPLS[[#This Row],[Изпитващ]])=0)*1,0)</f>
        <v>0</v>
      </c>
      <c r="I112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2" s="666">
        <f>IFERROR(VLOOKUP(MPLS[[#This Row],[ФормаОб]],тТО[[обФорма]:[Коеф.]],2,0),0)</f>
        <v>0</v>
      </c>
      <c r="K112" s="356" cm="1">
        <f t="array" ref="K112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2" s="360">
        <f>N(MPLS[[#This Row],[Изпитани]])*MPLS[[#This Row],[кИзпитващ]]</f>
        <v>0</v>
      </c>
      <c r="M112" s="683">
        <f>N(MPLS[[#This Row],[ТО]])*MPLS[[#This Row],[кTO]]</f>
        <v>0</v>
      </c>
      <c r="N112" s="1487"/>
      <c r="O112" s="582"/>
      <c r="P112" s="1060"/>
      <c r="Q112" s="904"/>
      <c r="R112" s="558"/>
      <c r="S112" s="896"/>
      <c r="T112" s="1196"/>
      <c r="U112" s="551"/>
      <c r="V112" s="378"/>
      <c r="W112" s="376"/>
      <c r="X112" s="1058"/>
      <c r="Y112" s="1059"/>
      <c r="Z112" s="249"/>
      <c r="AA112" s="272"/>
      <c r="AB112" s="250"/>
      <c r="AC112" s="1143"/>
      <c r="AD112" s="1401"/>
      <c r="AE112" s="1401"/>
      <c r="AF112" s="1401"/>
      <c r="AG112" s="1401"/>
      <c r="AH112" s="1144">
        <f ca="1">N(OFFSET(MPLS[[#This Row],[|]],-1,0))+1</f>
        <v>3</v>
      </c>
      <c r="AI112" s="1685" t="str">
        <f>IF(MPLS[[#This Row],[уЧасове]],MPLS[[#This Row],[нацид|монСпециалностМП]],"")</f>
        <v/>
      </c>
      <c r="AJ112" s="1645">
        <f>SUM(MPLS[[#This Row],[чПрактика]:[чTO]],N(MPLS[[#This Row],[КР]])*кКурсова_работа)</f>
        <v>0</v>
      </c>
    </row>
    <row r="113" spans="2:46" x14ac:dyDescent="0.3">
      <c r="B113" s="236">
        <f t="shared" si="7"/>
        <v>4</v>
      </c>
      <c r="C113" s="110">
        <f>IFERROR(MATCH(MPLS[[#This Row],[ВидПрактика]],T_УчПрактики[Практика и курсова работа],0),0)</f>
        <v>0</v>
      </c>
      <c r="D113" s="111" t="str" cm="1">
        <f t="array" ref="D113">IF(MPLS[[#This Row],[пВидПрактика]],INDEX(T_УчПрактики[Студенти],MPLS[[#This Row],[пВидПрактика]]),"-")</f>
        <v>-</v>
      </c>
      <c r="E113" s="111" t="str" cm="1">
        <f t="array" ref="E113">IF(MPLS[[#This Row],[пВидПрактика]],INDEX(T_УчПрактики[Група],MPLS[[#This Row],[пВидПрактика]])*2,"-")</f>
        <v>-</v>
      </c>
      <c r="F113" s="358" t="str" cm="1">
        <f t="array" ref="F113">IF(MPLS[[#This Row],[пВидПрактика]],INDEX(T_УчПрактики[Ден],MPLS[[#This Row],[пВидПрактика]])*4,"-")</f>
        <v>-</v>
      </c>
      <c r="G113" s="111">
        <f>IFERROR(AND(MPLS[[#This Row],[ТО]]&lt;&gt;0,MPLS[[#This Row],[ФормаОб]]=0)*1,0)</f>
        <v>0</v>
      </c>
      <c r="H113" s="110">
        <f>IFERROR(AND(MPLS[[#This Row],[Изпитани]]&lt;&gt;0,LEN(MPLS[[#This Row],[Изпитващ]])=0)*1,0)</f>
        <v>0</v>
      </c>
      <c r="I113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3" s="666">
        <f>IFERROR(VLOOKUP(MPLS[[#This Row],[ФормаОб]],тТО[[обФорма]:[Коеф.]],2,0),0)</f>
        <v>0</v>
      </c>
      <c r="K113" s="356" cm="1">
        <f t="array" ref="K113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3" s="360">
        <f>N(MPLS[[#This Row],[Изпитани]])*MPLS[[#This Row],[кИзпитващ]]</f>
        <v>0</v>
      </c>
      <c r="M113" s="683">
        <f>N(MPLS[[#This Row],[ТО]])*MPLS[[#This Row],[кTO]]</f>
        <v>0</v>
      </c>
      <c r="N113" s="1487"/>
      <c r="O113" s="582"/>
      <c r="P113" s="1060"/>
      <c r="Q113" s="904"/>
      <c r="R113" s="558"/>
      <c r="S113" s="896"/>
      <c r="T113" s="1196"/>
      <c r="U113" s="551"/>
      <c r="V113" s="378"/>
      <c r="W113" s="376"/>
      <c r="X113" s="1058"/>
      <c r="Y113" s="1059"/>
      <c r="Z113" s="249"/>
      <c r="AA113" s="272"/>
      <c r="AB113" s="250"/>
      <c r="AC113" s="1143"/>
      <c r="AD113" s="1401"/>
      <c r="AE113" s="1401"/>
      <c r="AF113" s="1401"/>
      <c r="AG113" s="1401"/>
      <c r="AH113" s="1144">
        <f ca="1">N(OFFSET(MPLS[[#This Row],[|]],-1,0))+1</f>
        <v>4</v>
      </c>
      <c r="AI113" s="1685" t="str">
        <f>IF(MPLS[[#This Row],[уЧасове]],MPLS[[#This Row],[нацид|монСпециалностМП]],"")</f>
        <v/>
      </c>
      <c r="AJ113" s="1645">
        <f>SUM(MPLS[[#This Row],[чПрактика]:[чTO]],N(MPLS[[#This Row],[КР]])*кКурсова_работа)</f>
        <v>0</v>
      </c>
    </row>
    <row r="114" spans="2:46" x14ac:dyDescent="0.3">
      <c r="B114" s="236">
        <f t="shared" si="7"/>
        <v>5</v>
      </c>
      <c r="C114" s="110">
        <f>IFERROR(MATCH(MPLS[[#This Row],[ВидПрактика]],T_УчПрактики[Практика и курсова работа],0),0)</f>
        <v>0</v>
      </c>
      <c r="D114" s="111" t="str" cm="1">
        <f t="array" ref="D114">IF(MPLS[[#This Row],[пВидПрактика]],INDEX(T_УчПрактики[Студенти],MPLS[[#This Row],[пВидПрактика]]),"-")</f>
        <v>-</v>
      </c>
      <c r="E114" s="111" t="str" cm="1">
        <f t="array" ref="E114">IF(MPLS[[#This Row],[пВидПрактика]],INDEX(T_УчПрактики[Група],MPLS[[#This Row],[пВидПрактика]])*2,"-")</f>
        <v>-</v>
      </c>
      <c r="F114" s="358" t="str" cm="1">
        <f t="array" ref="F114">IF(MPLS[[#This Row],[пВидПрактика]],INDEX(T_УчПрактики[Ден],MPLS[[#This Row],[пВидПрактика]])*4,"-")</f>
        <v>-</v>
      </c>
      <c r="G114" s="111">
        <f>IFERROR(AND(MPLS[[#This Row],[ТО]]&lt;&gt;0,MPLS[[#This Row],[ФормаОб]]=0)*1,0)</f>
        <v>0</v>
      </c>
      <c r="H114" s="110">
        <f>IFERROR(AND(MPLS[[#This Row],[Изпитани]]&lt;&gt;0,LEN(MPLS[[#This Row],[Изпитващ]])=0)*1,0)</f>
        <v>0</v>
      </c>
      <c r="I114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4" s="666">
        <f>IFERROR(VLOOKUP(MPLS[[#This Row],[ФормаОб]],тТО[[обФорма]:[Коеф.]],2,0),0)</f>
        <v>0</v>
      </c>
      <c r="K114" s="356" cm="1">
        <f t="array" ref="K114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4" s="360">
        <f>N(MPLS[[#This Row],[Изпитани]])*MPLS[[#This Row],[кИзпитващ]]</f>
        <v>0</v>
      </c>
      <c r="M114" s="683">
        <f>N(MPLS[[#This Row],[ТО]])*MPLS[[#This Row],[кTO]]</f>
        <v>0</v>
      </c>
      <c r="N114" s="1487"/>
      <c r="O114" s="582"/>
      <c r="P114" s="1060"/>
      <c r="Q114" s="904"/>
      <c r="R114" s="558"/>
      <c r="S114" s="896"/>
      <c r="T114" s="1197"/>
      <c r="U114" s="551"/>
      <c r="V114" s="378"/>
      <c r="W114" s="376"/>
      <c r="X114" s="1058"/>
      <c r="Y114" s="1059"/>
      <c r="Z114" s="249"/>
      <c r="AA114" s="272"/>
      <c r="AB114" s="250"/>
      <c r="AC114" s="1143"/>
      <c r="AD114" s="1401"/>
      <c r="AE114" s="1401"/>
      <c r="AF114" s="1401"/>
      <c r="AG114" s="1401"/>
      <c r="AH114" s="1144">
        <f ca="1">N(OFFSET(MPLS[[#This Row],[|]],-1,0))+1</f>
        <v>5</v>
      </c>
      <c r="AI114" s="1685" t="str">
        <f>IF(MPLS[[#This Row],[уЧасове]],MPLS[[#This Row],[нацид|монСпециалностМП]],"")</f>
        <v/>
      </c>
      <c r="AJ114" s="1645">
        <f>SUM(MPLS[[#This Row],[чПрактика]:[чTO]],N(MPLS[[#This Row],[КР]])*кКурсова_работа)</f>
        <v>0</v>
      </c>
    </row>
    <row r="115" spans="2:46" s="42" customFormat="1" x14ac:dyDescent="0.3">
      <c r="B115" s="236">
        <f t="shared" si="7"/>
        <v>6</v>
      </c>
      <c r="C115" s="110">
        <f>IFERROR(MATCH(MPLS[[#This Row],[ВидПрактика]],T_УчПрактики[Практика и курсова работа],0),0)</f>
        <v>0</v>
      </c>
      <c r="D115" s="111" t="str" cm="1">
        <f t="array" ref="D115">IF(MPLS[[#This Row],[пВидПрактика]],INDEX(T_УчПрактики[Студенти],MPLS[[#This Row],[пВидПрактика]]),"-")</f>
        <v>-</v>
      </c>
      <c r="E115" s="111" t="str" cm="1">
        <f t="array" ref="E115">IF(MPLS[[#This Row],[пВидПрактика]],INDEX(T_УчПрактики[Група],MPLS[[#This Row],[пВидПрактика]])*2,"-")</f>
        <v>-</v>
      </c>
      <c r="F115" s="358" t="str" cm="1">
        <f t="array" ref="F115">IF(MPLS[[#This Row],[пВидПрактика]],INDEX(T_УчПрактики[Ден],MPLS[[#This Row],[пВидПрактика]])*4,"-")</f>
        <v>-</v>
      </c>
      <c r="G115" s="111">
        <f>IFERROR(AND(MPLS[[#This Row],[ТО]]&lt;&gt;0,MPLS[[#This Row],[ФормаОб]]=0)*1,0)</f>
        <v>0</v>
      </c>
      <c r="H115" s="110">
        <f>IFERROR(AND(MPLS[[#This Row],[Изпитани]]&lt;&gt;0,LEN(MPLS[[#This Row],[Изпитващ]])=0)*1,0)</f>
        <v>0</v>
      </c>
      <c r="I115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5" s="666">
        <f>IFERROR(VLOOKUP(MPLS[[#This Row],[ФормаОб]],тТО[[обФорма]:[Коеф.]],2,0),0)</f>
        <v>0</v>
      </c>
      <c r="K115" s="356" cm="1">
        <f t="array" ref="K115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5" s="360">
        <f>N(MPLS[[#This Row],[Изпитани]])*MPLS[[#This Row],[кИзпитващ]]</f>
        <v>0</v>
      </c>
      <c r="M115" s="683">
        <f>N(MPLS[[#This Row],[ТО]])*MPLS[[#This Row],[кTO]]</f>
        <v>0</v>
      </c>
      <c r="N115" s="1487"/>
      <c r="O115" s="582"/>
      <c r="P115" s="1060"/>
      <c r="Q115" s="904"/>
      <c r="R115" s="558"/>
      <c r="S115" s="896"/>
      <c r="T115" s="1197"/>
      <c r="U115" s="551"/>
      <c r="V115" s="378"/>
      <c r="W115" s="376"/>
      <c r="X115" s="1058"/>
      <c r="Y115" s="1059"/>
      <c r="Z115" s="249"/>
      <c r="AA115" s="272"/>
      <c r="AB115" s="250"/>
      <c r="AC115" s="1143"/>
      <c r="AD115" s="1401"/>
      <c r="AE115" s="1401"/>
      <c r="AF115" s="1401"/>
      <c r="AG115" s="1401"/>
      <c r="AH115" s="1144">
        <f ca="1">N(OFFSET(MPLS[[#This Row],[|]],-1,0))+1</f>
        <v>6</v>
      </c>
      <c r="AI115" s="1685" t="str">
        <f>IF(MPLS[[#This Row],[уЧасове]],MPLS[[#This Row],[нацид|монСпециалностМП]],"")</f>
        <v/>
      </c>
      <c r="AJ115" s="1645">
        <f>SUM(MPLS[[#This Row],[чПрактика]:[чTO]],N(MPLS[[#This Row],[КР]])*кКурсова_работа)</f>
        <v>0</v>
      </c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</row>
    <row r="116" spans="2:46" s="42" customFormat="1" x14ac:dyDescent="0.3">
      <c r="B116" s="236">
        <f t="shared" si="7"/>
        <v>7</v>
      </c>
      <c r="C116" s="110">
        <f>IFERROR(MATCH(MPLS[[#This Row],[ВидПрактика]],T_УчПрактики[Практика и курсова работа],0),0)</f>
        <v>0</v>
      </c>
      <c r="D116" s="111" t="str" cm="1">
        <f t="array" ref="D116">IF(MPLS[[#This Row],[пВидПрактика]],INDEX(T_УчПрактики[Студенти],MPLS[[#This Row],[пВидПрактика]]),"-")</f>
        <v>-</v>
      </c>
      <c r="E116" s="111" t="str" cm="1">
        <f t="array" ref="E116">IF(MPLS[[#This Row],[пВидПрактика]],INDEX(T_УчПрактики[Група],MPLS[[#This Row],[пВидПрактика]])*2,"-")</f>
        <v>-</v>
      </c>
      <c r="F116" s="358" t="str" cm="1">
        <f t="array" ref="F116">IF(MPLS[[#This Row],[пВидПрактика]],INDEX(T_УчПрактики[Ден],MPLS[[#This Row],[пВидПрактика]])*4,"-")</f>
        <v>-</v>
      </c>
      <c r="G116" s="111">
        <f>IFERROR(AND(MPLS[[#This Row],[ТО]]&lt;&gt;0,MPLS[[#This Row],[ФормаОб]]=0)*1,0)</f>
        <v>0</v>
      </c>
      <c r="H116" s="110">
        <f>IFERROR(AND(MPLS[[#This Row],[Изпитани]]&lt;&gt;0,LEN(MPLS[[#This Row],[Изпитващ]])=0)*1,0)</f>
        <v>0</v>
      </c>
      <c r="I116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6" s="666">
        <f>IFERROR(VLOOKUP(MPLS[[#This Row],[ФормаОб]],тТО[[обФорма]:[Коеф.]],2,0),0)</f>
        <v>0</v>
      </c>
      <c r="K116" s="356" cm="1">
        <f t="array" ref="K116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6" s="360">
        <f>N(MPLS[[#This Row],[Изпитани]])*MPLS[[#This Row],[кИзпитващ]]</f>
        <v>0</v>
      </c>
      <c r="M116" s="683">
        <f>N(MPLS[[#This Row],[ТО]])*MPLS[[#This Row],[кTO]]</f>
        <v>0</v>
      </c>
      <c r="N116" s="1487"/>
      <c r="O116" s="582"/>
      <c r="P116" s="1060"/>
      <c r="Q116" s="904"/>
      <c r="R116" s="558"/>
      <c r="S116" s="896"/>
      <c r="T116" s="1197"/>
      <c r="U116" s="551"/>
      <c r="V116" s="378"/>
      <c r="W116" s="376"/>
      <c r="X116" s="1058"/>
      <c r="Y116" s="1059"/>
      <c r="Z116" s="249"/>
      <c r="AA116" s="272"/>
      <c r="AB116" s="250"/>
      <c r="AC116" s="1143"/>
      <c r="AD116" s="1401"/>
      <c r="AE116" s="1401"/>
      <c r="AF116" s="1401"/>
      <c r="AG116" s="1401"/>
      <c r="AH116" s="1144">
        <f ca="1">N(OFFSET(MPLS[[#This Row],[|]],-1,0))+1</f>
        <v>7</v>
      </c>
      <c r="AI116" s="1685" t="str">
        <f>IF(MPLS[[#This Row],[уЧасове]],MPLS[[#This Row],[нацид|монСпециалностМП]],"")</f>
        <v/>
      </c>
      <c r="AJ116" s="1645">
        <f>SUM(MPLS[[#This Row],[чПрактика]:[чTO]],N(MPLS[[#This Row],[КР]])*кКурсова_работа)</f>
        <v>0</v>
      </c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</row>
    <row r="117" spans="2:46" s="42" customFormat="1" x14ac:dyDescent="0.3">
      <c r="B117" s="236">
        <f t="shared" si="7"/>
        <v>8</v>
      </c>
      <c r="C117" s="110">
        <f>IFERROR(MATCH(MPLS[[#This Row],[ВидПрактика]],T_УчПрактики[Практика и курсова работа],0),0)</f>
        <v>0</v>
      </c>
      <c r="D117" s="111" t="str" cm="1">
        <f t="array" ref="D117">IF(MPLS[[#This Row],[пВидПрактика]],INDEX(T_УчПрактики[Студенти],MPLS[[#This Row],[пВидПрактика]]),"-")</f>
        <v>-</v>
      </c>
      <c r="E117" s="111" t="str" cm="1">
        <f t="array" ref="E117">IF(MPLS[[#This Row],[пВидПрактика]],INDEX(T_УчПрактики[Група],MPLS[[#This Row],[пВидПрактика]])*2,"-")</f>
        <v>-</v>
      </c>
      <c r="F117" s="358" t="str" cm="1">
        <f t="array" ref="F117">IF(MPLS[[#This Row],[пВидПрактика]],INDEX(T_УчПрактики[Ден],MPLS[[#This Row],[пВидПрактика]])*4,"-")</f>
        <v>-</v>
      </c>
      <c r="G117" s="111">
        <f>IFERROR(AND(MPLS[[#This Row],[ТО]]&lt;&gt;0,MPLS[[#This Row],[ФормаОб]]=0)*1,0)</f>
        <v>0</v>
      </c>
      <c r="H117" s="110">
        <f>IFERROR(AND(MPLS[[#This Row],[Изпитани]]&lt;&gt;0,LEN(MPLS[[#This Row],[Изпитващ]])=0)*1,0)</f>
        <v>0</v>
      </c>
      <c r="I117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7" s="666">
        <f>IFERROR(VLOOKUP(MPLS[[#This Row],[ФормаОб]],тТО[[обФорма]:[Коеф.]],2,0),0)</f>
        <v>0</v>
      </c>
      <c r="K117" s="356" cm="1">
        <f t="array" ref="K117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7" s="360">
        <f>N(MPLS[[#This Row],[Изпитани]])*MPLS[[#This Row],[кИзпитващ]]</f>
        <v>0</v>
      </c>
      <c r="M117" s="683">
        <f>N(MPLS[[#This Row],[ТО]])*MPLS[[#This Row],[кTO]]</f>
        <v>0</v>
      </c>
      <c r="N117" s="1487"/>
      <c r="O117" s="582"/>
      <c r="P117" s="1060"/>
      <c r="Q117" s="904"/>
      <c r="R117" s="558"/>
      <c r="S117" s="896"/>
      <c r="T117" s="1197"/>
      <c r="U117" s="551"/>
      <c r="V117" s="378"/>
      <c r="W117" s="376"/>
      <c r="X117" s="1058"/>
      <c r="Y117" s="1059"/>
      <c r="Z117" s="249"/>
      <c r="AA117" s="272"/>
      <c r="AB117" s="250"/>
      <c r="AC117" s="1143"/>
      <c r="AD117" s="1401"/>
      <c r="AE117" s="1401"/>
      <c r="AF117" s="1401"/>
      <c r="AG117" s="1401"/>
      <c r="AH117" s="1144">
        <f ca="1">N(OFFSET(MPLS[[#This Row],[|]],-1,0))+1</f>
        <v>8</v>
      </c>
      <c r="AI117" s="1685" t="str">
        <f>IF(MPLS[[#This Row],[уЧасове]],MPLS[[#This Row],[нацид|монСпециалностМП]],"")</f>
        <v/>
      </c>
      <c r="AJ117" s="1645">
        <f>SUM(MPLS[[#This Row],[чПрактика]:[чTO]],N(MPLS[[#This Row],[КР]])*кКурсова_работа)</f>
        <v>0</v>
      </c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</row>
    <row r="118" spans="2:46" s="42" customFormat="1" x14ac:dyDescent="0.3">
      <c r="B118" s="236">
        <f t="shared" si="7"/>
        <v>9</v>
      </c>
      <c r="C118" s="110">
        <f>IFERROR(MATCH(MPLS[[#This Row],[ВидПрактика]],T_УчПрактики[Практика и курсова работа],0),0)</f>
        <v>0</v>
      </c>
      <c r="D118" s="111" t="str" cm="1">
        <f t="array" ref="D118">IF(MPLS[[#This Row],[пВидПрактика]],INDEX(T_УчПрактики[Студенти],MPLS[[#This Row],[пВидПрактика]]),"-")</f>
        <v>-</v>
      </c>
      <c r="E118" s="111" t="str" cm="1">
        <f t="array" ref="E118">IF(MPLS[[#This Row],[пВидПрактика]],INDEX(T_УчПрактики[Група],MPLS[[#This Row],[пВидПрактика]])*2,"-")</f>
        <v>-</v>
      </c>
      <c r="F118" s="358" t="str" cm="1">
        <f t="array" ref="F118">IF(MPLS[[#This Row],[пВидПрактика]],INDEX(T_УчПрактики[Ден],MPLS[[#This Row],[пВидПрактика]])*4,"-")</f>
        <v>-</v>
      </c>
      <c r="G118" s="111">
        <f>IFERROR(AND(MPLS[[#This Row],[ТО]]&lt;&gt;0,MPLS[[#This Row],[ФормаОб]]=0)*1,0)</f>
        <v>0</v>
      </c>
      <c r="H118" s="110">
        <f>IFERROR(AND(MPLS[[#This Row],[Изпитани]]&lt;&gt;0,LEN(MPLS[[#This Row],[Изпитващ]])=0)*1,0)</f>
        <v>0</v>
      </c>
      <c r="I118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8" s="666">
        <f>IFERROR(VLOOKUP(MPLS[[#This Row],[ФормаОб]],тТО[[обФорма]:[Коеф.]],2,0),0)</f>
        <v>0</v>
      </c>
      <c r="K118" s="356" cm="1">
        <f t="array" ref="K118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8" s="360">
        <f>N(MPLS[[#This Row],[Изпитани]])*MPLS[[#This Row],[кИзпитващ]]</f>
        <v>0</v>
      </c>
      <c r="M118" s="683">
        <f>N(MPLS[[#This Row],[ТО]])*MPLS[[#This Row],[кTO]]</f>
        <v>0</v>
      </c>
      <c r="N118" s="1487"/>
      <c r="O118" s="582"/>
      <c r="P118" s="1060"/>
      <c r="Q118" s="904"/>
      <c r="R118" s="558"/>
      <c r="S118" s="896"/>
      <c r="T118" s="1197"/>
      <c r="U118" s="551"/>
      <c r="V118" s="378"/>
      <c r="W118" s="376"/>
      <c r="X118" s="1058"/>
      <c r="Y118" s="1059"/>
      <c r="Z118" s="249"/>
      <c r="AA118" s="272"/>
      <c r="AB118" s="250"/>
      <c r="AC118" s="1143"/>
      <c r="AD118" s="1401"/>
      <c r="AE118" s="1401"/>
      <c r="AF118" s="1401"/>
      <c r="AG118" s="1401"/>
      <c r="AH118" s="1144">
        <f ca="1">N(OFFSET(MPLS[[#This Row],[|]],-1,0))+1</f>
        <v>9</v>
      </c>
      <c r="AI118" s="1685" t="str">
        <f>IF(MPLS[[#This Row],[уЧасове]],MPLS[[#This Row],[нацид|монСпециалностМП]],"")</f>
        <v/>
      </c>
      <c r="AJ118" s="1645">
        <f>SUM(MPLS[[#This Row],[чПрактика]:[чTO]],N(MPLS[[#This Row],[КР]])*кКурсова_работа)</f>
        <v>0</v>
      </c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</row>
    <row r="119" spans="2:46" s="42" customFormat="1" ht="17.25" thickBot="1" x14ac:dyDescent="0.35">
      <c r="B119" s="236">
        <f t="shared" si="7"/>
        <v>10</v>
      </c>
      <c r="C119" s="261">
        <f>IFERROR(MATCH(MPLS[[#This Row],[ВидПрактика]],T_УчПрактики[Практика и курсова работа],0),0)</f>
        <v>0</v>
      </c>
      <c r="D119" s="260" t="str" cm="1">
        <f t="array" ref="D119">IF(MPLS[[#This Row],[пВидПрактика]],INDEX(T_УчПрактики[Студенти],MPLS[[#This Row],[пВидПрактика]]),"-")</f>
        <v>-</v>
      </c>
      <c r="E119" s="260" t="str" cm="1">
        <f t="array" ref="E119">IF(MPLS[[#This Row],[пВидПрактика]],INDEX(T_УчПрактики[Група],MPLS[[#This Row],[пВидПрактика]])*2,"-")</f>
        <v>-</v>
      </c>
      <c r="F119" s="359" t="str" cm="1">
        <f t="array" ref="F119">IF(MPLS[[#This Row],[пВидПрактика]],INDEX(T_УчПрактики[Ден],MPLS[[#This Row],[пВидПрактика]])*4,"-")</f>
        <v>-</v>
      </c>
      <c r="G119" s="111">
        <f>IFERROR(AND(MPLS[[#This Row],[ТО]]&lt;&gt;0,MPLS[[#This Row],[ФормаОб]]=0)*1,0)</f>
        <v>0</v>
      </c>
      <c r="H119" s="110">
        <f>IFERROR(AND(MPLS[[#This Row],[Изпитани]]&lt;&gt;0,LEN(MPLS[[#This Row],[Изпитващ]])=0)*1,0)</f>
        <v>0</v>
      </c>
      <c r="I119" s="111">
        <f>IFERROR(IF(AND(COUNTIF(nФакултетОтчет,"*математика*"),MPLS[[#This Row],[ФормаОц]]="КИ"),0.9,IF(T(MPLS[[#This Row],[Изпитващ]])="",0,VLOOKUP(MPLS[[#This Row],[Изпитващ]],ТвидИзпитващ[[видИзпитващ]:[Коеф.]],2,0))),0)</f>
        <v>0</v>
      </c>
      <c r="J119" s="666">
        <f>IFERROR(VLOOKUP(MPLS[[#This Row],[ФормаОб]],тТО[[обФорма]:[Коеф.]],2,0),0)</f>
        <v>0</v>
      </c>
      <c r="K119" s="357" cm="1">
        <f t="array" ref="K119">IFERROR(IF(MPLS[[#This Row],[пВидПрактика]]&gt;0,INDEX(T_Практики[Час],MPLS[[#This Row],[пВидПрактика]])*CHOOSE(SUM(MPLS[[#This Row],[уфСтуденти]:[уфДен]])+1,0,0,N(MPLS[[#This Row],[Група]]),,N(MPLS[[#This Row],[Ден]]),N(MPLS[[#This Row],[Студенти]])*N(MPLS[[#This Row],[Ден]]),N(MPLS[[#This Row],[Група]])*N(MPLS[[#This Row],[Ден]])),0),0)</f>
        <v>0</v>
      </c>
      <c r="L119" s="361">
        <f>N(MPLS[[#This Row],[Изпитани]])*MPLS[[#This Row],[кИзпитващ]]</f>
        <v>0</v>
      </c>
      <c r="M119" s="684">
        <f>N(MPLS[[#This Row],[ТО]])*MPLS[[#This Row],[кTO]]</f>
        <v>0</v>
      </c>
      <c r="N119" s="1488"/>
      <c r="O119" s="1489"/>
      <c r="P119" s="1490"/>
      <c r="Q119" s="905"/>
      <c r="R119" s="578"/>
      <c r="S119" s="906"/>
      <c r="T119" s="1491"/>
      <c r="U119" s="552"/>
      <c r="V119" s="379"/>
      <c r="W119" s="377"/>
      <c r="X119" s="1492"/>
      <c r="Y119" s="1493"/>
      <c r="Z119" s="252"/>
      <c r="AA119" s="1245"/>
      <c r="AB119" s="253"/>
      <c r="AC119" s="1143"/>
      <c r="AD119" s="1401"/>
      <c r="AE119" s="1401"/>
      <c r="AF119" s="1401"/>
      <c r="AG119" s="1401"/>
      <c r="AH119" s="1145">
        <f ca="1">N(OFFSET(MPLS[[#This Row],[|]],-1,0))+1</f>
        <v>10</v>
      </c>
      <c r="AI119" s="1685" t="str">
        <f>IF(MPLS[[#This Row],[уЧасове]],MPLS[[#This Row],[нацид|монСпециалностМП]],"")</f>
        <v/>
      </c>
      <c r="AJ119" s="1645">
        <f>SUM(MPLS[[#This Row],[чПрактика]:[чTO]],N(MPLS[[#This Row],[КР]])*кКурсова_работа)</f>
        <v>0</v>
      </c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</row>
    <row r="120" spans="2:46" s="49" customFormat="1" ht="9.9499999999999993" customHeight="1" x14ac:dyDescent="0.25">
      <c r="B120" s="107" t="s">
        <v>412</v>
      </c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AC120" s="1754"/>
      <c r="AD120" s="1754"/>
      <c r="AE120" s="1754"/>
      <c r="AF120" s="1754"/>
      <c r="AG120" s="1754"/>
      <c r="AH120" s="1754"/>
      <c r="AI120" s="1754"/>
      <c r="AJ120" s="1754"/>
      <c r="AK120" s="1754"/>
      <c r="AL120" s="1754"/>
      <c r="AM120" s="1754"/>
      <c r="AN120" s="1754"/>
      <c r="AO120" s="1754"/>
      <c r="AP120" s="1754"/>
      <c r="AQ120" s="1754"/>
      <c r="AR120" s="1754"/>
      <c r="AS120" s="1754"/>
      <c r="AT120" s="1754"/>
    </row>
    <row r="121" spans="2:46" ht="27.75" thickBot="1" x14ac:dyDescent="0.35">
      <c r="B121" s="105" t="s">
        <v>415</v>
      </c>
      <c r="M121" s="99" t="str">
        <f>IF($M$79,3,"2.3")</f>
        <v>2.3</v>
      </c>
      <c r="N121" s="2710" t="str">
        <f>M121&amp;". ОКС ""магистър"" след придобита ОКС – дипломиране – ЛЕТЕН семестър"</f>
        <v>2.3. ОКС "магистър" след придобита ОКС – дипломиране – ЛЕТЕН семестър</v>
      </c>
      <c r="O121" s="2711"/>
      <c r="P121" s="2711"/>
      <c r="Q121" s="2711"/>
      <c r="R121" s="2711"/>
      <c r="S121" s="2712"/>
    </row>
    <row r="122" spans="2:46" ht="21" thickBot="1" x14ac:dyDescent="0.35">
      <c r="B122" s="106" t="s">
        <v>413</v>
      </c>
      <c r="N122" s="2679" t="s">
        <v>416</v>
      </c>
      <c r="O122" s="2708" t="s">
        <v>18</v>
      </c>
      <c r="P122" s="2575" t="s">
        <v>562</v>
      </c>
      <c r="Q122" s="2648" t="s">
        <v>332</v>
      </c>
      <c r="R122" s="2649"/>
      <c r="S122" s="2650"/>
    </row>
    <row r="123" spans="2:46" ht="27.75" customHeight="1" thickBot="1" x14ac:dyDescent="0.35">
      <c r="B123" s="106" t="s">
        <v>414</v>
      </c>
      <c r="H123" s="2572" t="s">
        <v>310</v>
      </c>
      <c r="I123" s="2573"/>
      <c r="J123" s="2573"/>
      <c r="K123" s="2569" t="s">
        <v>336</v>
      </c>
      <c r="L123" s="2570"/>
      <c r="M123" s="2571"/>
      <c r="N123" s="2680"/>
      <c r="O123" s="2709"/>
      <c r="P123" s="2576"/>
      <c r="Q123" s="224" t="s">
        <v>392</v>
      </c>
      <c r="R123" s="225" t="s">
        <v>393</v>
      </c>
      <c r="S123" s="226" t="s">
        <v>394</v>
      </c>
      <c r="AF123" s="2564" t="s">
        <v>1000</v>
      </c>
      <c r="AG123" s="2565"/>
      <c r="AH123" s="2564" t="s">
        <v>9528</v>
      </c>
      <c r="AI123" s="2568"/>
      <c r="AJ123" s="2565"/>
    </row>
    <row r="124" spans="2:46" ht="21" hidden="1" thickBot="1" x14ac:dyDescent="0.35">
      <c r="B124" s="106" t="s">
        <v>419</v>
      </c>
      <c r="H124" s="1239" t="s">
        <v>7825</v>
      </c>
      <c r="I124" s="1240" t="s">
        <v>7826</v>
      </c>
      <c r="J124" s="1193" t="s">
        <v>7827</v>
      </c>
      <c r="K124" s="1239" t="s">
        <v>995</v>
      </c>
      <c r="L124" s="1240" t="s">
        <v>7823</v>
      </c>
      <c r="M124" s="205" t="s">
        <v>7824</v>
      </c>
      <c r="N124" s="132" t="s">
        <v>416</v>
      </c>
      <c r="O124" s="132" t="s">
        <v>18</v>
      </c>
      <c r="P124" s="1240" t="s">
        <v>620</v>
      </c>
      <c r="Q124" s="137" t="s">
        <v>358</v>
      </c>
      <c r="R124" s="132" t="s">
        <v>393</v>
      </c>
      <c r="S124" s="138" t="s">
        <v>619</v>
      </c>
      <c r="AF124" s="1763" t="s">
        <v>12873</v>
      </c>
      <c r="AG124" s="1764" t="s">
        <v>7735</v>
      </c>
      <c r="AH124" s="1748" t="s">
        <v>1092</v>
      </c>
      <c r="AI124" s="1749" t="s">
        <v>7736</v>
      </c>
      <c r="AJ124" s="1750" t="s">
        <v>7828</v>
      </c>
    </row>
    <row r="125" spans="2:46" s="42" customFormat="1" x14ac:dyDescent="0.3">
      <c r="B125" s="236">
        <f>N(B124)+1</f>
        <v>1</v>
      </c>
      <c r="H125" s="1902">
        <f t="shared" ref="H125:H132" si="8">кДипломна_работа</f>
        <v>30</v>
      </c>
      <c r="I125" s="1902">
        <f t="shared" ref="I125:I132" si="9">кРецензия</f>
        <v>5</v>
      </c>
      <c r="J125" s="1902">
        <f t="shared" ref="J125:J132" si="10">кДИ_защита</f>
        <v>0.8</v>
      </c>
      <c r="K125" s="1896">
        <f>MDiplomiraneLS[[#This Row],[кДР]]*N(MDiplomiraneLS[[#This Row],[ДР]])</f>
        <v>0</v>
      </c>
      <c r="L125" s="1897">
        <f>MDiplomiraneLS[[#This Row],[кРецензии]]*N(MDiplomiraneLS[[#This Row],[Рецензии]])</f>
        <v>0</v>
      </c>
      <c r="M125" s="1898">
        <f>MDiplomiraneLS[[#This Row],[кИ/ДИ/З]]*N(MDiplomiraneLS[[#This Row],[И/ДИ/З]])</f>
        <v>0</v>
      </c>
      <c r="N125" s="1646"/>
      <c r="O125" s="1680"/>
      <c r="P125" s="1683"/>
      <c r="Q125" s="1502"/>
      <c r="R125" s="1503"/>
      <c r="S125" s="1504"/>
      <c r="AC125" s="234"/>
      <c r="AD125" s="234"/>
      <c r="AE125" s="234"/>
      <c r="AF125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25" s="1893" t="str">
        <f>IFERROR(VLOOKUP(MDiplomiraneLS1[[#This Row],[СпециалностМП]],EducPlans_кодНАЦИД_Спец[[кодСпецДР]:[кодНАЦИД]],3,0),"")</f>
        <v/>
      </c>
      <c r="AH125" s="1690">
        <f ca="1">N(OFFSET(MDiplomiraneLS1[[#This Row],[|]],-1,0))+1</f>
        <v>1</v>
      </c>
      <c r="AI125" s="1691" t="str">
        <f>IF(MDiplomiraneLS1[[#This Row],[уЧасове]],MDiplomiraneLS1[[#This Row],[нацид|монСпециалностМП]],"")</f>
        <v/>
      </c>
      <c r="AJ125" s="1692">
        <f>SUM(MDiplomiraneLS[[#This Row],[чДР]:[чИ/ДИ/З]])</f>
        <v>0</v>
      </c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</row>
    <row r="126" spans="2:46" s="42" customFormat="1" x14ac:dyDescent="0.3">
      <c r="B126" s="236">
        <f>N(B125)+1</f>
        <v>2</v>
      </c>
      <c r="H126" s="1902">
        <f t="shared" si="8"/>
        <v>30</v>
      </c>
      <c r="I126" s="1902">
        <f t="shared" si="9"/>
        <v>5</v>
      </c>
      <c r="J126" s="1902">
        <f t="shared" si="10"/>
        <v>0.8</v>
      </c>
      <c r="K126" s="1896">
        <f>MDiplomiraneLS[[#This Row],[кДР]]*N(MDiplomiraneLS[[#This Row],[ДР]])</f>
        <v>0</v>
      </c>
      <c r="L126" s="1897">
        <f>MDiplomiraneLS[[#This Row],[кРецензии]]*N(MDiplomiraneLS[[#This Row],[Рецензии]])</f>
        <v>0</v>
      </c>
      <c r="M126" s="1898">
        <f>MDiplomiraneLS[[#This Row],[кИ/ДИ/З]]*N(MDiplomiraneLS[[#This Row],[И/ДИ/З]])</f>
        <v>0</v>
      </c>
      <c r="N126" s="583"/>
      <c r="O126" s="1681"/>
      <c r="P126" s="1683"/>
      <c r="Q126" s="1370"/>
      <c r="R126" s="1371"/>
      <c r="S126" s="1372"/>
      <c r="AC126" s="234"/>
      <c r="AD126" s="234"/>
      <c r="AE126" s="234"/>
      <c r="AF126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26" s="1893" t="str">
        <f>IFERROR(VLOOKUP(MDiplomiraneLS1[[#This Row],[СпециалностМП]],EducPlans_кодНАЦИД_Спец[[кодСпецДР]:[кодНАЦИД]],3,0),"")</f>
        <v/>
      </c>
      <c r="AH126" s="1690">
        <f ca="1">N(OFFSET(MDiplomiraneLS1[[#This Row],[|]],-1,0))+1</f>
        <v>2</v>
      </c>
      <c r="AI126" s="1691" t="str">
        <f>IF(MDiplomiraneLS1[[#This Row],[уЧасове]],MDiplomiraneLS1[[#This Row],[нацид|монСпециалностМП]],"")</f>
        <v/>
      </c>
      <c r="AJ126" s="1692">
        <f>SUM(MDiplomiraneLS[[#This Row],[чДР]:[чИ/ДИ/З]])</f>
        <v>0</v>
      </c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</row>
    <row r="127" spans="2:46" s="42" customFormat="1" x14ac:dyDescent="0.3">
      <c r="B127" s="236">
        <f t="shared" ref="B127:B132" si="11">N(B126)+1</f>
        <v>3</v>
      </c>
      <c r="H127" s="1902">
        <f t="shared" si="8"/>
        <v>30</v>
      </c>
      <c r="I127" s="1902">
        <f t="shared" si="9"/>
        <v>5</v>
      </c>
      <c r="J127" s="1902">
        <f t="shared" si="10"/>
        <v>0.8</v>
      </c>
      <c r="K127" s="1896">
        <f>MDiplomiraneLS[[#This Row],[кДР]]*N(MDiplomiraneLS[[#This Row],[ДР]])</f>
        <v>0</v>
      </c>
      <c r="L127" s="1897">
        <f>MDiplomiraneLS[[#This Row],[кРецензии]]*N(MDiplomiraneLS[[#This Row],[Рецензии]])</f>
        <v>0</v>
      </c>
      <c r="M127" s="1898">
        <f>MDiplomiraneLS[[#This Row],[кИ/ДИ/З]]*N(MDiplomiraneLS[[#This Row],[И/ДИ/З]])</f>
        <v>0</v>
      </c>
      <c r="N127" s="555"/>
      <c r="O127" s="903"/>
      <c r="P127" s="1683"/>
      <c r="Q127" s="1373"/>
      <c r="R127" s="1268"/>
      <c r="S127" s="1374"/>
      <c r="AC127" s="234"/>
      <c r="AD127" s="234"/>
      <c r="AE127" s="234"/>
      <c r="AF127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27" s="1893" t="str">
        <f>IFERROR(VLOOKUP(MDiplomiraneLS1[[#This Row],[СпециалностМП]],EducPlans_кодНАЦИД_Спец[[кодСпецДР]:[кодНАЦИД]],3,0),"")</f>
        <v/>
      </c>
      <c r="AH127" s="1690">
        <f ca="1">N(OFFSET(MDiplomiraneLS1[[#This Row],[|]],-1,0))+1</f>
        <v>3</v>
      </c>
      <c r="AI127" s="1691" t="str">
        <f>IF(MDiplomiraneLS1[[#This Row],[уЧасове]],MDiplomiraneLS1[[#This Row],[нацид|монСпециалностМП]],"")</f>
        <v/>
      </c>
      <c r="AJ127" s="1692">
        <f>SUM(MDiplomiraneLS[[#This Row],[чДР]:[чИ/ДИ/З]])</f>
        <v>0</v>
      </c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</row>
    <row r="128" spans="2:46" s="42" customFormat="1" x14ac:dyDescent="0.3">
      <c r="B128" s="236">
        <f t="shared" si="11"/>
        <v>4</v>
      </c>
      <c r="H128" s="1902">
        <f t="shared" si="8"/>
        <v>30</v>
      </c>
      <c r="I128" s="1902">
        <f t="shared" si="9"/>
        <v>5</v>
      </c>
      <c r="J128" s="1902">
        <f t="shared" si="10"/>
        <v>0.8</v>
      </c>
      <c r="K128" s="1896">
        <f>MDiplomiraneLS[[#This Row],[кДР]]*N(MDiplomiraneLS[[#This Row],[ДР]])</f>
        <v>0</v>
      </c>
      <c r="L128" s="1897">
        <f>MDiplomiraneLS[[#This Row],[кРецензии]]*N(MDiplomiraneLS[[#This Row],[Рецензии]])</f>
        <v>0</v>
      </c>
      <c r="M128" s="1898">
        <f>MDiplomiraneLS[[#This Row],[кИ/ДИ/З]]*N(MDiplomiraneLS[[#This Row],[И/ДИ/З]])</f>
        <v>0</v>
      </c>
      <c r="N128" s="555"/>
      <c r="O128" s="903"/>
      <c r="P128" s="1683"/>
      <c r="Q128" s="1373"/>
      <c r="R128" s="1268"/>
      <c r="S128" s="1374"/>
      <c r="AC128" s="234"/>
      <c r="AD128" s="234"/>
      <c r="AE128" s="234"/>
      <c r="AF128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28" s="1893" t="str">
        <f>IFERROR(VLOOKUP(MDiplomiraneLS1[[#This Row],[СпециалностМП]],EducPlans_кодНАЦИД_Спец[[кодСпецДР]:[кодНАЦИД]],3,0),"")</f>
        <v/>
      </c>
      <c r="AH128" s="1690">
        <f ca="1">N(OFFSET(MDiplomiraneLS1[[#This Row],[|]],-1,0))+1</f>
        <v>4</v>
      </c>
      <c r="AI128" s="1691" t="str">
        <f>IF(MDiplomiraneLS1[[#This Row],[уЧасове]],MDiplomiraneLS1[[#This Row],[нацид|монСпециалностМП]],"")</f>
        <v/>
      </c>
      <c r="AJ128" s="1692">
        <f>SUM(MDiplomiraneLS[[#This Row],[чДР]:[чИ/ДИ/З]])</f>
        <v>0</v>
      </c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</row>
    <row r="129" spans="2:46" s="42" customFormat="1" x14ac:dyDescent="0.3">
      <c r="B129" s="236">
        <f t="shared" si="11"/>
        <v>5</v>
      </c>
      <c r="H129" s="1902">
        <f t="shared" si="8"/>
        <v>30</v>
      </c>
      <c r="I129" s="1902">
        <f t="shared" si="9"/>
        <v>5</v>
      </c>
      <c r="J129" s="1902">
        <f t="shared" si="10"/>
        <v>0.8</v>
      </c>
      <c r="K129" s="1896">
        <f>MDiplomiraneLS[[#This Row],[кДР]]*N(MDiplomiraneLS[[#This Row],[ДР]])</f>
        <v>0</v>
      </c>
      <c r="L129" s="1897">
        <f>MDiplomiraneLS[[#This Row],[кРецензии]]*N(MDiplomiraneLS[[#This Row],[Рецензии]])</f>
        <v>0</v>
      </c>
      <c r="M129" s="1898">
        <f>MDiplomiraneLS[[#This Row],[кИ/ДИ/З]]*N(MDiplomiraneLS[[#This Row],[И/ДИ/З]])</f>
        <v>0</v>
      </c>
      <c r="N129" s="555"/>
      <c r="O129" s="903"/>
      <c r="P129" s="1683"/>
      <c r="Q129" s="1373"/>
      <c r="R129" s="1268"/>
      <c r="S129" s="1374"/>
      <c r="AC129" s="234"/>
      <c r="AD129" s="234"/>
      <c r="AE129" s="234"/>
      <c r="AF129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29" s="1893" t="str">
        <f>IFERROR(VLOOKUP(MDiplomiraneLS1[[#This Row],[СпециалностМП]],EducPlans_кодНАЦИД_Спец[[кодСпецДР]:[кодНАЦИД]],3,0),"")</f>
        <v/>
      </c>
      <c r="AH129" s="1690">
        <f ca="1">N(OFFSET(MDiplomiraneLS1[[#This Row],[|]],-1,0))+1</f>
        <v>5</v>
      </c>
      <c r="AI129" s="1691" t="str">
        <f>IF(MDiplomiraneLS1[[#This Row],[уЧасове]],MDiplomiraneLS1[[#This Row],[нацид|монСпециалностМП]],"")</f>
        <v/>
      </c>
      <c r="AJ129" s="1692">
        <f>SUM(MDiplomiraneLS[[#This Row],[чДР]:[чИ/ДИ/З]])</f>
        <v>0</v>
      </c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</row>
    <row r="130" spans="2:46" s="42" customFormat="1" x14ac:dyDescent="0.3">
      <c r="B130" s="236">
        <f t="shared" si="11"/>
        <v>6</v>
      </c>
      <c r="H130" s="1902">
        <f t="shared" si="8"/>
        <v>30</v>
      </c>
      <c r="I130" s="1902">
        <f t="shared" si="9"/>
        <v>5</v>
      </c>
      <c r="J130" s="1902">
        <f t="shared" si="10"/>
        <v>0.8</v>
      </c>
      <c r="K130" s="1896">
        <f>MDiplomiraneLS[[#This Row],[кДР]]*N(MDiplomiraneLS[[#This Row],[ДР]])</f>
        <v>0</v>
      </c>
      <c r="L130" s="1897">
        <f>MDiplomiraneLS[[#This Row],[кРецензии]]*N(MDiplomiraneLS[[#This Row],[Рецензии]])</f>
        <v>0</v>
      </c>
      <c r="M130" s="1898">
        <f>MDiplomiraneLS[[#This Row],[кИ/ДИ/З]]*N(MDiplomiraneLS[[#This Row],[И/ДИ/З]])</f>
        <v>0</v>
      </c>
      <c r="N130" s="555"/>
      <c r="O130" s="903"/>
      <c r="P130" s="1683"/>
      <c r="Q130" s="1373"/>
      <c r="R130" s="1268"/>
      <c r="S130" s="1374"/>
      <c r="AC130" s="234"/>
      <c r="AD130" s="234"/>
      <c r="AE130" s="234"/>
      <c r="AF130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30" s="1893" t="str">
        <f>IFERROR(VLOOKUP(MDiplomiraneLS1[[#This Row],[СпециалностМП]],EducPlans_кодНАЦИД_Спец[[кодСпецДР]:[кодНАЦИД]],3,0),"")</f>
        <v/>
      </c>
      <c r="AH130" s="1690">
        <f ca="1">N(OFFSET(MDiplomiraneLS1[[#This Row],[|]],-1,0))+1</f>
        <v>6</v>
      </c>
      <c r="AI130" s="1691" t="str">
        <f>IF(MDiplomiraneLS1[[#This Row],[уЧасове]],MDiplomiraneLS1[[#This Row],[нацид|монСпециалностМП]],"")</f>
        <v/>
      </c>
      <c r="AJ130" s="1692">
        <f>SUM(MDiplomiraneLS[[#This Row],[чДР]:[чИ/ДИ/З]])</f>
        <v>0</v>
      </c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</row>
    <row r="131" spans="2:46" s="42" customFormat="1" x14ac:dyDescent="0.3">
      <c r="B131" s="236">
        <f t="shared" si="11"/>
        <v>7</v>
      </c>
      <c r="H131" s="1902">
        <f t="shared" si="8"/>
        <v>30</v>
      </c>
      <c r="I131" s="1902">
        <f t="shared" si="9"/>
        <v>5</v>
      </c>
      <c r="J131" s="1902">
        <f t="shared" si="10"/>
        <v>0.8</v>
      </c>
      <c r="K131" s="1896">
        <f>MDiplomiraneLS[[#This Row],[кДР]]*N(MDiplomiraneLS[[#This Row],[ДР]])</f>
        <v>0</v>
      </c>
      <c r="L131" s="1897">
        <f>MDiplomiraneLS[[#This Row],[кРецензии]]*N(MDiplomiraneLS[[#This Row],[Рецензии]])</f>
        <v>0</v>
      </c>
      <c r="M131" s="1898">
        <f>MDiplomiraneLS[[#This Row],[кИ/ДИ/З]]*N(MDiplomiraneLS[[#This Row],[И/ДИ/З]])</f>
        <v>0</v>
      </c>
      <c r="N131" s="555"/>
      <c r="O131" s="903"/>
      <c r="P131" s="1683"/>
      <c r="Q131" s="1373"/>
      <c r="R131" s="1268"/>
      <c r="S131" s="1374"/>
      <c r="AC131" s="234"/>
      <c r="AD131" s="234"/>
      <c r="AE131" s="234"/>
      <c r="AF131" s="1892" t="str">
        <f>"*"&amp;MDiplomiraneLS[[#This Row],[Магистърска програма]]&amp;"*\"&amp;MDiplomiraneLS[[#This Row],[Факултет]]&amp;"\м"&amp;LEFT(MDiplomiraneLS[[#This Row],[ФормаОб]],1)</f>
        <v>**\\м</v>
      </c>
      <c r="AG131" s="1893" t="str">
        <f>IFERROR(VLOOKUP(MDiplomiraneLS1[[#This Row],[СпециалностМП]],EducPlans_кодНАЦИД_Спец[[кодСпецДР]:[кодНАЦИД]],3,0),"")</f>
        <v/>
      </c>
      <c r="AH131" s="1690">
        <f ca="1">N(OFFSET(MDiplomiraneLS1[[#This Row],[|]],-1,0))+1</f>
        <v>7</v>
      </c>
      <c r="AI131" s="1691" t="str">
        <f>IF(MDiplomiraneLS1[[#This Row],[уЧасове]],MDiplomiraneLS1[[#This Row],[нацид|монСпециалностМП]],"")</f>
        <v/>
      </c>
      <c r="AJ131" s="1692">
        <f>SUM(MDiplomiraneLS[[#This Row],[чДР]:[чИ/ДИ/З]])</f>
        <v>0</v>
      </c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</row>
    <row r="132" spans="2:46" s="42" customFormat="1" ht="17.25" thickBot="1" x14ac:dyDescent="0.35">
      <c r="B132" s="236">
        <f t="shared" si="11"/>
        <v>8</v>
      </c>
      <c r="H132" s="1902">
        <f t="shared" si="8"/>
        <v>30</v>
      </c>
      <c r="I132" s="1902">
        <f t="shared" si="9"/>
        <v>5</v>
      </c>
      <c r="J132" s="1902">
        <f t="shared" si="10"/>
        <v>0.8</v>
      </c>
      <c r="K132" s="1899">
        <f>MDiplomiraneLS[[#This Row],[кДР]]*N(MDiplomiraneLS[[#This Row],[ДР]])</f>
        <v>0</v>
      </c>
      <c r="L132" s="1900">
        <f>MDiplomiraneLS[[#This Row],[кРецензии]]*N(MDiplomiraneLS[[#This Row],[Рецензии]])</f>
        <v>0</v>
      </c>
      <c r="M132" s="1901">
        <f>MDiplomiraneLS[[#This Row],[кИ/ДИ/З]]*N(MDiplomiraneLS[[#This Row],[И/ДИ/З]])</f>
        <v>0</v>
      </c>
      <c r="N132" s="598"/>
      <c r="O132" s="1682"/>
      <c r="P132" s="1683"/>
      <c r="Q132" s="1505"/>
      <c r="R132" s="1506"/>
      <c r="S132" s="1507"/>
      <c r="AC132" s="234"/>
      <c r="AD132" s="234"/>
      <c r="AE132" s="234"/>
      <c r="AF132" s="1894" t="str">
        <f>"*"&amp;MDiplomiraneLS[[#This Row],[Магистърска програма]]&amp;"*\"&amp;MDiplomiraneLS[[#This Row],[Факултет]]&amp;"\м"&amp;LEFT(MDiplomiraneLS[[#This Row],[ФормаОб]],1)</f>
        <v>**\\м</v>
      </c>
      <c r="AG132" s="1893" t="str">
        <f>IFERROR(VLOOKUP(MDiplomiraneLS1[[#This Row],[СпециалностМП]],EducPlans_кодНАЦИД_Спец[[кодСпецДР]:[кодНАЦИД]],3,0),"")</f>
        <v/>
      </c>
      <c r="AH132" s="1690">
        <f ca="1">N(OFFSET(MDiplomiraneLS1[[#This Row],[|]],-1,0))+1</f>
        <v>8</v>
      </c>
      <c r="AI132" s="1691" t="str">
        <f>IF(MDiplomiraneLS1[[#This Row],[уЧасове]],MDiplomiraneLS1[[#This Row],[нацид|монСпециалностМП]],"")</f>
        <v/>
      </c>
      <c r="AJ132" s="1692">
        <f>SUM(MDiplomiraneLS[[#This Row],[чДР]:[чИ/ДИ/З]])</f>
        <v>0</v>
      </c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</row>
    <row r="133" spans="2:46" s="49" customFormat="1" ht="9.9499999999999993" hidden="1" customHeight="1" x14ac:dyDescent="0.25">
      <c r="B133" s="107" t="s">
        <v>412</v>
      </c>
      <c r="N133"/>
      <c r="O133"/>
      <c r="P133"/>
      <c r="Q133"/>
      <c r="R133"/>
      <c r="AC133" s="1754"/>
      <c r="AD133" s="1754"/>
      <c r="AE133" s="1754"/>
      <c r="AF133" s="1754"/>
      <c r="AG133" s="1754"/>
      <c r="AH133" s="1754"/>
      <c r="AI133" s="1754"/>
      <c r="AJ133" s="1754"/>
      <c r="AK133" s="1754"/>
      <c r="AL133" s="1754"/>
      <c r="AM133" s="1754"/>
      <c r="AN133" s="1754"/>
      <c r="AO133" s="1754"/>
      <c r="AP133" s="1754"/>
      <c r="AQ133" s="1754"/>
      <c r="AR133" s="1754"/>
      <c r="AS133" s="1754"/>
      <c r="AT133" s="1754"/>
    </row>
    <row r="134" spans="2:46" ht="25.5" hidden="1" x14ac:dyDescent="0.3">
      <c r="B134" s="176" t="s">
        <v>415</v>
      </c>
      <c r="M134" s="36">
        <f>IF(OR(M25,M79),4,3)</f>
        <v>3</v>
      </c>
      <c r="N134" s="2594" t="str">
        <f>M134&amp;". Слети четения и четения в поток"</f>
        <v>3. Слети четения и четения в поток</v>
      </c>
      <c r="O134" s="2595"/>
      <c r="P134" s="2595"/>
      <c r="Q134" s="2595"/>
      <c r="R134" s="2595"/>
      <c r="S134" s="2595"/>
      <c r="T134" s="2595"/>
      <c r="U134" s="2595"/>
      <c r="V134" s="2595"/>
      <c r="W134" s="2596"/>
      <c r="X134" s="234"/>
    </row>
    <row r="135" spans="2:46" ht="24" hidden="1" thickBot="1" x14ac:dyDescent="0.35">
      <c r="B135" s="106" t="s">
        <v>471</v>
      </c>
      <c r="M135" s="179"/>
      <c r="N135" s="2699" t="s">
        <v>470</v>
      </c>
      <c r="O135" s="2700"/>
      <c r="P135" s="2700"/>
      <c r="Q135" s="2700"/>
      <c r="R135" s="2700"/>
      <c r="S135" s="2700"/>
      <c r="T135" s="2700"/>
      <c r="U135" s="2700"/>
      <c r="V135" s="2700"/>
      <c r="W135" s="2701"/>
    </row>
    <row r="136" spans="2:46" ht="20.25" hidden="1" x14ac:dyDescent="0.3">
      <c r="B136" s="106" t="s">
        <v>413</v>
      </c>
      <c r="N136" s="2663" t="s">
        <v>16</v>
      </c>
      <c r="O136" s="2702" t="s">
        <v>2793</v>
      </c>
      <c r="P136" s="2703" t="s">
        <v>17</v>
      </c>
      <c r="Q136" s="2705" t="s">
        <v>18</v>
      </c>
      <c r="R136" s="2663" t="s">
        <v>19</v>
      </c>
      <c r="S136" s="2665" t="s">
        <v>20</v>
      </c>
      <c r="T136" s="2670" t="s">
        <v>562</v>
      </c>
      <c r="U136" s="2663" t="s">
        <v>395</v>
      </c>
      <c r="V136" s="2696"/>
      <c r="W136" s="2697" t="s">
        <v>135</v>
      </c>
    </row>
    <row r="137" spans="2:46" ht="21" hidden="1" thickBot="1" x14ac:dyDescent="0.35">
      <c r="B137" s="106" t="s">
        <v>414</v>
      </c>
      <c r="N137" s="2664"/>
      <c r="O137" s="2666"/>
      <c r="P137" s="2704"/>
      <c r="Q137" s="2706"/>
      <c r="R137" s="2664"/>
      <c r="S137" s="2666"/>
      <c r="T137" s="2671"/>
      <c r="U137" s="227" t="s">
        <v>396</v>
      </c>
      <c r="V137" s="228" t="s">
        <v>397</v>
      </c>
      <c r="W137" s="2698"/>
    </row>
    <row r="138" spans="2:46" ht="20.25" hidden="1" x14ac:dyDescent="0.3">
      <c r="B138" s="106" t="s">
        <v>419</v>
      </c>
      <c r="N138" s="132" t="s">
        <v>16</v>
      </c>
      <c r="O138" s="132" t="s">
        <v>666</v>
      </c>
      <c r="P138" s="132" t="s">
        <v>17</v>
      </c>
      <c r="Q138" s="132" t="s">
        <v>18</v>
      </c>
      <c r="R138" s="137" t="s">
        <v>19</v>
      </c>
      <c r="S138" s="132" t="s">
        <v>20</v>
      </c>
      <c r="T138" s="138" t="s">
        <v>620</v>
      </c>
      <c r="U138" s="133" t="s">
        <v>396</v>
      </c>
      <c r="V138" s="133" t="s">
        <v>397</v>
      </c>
      <c r="W138" s="139" t="s">
        <v>135</v>
      </c>
    </row>
    <row r="139" spans="2:46" hidden="1" x14ac:dyDescent="0.3">
      <c r="B139" s="236">
        <f t="shared" ref="B139:B151" si="12">N(B138)+1</f>
        <v>1</v>
      </c>
      <c r="H139" s="42"/>
      <c r="I139" s="42"/>
      <c r="J139" s="42"/>
      <c r="K139" s="42"/>
      <c r="L139" s="42"/>
      <c r="M139" s="42"/>
      <c r="N139" s="555"/>
      <c r="O139" s="555"/>
      <c r="P139" s="556"/>
      <c r="Q139" s="558"/>
      <c r="R139" s="576"/>
      <c r="S139" s="241"/>
      <c r="T139" s="557"/>
      <c r="U139" s="241"/>
      <c r="V139" s="241"/>
      <c r="W139" s="584"/>
      <c r="X139" s="42"/>
    </row>
    <row r="140" spans="2:46" s="42" customFormat="1" hidden="1" x14ac:dyDescent="0.3">
      <c r="B140" s="236">
        <f t="shared" si="12"/>
        <v>2</v>
      </c>
      <c r="N140" s="555"/>
      <c r="O140" s="555"/>
      <c r="P140" s="556"/>
      <c r="Q140" s="558"/>
      <c r="R140" s="576"/>
      <c r="S140" s="241"/>
      <c r="T140" s="557"/>
      <c r="U140" s="241"/>
      <c r="V140" s="241"/>
      <c r="W140" s="58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</row>
    <row r="141" spans="2:46" s="42" customFormat="1" hidden="1" x14ac:dyDescent="0.3">
      <c r="B141" s="236">
        <f t="shared" si="12"/>
        <v>3</v>
      </c>
      <c r="N141" s="555"/>
      <c r="O141" s="555"/>
      <c r="P141" s="556"/>
      <c r="Q141" s="558"/>
      <c r="R141" s="576"/>
      <c r="S141" s="241"/>
      <c r="T141" s="557"/>
      <c r="U141" s="241"/>
      <c r="V141" s="241"/>
      <c r="W141" s="58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</row>
    <row r="142" spans="2:46" s="42" customFormat="1" hidden="1" x14ac:dyDescent="0.3">
      <c r="B142" s="236">
        <f t="shared" si="12"/>
        <v>4</v>
      </c>
      <c r="N142" s="555"/>
      <c r="O142" s="555"/>
      <c r="P142" s="556"/>
      <c r="Q142" s="558"/>
      <c r="R142" s="576"/>
      <c r="S142" s="241"/>
      <c r="T142" s="557"/>
      <c r="U142" s="241"/>
      <c r="V142" s="241"/>
      <c r="W142" s="58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</row>
    <row r="143" spans="2:46" s="42" customFormat="1" hidden="1" x14ac:dyDescent="0.3">
      <c r="B143" s="236">
        <f t="shared" si="12"/>
        <v>5</v>
      </c>
      <c r="N143" s="555"/>
      <c r="O143" s="555"/>
      <c r="P143" s="556"/>
      <c r="Q143" s="558"/>
      <c r="R143" s="576"/>
      <c r="S143" s="241"/>
      <c r="T143" s="557"/>
      <c r="U143" s="241"/>
      <c r="V143" s="241"/>
      <c r="W143" s="58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</row>
    <row r="144" spans="2:46" s="42" customFormat="1" hidden="1" x14ac:dyDescent="0.3">
      <c r="B144" s="236">
        <f t="shared" si="12"/>
        <v>6</v>
      </c>
      <c r="N144" s="555"/>
      <c r="O144" s="555"/>
      <c r="P144" s="556"/>
      <c r="Q144" s="558"/>
      <c r="R144" s="576"/>
      <c r="S144" s="241"/>
      <c r="T144" s="557"/>
      <c r="U144" s="241"/>
      <c r="V144" s="241"/>
      <c r="W144" s="58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</row>
    <row r="145" spans="2:46" s="42" customFormat="1" hidden="1" x14ac:dyDescent="0.3">
      <c r="B145" s="236">
        <f t="shared" si="12"/>
        <v>7</v>
      </c>
      <c r="N145" s="555"/>
      <c r="O145" s="555"/>
      <c r="P145" s="556"/>
      <c r="Q145" s="558"/>
      <c r="R145" s="576"/>
      <c r="S145" s="241"/>
      <c r="T145" s="557"/>
      <c r="U145" s="241"/>
      <c r="V145" s="241"/>
      <c r="W145" s="58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</row>
    <row r="146" spans="2:46" s="42" customFormat="1" hidden="1" x14ac:dyDescent="0.3">
      <c r="B146" s="236">
        <f t="shared" si="12"/>
        <v>8</v>
      </c>
      <c r="N146" s="555"/>
      <c r="O146" s="555"/>
      <c r="P146" s="556"/>
      <c r="Q146" s="558"/>
      <c r="R146" s="576"/>
      <c r="S146" s="241"/>
      <c r="T146" s="557"/>
      <c r="U146" s="241"/>
      <c r="V146" s="241"/>
      <c r="W146" s="58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</row>
    <row r="147" spans="2:46" s="42" customFormat="1" hidden="1" x14ac:dyDescent="0.3">
      <c r="B147" s="236">
        <f t="shared" si="12"/>
        <v>9</v>
      </c>
      <c r="N147" s="555"/>
      <c r="O147" s="555"/>
      <c r="P147" s="556"/>
      <c r="Q147" s="558"/>
      <c r="R147" s="576"/>
      <c r="S147" s="241"/>
      <c r="T147" s="557"/>
      <c r="U147" s="241"/>
      <c r="V147" s="241"/>
      <c r="W147" s="58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</row>
    <row r="148" spans="2:46" s="42" customFormat="1" hidden="1" x14ac:dyDescent="0.3">
      <c r="B148" s="236">
        <f t="shared" si="12"/>
        <v>10</v>
      </c>
      <c r="N148" s="555"/>
      <c r="O148" s="555"/>
      <c r="P148" s="556"/>
      <c r="Q148" s="558"/>
      <c r="R148" s="576"/>
      <c r="S148" s="241"/>
      <c r="T148" s="557"/>
      <c r="U148" s="241"/>
      <c r="V148" s="241"/>
      <c r="W148" s="58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</row>
    <row r="149" spans="2:46" s="42" customFormat="1" hidden="1" x14ac:dyDescent="0.3">
      <c r="B149" s="236">
        <f t="shared" si="12"/>
        <v>11</v>
      </c>
      <c r="N149" s="555"/>
      <c r="O149" s="555"/>
      <c r="P149" s="556"/>
      <c r="Q149" s="558"/>
      <c r="R149" s="576"/>
      <c r="S149" s="241"/>
      <c r="T149" s="557"/>
      <c r="U149" s="241"/>
      <c r="V149" s="241"/>
      <c r="W149" s="58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</row>
    <row r="150" spans="2:46" s="42" customFormat="1" hidden="1" x14ac:dyDescent="0.3">
      <c r="B150" s="236">
        <f t="shared" si="12"/>
        <v>12</v>
      </c>
      <c r="N150" s="555"/>
      <c r="O150" s="555"/>
      <c r="P150" s="556"/>
      <c r="Q150" s="558"/>
      <c r="R150" s="576"/>
      <c r="S150" s="241"/>
      <c r="T150" s="557"/>
      <c r="U150" s="241"/>
      <c r="V150" s="241"/>
      <c r="W150" s="58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</row>
    <row r="151" spans="2:46" s="42" customFormat="1" ht="17.25" hidden="1" thickBot="1" x14ac:dyDescent="0.35">
      <c r="B151" s="236">
        <f t="shared" si="12"/>
        <v>13</v>
      </c>
      <c r="N151" s="555"/>
      <c r="O151" s="555"/>
      <c r="P151" s="556"/>
      <c r="Q151" s="558"/>
      <c r="R151" s="577"/>
      <c r="S151" s="263"/>
      <c r="T151" s="579"/>
      <c r="U151" s="241"/>
      <c r="V151" s="241"/>
      <c r="W151" s="585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</row>
    <row r="152" spans="2:46" s="42" customFormat="1" ht="20.25" x14ac:dyDescent="0.3">
      <c r="B152" s="107" t="s">
        <v>412</v>
      </c>
      <c r="H152" s="36"/>
      <c r="I152" s="36"/>
      <c r="J152" s="36"/>
      <c r="K152" s="36"/>
      <c r="L152" s="36"/>
      <c r="M152" s="36"/>
      <c r="N152"/>
      <c r="O152"/>
      <c r="P152"/>
      <c r="Q152"/>
      <c r="R152"/>
      <c r="S152"/>
      <c r="T152"/>
      <c r="U152"/>
      <c r="V152"/>
      <c r="W152"/>
      <c r="X152" s="36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</row>
    <row r="154" spans="2:46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 s="1511"/>
      <c r="AD154" s="1511"/>
    </row>
    <row r="155" spans="2:46" ht="20.25" x14ac:dyDescent="0.3">
      <c r="B155" s="106" t="s">
        <v>419</v>
      </c>
    </row>
  </sheetData>
  <sheetProtection algorithmName="SHA-512" hashValue="YD0RASpx1sXKmKC/62bVEZifoLhkrife2KwjZw/EQpivwX01sj1rwnvViOfA+aMOY2xK/sS+cdC32RoDoAiyPw==" saltValue="5peCXqIjimJBkZmNP1o5xw==" spinCount="100000" sheet="1" objects="1" scenarios="1" formatCells="0" formatRows="0"/>
  <mergeCells count="131">
    <mergeCell ref="N14:AB14"/>
    <mergeCell ref="N13:AB13"/>
    <mergeCell ref="X28:X29"/>
    <mergeCell ref="C54:F54"/>
    <mergeCell ref="P53:P54"/>
    <mergeCell ref="Q53:Q54"/>
    <mergeCell ref="R53:R54"/>
    <mergeCell ref="N52:AB52"/>
    <mergeCell ref="C29:E29"/>
    <mergeCell ref="F29:I29"/>
    <mergeCell ref="J29:M29"/>
    <mergeCell ref="S28:S29"/>
    <mergeCell ref="T28:T29"/>
    <mergeCell ref="N28:N29"/>
    <mergeCell ref="O28:O29"/>
    <mergeCell ref="P28:P29"/>
    <mergeCell ref="Q28:Q29"/>
    <mergeCell ref="R28:R29"/>
    <mergeCell ref="N51:AB51"/>
    <mergeCell ref="U28:V28"/>
    <mergeCell ref="N16:AB16"/>
    <mergeCell ref="W28:W29"/>
    <mergeCell ref="N18:AB18"/>
    <mergeCell ref="Y28:Y29"/>
    <mergeCell ref="N1:AB1"/>
    <mergeCell ref="N2:AB2"/>
    <mergeCell ref="N3:AB3"/>
    <mergeCell ref="N27:AB27"/>
    <mergeCell ref="N17:AB17"/>
    <mergeCell ref="N22:AB22"/>
    <mergeCell ref="N21:AB21"/>
    <mergeCell ref="N20:AB20"/>
    <mergeCell ref="Q5:R5"/>
    <mergeCell ref="S5:T5"/>
    <mergeCell ref="V5:W5"/>
    <mergeCell ref="X5:Y5"/>
    <mergeCell ref="Z5:AA5"/>
    <mergeCell ref="N24:AB24"/>
    <mergeCell ref="N23:AB23"/>
    <mergeCell ref="N9:AB9"/>
    <mergeCell ref="N10:AB10"/>
    <mergeCell ref="N15:AB15"/>
    <mergeCell ref="N8:AB8"/>
    <mergeCell ref="N7:AB7"/>
    <mergeCell ref="N11:AB11"/>
    <mergeCell ref="N12:AB12"/>
    <mergeCell ref="N19:AB19"/>
    <mergeCell ref="N26:AB26"/>
    <mergeCell ref="N134:W134"/>
    <mergeCell ref="T82:T83"/>
    <mergeCell ref="S107:S108"/>
    <mergeCell ref="T107:T108"/>
    <mergeCell ref="X107:X108"/>
    <mergeCell ref="Y107:Y108"/>
    <mergeCell ref="U82:V82"/>
    <mergeCell ref="Y82:Y83"/>
    <mergeCell ref="S53:S54"/>
    <mergeCell ref="T53:T54"/>
    <mergeCell ref="O122:O123"/>
    <mergeCell ref="N67:S67"/>
    <mergeCell ref="N121:S121"/>
    <mergeCell ref="Z28:AB28"/>
    <mergeCell ref="S136:S137"/>
    <mergeCell ref="C83:E83"/>
    <mergeCell ref="F83:I83"/>
    <mergeCell ref="J83:M83"/>
    <mergeCell ref="S82:S83"/>
    <mergeCell ref="N68:N69"/>
    <mergeCell ref="O68:O69"/>
    <mergeCell ref="N53:N54"/>
    <mergeCell ref="O53:O54"/>
    <mergeCell ref="Q68:S68"/>
    <mergeCell ref="N80:AB80"/>
    <mergeCell ref="Z107:AB107"/>
    <mergeCell ref="Z82:AB82"/>
    <mergeCell ref="T136:T137"/>
    <mergeCell ref="U136:V136"/>
    <mergeCell ref="W136:W137"/>
    <mergeCell ref="Q122:S122"/>
    <mergeCell ref="N135:W135"/>
    <mergeCell ref="N136:N137"/>
    <mergeCell ref="O136:O137"/>
    <mergeCell ref="P136:P137"/>
    <mergeCell ref="Q136:Q137"/>
    <mergeCell ref="R136:R137"/>
    <mergeCell ref="C108:F108"/>
    <mergeCell ref="G54:H54"/>
    <mergeCell ref="I54:J54"/>
    <mergeCell ref="K54:M54"/>
    <mergeCell ref="P107:P108"/>
    <mergeCell ref="Q107:Q108"/>
    <mergeCell ref="R107:R108"/>
    <mergeCell ref="N81:AB81"/>
    <mergeCell ref="X53:X54"/>
    <mergeCell ref="Y53:Y54"/>
    <mergeCell ref="Z53:AB53"/>
    <mergeCell ref="G108:H108"/>
    <mergeCell ref="I108:J108"/>
    <mergeCell ref="N107:N108"/>
    <mergeCell ref="O107:O108"/>
    <mergeCell ref="X82:X83"/>
    <mergeCell ref="U107:W107"/>
    <mergeCell ref="K108:M108"/>
    <mergeCell ref="N82:N83"/>
    <mergeCell ref="O82:O83"/>
    <mergeCell ref="P82:P83"/>
    <mergeCell ref="Q82:Q83"/>
    <mergeCell ref="H123:J123"/>
    <mergeCell ref="K123:M123"/>
    <mergeCell ref="P122:P123"/>
    <mergeCell ref="H69:J69"/>
    <mergeCell ref="K69:M69"/>
    <mergeCell ref="P68:P69"/>
    <mergeCell ref="AH69:AJ69"/>
    <mergeCell ref="AH123:AJ123"/>
    <mergeCell ref="AC29:AG29"/>
    <mergeCell ref="AH29:AJ29"/>
    <mergeCell ref="AC54:AG54"/>
    <mergeCell ref="AH54:AJ54"/>
    <mergeCell ref="AC83:AG83"/>
    <mergeCell ref="AH83:AJ83"/>
    <mergeCell ref="AC108:AG108"/>
    <mergeCell ref="AH108:AJ108"/>
    <mergeCell ref="R82:R83"/>
    <mergeCell ref="W82:W83"/>
    <mergeCell ref="N105:AB105"/>
    <mergeCell ref="N106:AB106"/>
    <mergeCell ref="U53:W53"/>
    <mergeCell ref="N122:N123"/>
    <mergeCell ref="AF123:AG123"/>
    <mergeCell ref="AF69:AG69"/>
  </mergeCells>
  <phoneticPr fontId="129" type="noConversion"/>
  <conditionalFormatting sqref="N8:N14 N18">
    <cfRule type="expression" dxfId="55" priority="73">
      <formula>"current"</formula>
    </cfRule>
  </conditionalFormatting>
  <conditionalFormatting sqref="N15:N17">
    <cfRule type="expression" dxfId="54" priority="51">
      <formula>N15=CELL(mark)</formula>
    </cfRule>
  </conditionalFormatting>
  <conditionalFormatting sqref="N19:N24">
    <cfRule type="expression" dxfId="53" priority="28">
      <formula>N19=CELL(mark)</formula>
    </cfRule>
  </conditionalFormatting>
  <conditionalFormatting sqref="N71:O78">
    <cfRule type="expression" dxfId="52" priority="12">
      <formula>AND(COUNTIF($Q71:$S71,"&gt;0"),LEN(N71)=0)</formula>
    </cfRule>
  </conditionalFormatting>
  <conditionalFormatting sqref="N125:P132">
    <cfRule type="expression" dxfId="51" priority="11">
      <formula>AND(COUNTIF($Q125:$S125,"&gt;0"),LEN(N125)=0)</formula>
    </cfRule>
  </conditionalFormatting>
  <conditionalFormatting sqref="P71:P78">
    <cfRule type="expression" dxfId="50" priority="1">
      <formula>AND(COUNTIF($Q71:$S71,"&gt;0"),LEN(P71)=0)</formula>
    </cfRule>
  </conditionalFormatting>
  <conditionalFormatting sqref="T56:T65">
    <cfRule type="expression" dxfId="49" priority="27">
      <formula>AND($C56&gt;0,$D56&gt;0,$T56=0)</formula>
    </cfRule>
  </conditionalFormatting>
  <conditionalFormatting sqref="T110:T119">
    <cfRule type="expression" dxfId="48" priority="2">
      <formula>AND($C110&gt;0,$D110&gt;0,$T110=0)</formula>
    </cfRule>
  </conditionalFormatting>
  <conditionalFormatting sqref="V56:V65">
    <cfRule type="expression" dxfId="47" priority="37">
      <formula>AND($C56&gt;0,$E56&gt;0,$V56=0)</formula>
    </cfRule>
  </conditionalFormatting>
  <conditionalFormatting sqref="V110:V119">
    <cfRule type="expression" dxfId="46" priority="3">
      <formula>AND($C110&gt;0,$E110&gt;0,$V110=0)</formula>
    </cfRule>
  </conditionalFormatting>
  <conditionalFormatting sqref="W56:W65">
    <cfRule type="expression" dxfId="45" priority="39">
      <formula>AND($C56&gt;0,$F56&gt;0,$W56=0)</formula>
    </cfRule>
  </conditionalFormatting>
  <conditionalFormatting sqref="W110:W119">
    <cfRule type="expression" dxfId="44" priority="4">
      <formula>AND($C110&gt;0,$F110&gt;0,$W110=0)</formula>
    </cfRule>
  </conditionalFormatting>
  <dataValidations disablePrompts="1" count="6">
    <dataValidation type="decimal" operator="greaterThanOrEqual" allowBlank="1" showInputMessage="1" showErrorMessage="1" error="Въведете коректна стойност!" sqref="T31:T49 Z31:AB49 Z56:AB65 T110:T119 Z110:AB119 T56:T65" xr:uid="{295FEDEC-9B28-4FAA-8246-29A6E2D310E6}">
      <formula1>0</formula1>
    </dataValidation>
    <dataValidation type="decimal" operator="greaterThanOrEqual" allowBlank="1" showErrorMessage="1" errorTitle="Статус на вида практика!" error="За избраната практика се попълва само брой дни на проведената практика." sqref="V110:V119 V56:V65" xr:uid="{F78CAF1E-E863-4DE6-80E6-1BEBE1C3D652}">
      <formula1>IF(N(E56)&gt;0,0.01,1000)</formula1>
    </dataValidation>
    <dataValidation type="decimal" operator="greaterThanOrEqual" allowBlank="1" showInputMessage="1" showErrorMessage="1" errorTitle="Статус на вида практика!" error="За избраната практика се попълва само брой групи на проведената практика." sqref="W110:W119 W56:W65" xr:uid="{5F60C8C6-1CCF-4AEA-B9A5-C0BFE0815A3E}">
      <formula1>IF(N(F56)&gt;0,0.01,1000)</formula1>
    </dataValidation>
    <dataValidation type="decimal" operator="greaterThanOrEqual" allowBlank="1" showInputMessage="1" showErrorMessage="1" sqref="Z85:AB103 T85:V103" xr:uid="{3C344773-CE42-4666-902D-0DCDA6A995F2}">
      <formula1>0</formula1>
    </dataValidation>
    <dataValidation type="list" allowBlank="1" showInputMessage="1" showErrorMessage="1" sqref="U56:U65 U110:U119" xr:uid="{314915BA-2A98-474D-9DD0-1A96693EA520}">
      <formula1>INDIRECT("T_УчПрактики[Практика и курсова работа]")</formula1>
    </dataValidation>
    <dataValidation type="decimal" operator="greaterThanOrEqual" allowBlank="1" showErrorMessage="1" error="Въведете коректна стойност!" sqref="Q71:S78 Q125:S132" xr:uid="{C68297C8-9D4E-44DE-9C2C-81D6C53091BC}">
      <formula1>0</formula1>
    </dataValidation>
  </dataValidations>
  <hyperlinks>
    <hyperlink ref="Q136" location="InstrukciaB" display="Факултет" xr:uid="{00000000-0004-0000-0D00-000009000000}"/>
    <hyperlink ref="P136" location="InstrukciaB" display="Специалност" xr:uid="{00000000-0004-0000-0D00-00000A000000}"/>
    <hyperlink ref="Z5" location="'2. ОКС &quot;бакалавър&quot;'!N7" tooltip="Инструкция" display="Инструкция" xr:uid="{FA2FEA72-AD79-4A06-BC8F-AE26C00353FC}"/>
    <hyperlink ref="P5" location="'3. ОКС &quot;магистър&quot;'!N24" tooltip="Зимен семестър" display="Зимен семестър" xr:uid="{B7859054-B7F0-47CF-8F85-5708F6894A1A}"/>
    <hyperlink ref="Q5" location="LetenSemestarB" tooltip="Летен семестър" display="Летен семестър" xr:uid="{474F27B3-FD1F-4B56-9897-EBE7E379934B}"/>
    <hyperlink ref="S5" location="ObPotokB" tooltip="Обучение в поток" display="Обучение в поток" xr:uid="{AABF5686-B37F-4777-92A5-80617FF88421}"/>
    <hyperlink ref="U5" location="'3. ОКС &quot;магистър&quot;'!N127" tooltip="ОКС &quot;бакалавър&quot;" display="ОКС &quot;бакалавър&quot;" xr:uid="{4EF4E201-94A3-40D8-9394-5D562881486D}"/>
    <hyperlink ref="V5" location="ONSDr" tooltip="ОНС &quot;доктор&quot;" display="ОНС &quot;доктор&quot;" xr:uid="{1A5B7FB0-276F-421F-A154-C8E7B6138573}"/>
    <hyperlink ref="O5" location="'1. Отчет'!B6" tooltip="Титулна страница" display="Титулна страница" xr:uid="{BA6FA83A-A83E-406A-9610-B0E283FE2083}"/>
    <hyperlink ref="AB5" r:id="rId1" tooltip="email: ipio@uni-sofia.bg" display="Помощ" xr:uid="{8DB1BAEE-25D3-4C0E-BB8F-5D579CC5949D}"/>
    <hyperlink ref="V5:W5" location="'4. ОНС &quot;доктор&quot;'!B21" tooltip="ОНС &quot;доктор&quot;" display="ОНС &quot;доктор&quot;" xr:uid="{FA225546-0165-4895-9A59-A20344E6CC36}"/>
    <hyperlink ref="Z5:AA5" location="'3. ОКС &quot;магистър&quot;'!N7" tooltip="Инструкция" display="Инструкция" xr:uid="{7B5BC50B-F810-47F9-B919-F23C78BE1453}"/>
    <hyperlink ref="Q5:R5" location="'3. ОКС &quot;магистър&quot;'!N73" tooltip="Летен семестър" display="Летен семестър" xr:uid="{DD5C2008-FF9B-4543-B1D4-A8F959D3983A}"/>
    <hyperlink ref="S5:T5" location="'3. ОКС &quot;магистър&quot;'!N122:N139" tooltip="Обучение в поток" display="Обучение в поток" xr:uid="{2703029C-A265-4A0F-BD6C-AE323891E935}"/>
    <hyperlink ref="X5:Y5" location="'5. Подготовка на курс'!B23" tooltip="Подготовка на курс" display="Подготовка на курс" xr:uid="{79C0F727-0234-4A5C-9700-DA6AAEC97285}"/>
  </hyperlinks>
  <pageMargins left="0.27559055118110237" right="0.35433070866141736" top="0.31496062992125984" bottom="0.31496062992125984" header="0" footer="0.23622047244094491"/>
  <pageSetup paperSize="9" scale="35" orientation="landscape" r:id="rId2"/>
  <headerFooter>
    <oddFooter>&amp;RПодпис:...................................................................</oddFooter>
  </headerFooter>
  <ignoredErrors>
    <ignoredError sqref="M51 AH86" unlockedFormula="1"/>
  </ignoredErrors>
  <drawing r:id="rId3"/>
  <tableParts count="10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error="Въведете предвиденото по учебен план:_x000a_Изпит - изпит_x000a_ТО - текущо оценяване_x000a_КИ - комбинирано изпитване_x000a_прод. - продължава в следващ семестър" xr:uid="{F6F321B5-8467-4F9F-BB94-60EF3CEFA03A}">
          <x14:formula1>
            <xm:f>list!$A$64:$A$67</xm:f>
          </x14:formula1>
          <xm:sqref>X85:X103 X31:X49 X56:X65 X110:X119</xm:sqref>
        </x14:dataValidation>
        <x14:dataValidation type="list" allowBlank="1" showErrorMessage="1" errorTitle="Вид" error="Въведете З, И или Ф" xr:uid="{E88E6427-5D7E-454D-9667-3A05C2263C25}">
          <x14:formula1>
            <xm:f>list!$B$53:$B$55</xm:f>
          </x14:formula1>
          <xm:sqref>Q56:Q65 Q31:Q49 Q85:Q103 R139:R151 Q110:Q119</xm:sqref>
        </x14:dataValidation>
        <x14:dataValidation type="list" allowBlank="1" showInputMessage="1" showErrorMessage="1" error="Въведете титуляр или асистиращ!" xr:uid="{C3D05DF6-5E5A-4F20-AB24-798D54EECD59}">
          <x14:formula1>
            <xm:f>list!$A$78:$A$79</xm:f>
          </x14:formula1>
          <xm:sqref>Y31:Y49 Y85:Y103 Y56:Y65 Y110:Y119</xm:sqref>
        </x14:dataValidation>
        <x14:dataValidation type="list" allowBlank="1" showInputMessage="1" showErrorMessage="1" error="Въведете БЕ или чужд!_x000a_БЕ - обучение на български език_x000a_чужд - обучение на чужд език" xr:uid="{B8A05EEB-EC2A-4708-B6E2-1F7EF949DF22}">
          <x14:formula1>
            <xm:f>list!$A$59:$A$61</xm:f>
          </x14:formula1>
          <xm:sqref>W85:W103 W31:W49</xm:sqref>
        </x14:dataValidation>
        <x14:dataValidation type="list" allowBlank="1" showInputMessage="1" showErrorMessage="1" error="Посочете_x000a_р.об. - за редовна форма_x000a_з.об. - за задочна форма_x000a_д.об. - за дистанционна форма_x000a_ИП - за обучение по индивидуален план_x000a_" xr:uid="{66D1C1EF-E598-48D2-9C48-70483A3003E1}">
          <x14:formula1>
            <xm:f>list!$A$53:$A$56</xm:f>
          </x14:formula1>
          <xm:sqref>S31:S49 S56:S65 S85:S103 T139:T151 S110:S119</xm:sqref>
        </x14:dataValidation>
        <x14:dataValidation type="list" allowBlank="1" showInputMessage="1" showErrorMessage="1" xr:uid="{FD7E53A7-C260-4743-A7F2-1AD7F679748A}">
          <x14:formula1>
            <xm:f>INDIRECT(ПЕРИОД!$D$14)</xm:f>
          </x14:formula1>
          <xm:sqref>W139:W151</xm:sqref>
        </x14:dataValidation>
        <x14:dataValidation type="list" allowBlank="1" showInputMessage="1" showErrorMessage="1" xr:uid="{2E1ECA87-ED9B-4B80-8834-BD3D96867C53}">
          <x14:formula1>
            <xm:f>Номенклатура!$O$5:$O$22</xm:f>
          </x14:formula1>
          <xm:sqref>P31:P49 P56:P65 P85:P103 P110:P119 Q139:Q151 O125:O132 O71:O78</xm:sqref>
        </x14:dataValidation>
        <x14:dataValidation type="list" allowBlank="1" showInputMessage="1" showErrorMessage="1" xr:uid="{A68AAAA9-99F1-472E-8D48-393EB04A0953}">
          <x14:formula1>
            <xm:f>Номенклатура!$O$34:$O$36</xm:f>
          </x14:formula1>
          <xm:sqref>P125:P132 P71:P78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">
    <pageSetUpPr fitToPage="1"/>
  </sheetPr>
  <dimension ref="B1:AB42"/>
  <sheetViews>
    <sheetView showGridLines="0" showRowColHeaders="0" topLeftCell="A20" zoomScale="90" zoomScaleNormal="90" workbookViewId="0">
      <selection activeCell="B26" sqref="B26"/>
    </sheetView>
  </sheetViews>
  <sheetFormatPr defaultRowHeight="16.5" x14ac:dyDescent="0.3"/>
  <cols>
    <col min="1" max="1" width="2.28515625" style="36" customWidth="1"/>
    <col min="2" max="2" width="56.7109375" style="36" customWidth="1"/>
    <col min="3" max="3" width="17.28515625" style="36" bestFit="1" customWidth="1"/>
    <col min="4" max="5" width="28.28515625" style="36" bestFit="1" customWidth="1"/>
    <col min="6" max="6" width="11.42578125" style="36" bestFit="1" customWidth="1"/>
    <col min="7" max="7" width="12.5703125" style="36" customWidth="1"/>
    <col min="8" max="8" width="11.7109375" style="36" bestFit="1" customWidth="1"/>
    <col min="9" max="9" width="11.42578125" style="36" bestFit="1" customWidth="1"/>
    <col min="10" max="10" width="9.85546875" style="36" bestFit="1" customWidth="1"/>
    <col min="11" max="11" width="9.85546875" style="46" bestFit="1" customWidth="1"/>
    <col min="12" max="12" width="8.140625" style="46" hidden="1" customWidth="1"/>
    <col min="13" max="13" width="12.42578125" style="46" hidden="1" customWidth="1"/>
    <col min="14" max="14" width="11.7109375" style="36" hidden="1" customWidth="1"/>
    <col min="15" max="15" width="5.28515625" style="46" hidden="1" customWidth="1"/>
    <col min="16" max="16" width="10.140625" style="46" hidden="1" customWidth="1"/>
    <col min="17" max="17" width="10.28515625" style="36" hidden="1" customWidth="1"/>
    <col min="18" max="18" width="12.140625" style="36" hidden="1" customWidth="1"/>
    <col min="19" max="19" width="10" style="36" hidden="1" customWidth="1"/>
    <col min="20" max="20" width="5.85546875" style="36" hidden="1" customWidth="1"/>
    <col min="21" max="21" width="8.42578125" style="36" hidden="1" customWidth="1"/>
    <col min="22" max="22" width="12.28515625" style="36" hidden="1" customWidth="1"/>
    <col min="23" max="23" width="9.85546875" style="36" hidden="1" customWidth="1"/>
    <col min="24" max="24" width="2.7109375" style="36" hidden="1" customWidth="1"/>
    <col min="25" max="25" width="27.7109375" style="36" hidden="1" customWidth="1"/>
    <col min="26" max="26" width="8.85546875" style="36" hidden="1" customWidth="1"/>
    <col min="27" max="27" width="2.42578125" style="36" hidden="1" customWidth="1"/>
    <col min="28" max="28" width="3.140625" style="36" hidden="1" customWidth="1"/>
    <col min="29" max="46" width="0" style="36" hidden="1" customWidth="1"/>
    <col min="47" max="16384" width="9.140625" style="36"/>
  </cols>
  <sheetData>
    <row r="1" spans="2:19" x14ac:dyDescent="0.3">
      <c r="B1" s="2616" t="str">
        <f>ПЕРИОД!D12</f>
        <v>Факултет / катедра / акад. длъж.,  Преподавател</v>
      </c>
      <c r="C1" s="2616"/>
      <c r="D1" s="2616"/>
      <c r="E1" s="2616"/>
      <c r="F1" s="2616"/>
      <c r="G1" s="2616"/>
      <c r="H1" s="2616"/>
      <c r="I1" s="2616"/>
      <c r="J1" s="69"/>
    </row>
    <row r="2" spans="2:19" ht="18.75" x14ac:dyDescent="0.3">
      <c r="B2" s="2617" t="str">
        <f>ПЕРИОД!D17&amp;", ОНС ""доктор"""</f>
        <v>Индивидуален отчет, ОНС "доктор"</v>
      </c>
      <c r="C2" s="2617"/>
      <c r="D2" s="2617"/>
      <c r="E2" s="2617"/>
      <c r="F2" s="2617"/>
      <c r="G2" s="2617"/>
      <c r="H2" s="2617"/>
      <c r="I2" s="2617"/>
      <c r="J2" s="2617"/>
    </row>
    <row r="3" spans="2:19" ht="21" customHeight="1" x14ac:dyDescent="0.3">
      <c r="B3" s="2785" t="s">
        <v>117</v>
      </c>
      <c r="C3" s="2785"/>
      <c r="D3" s="2785"/>
      <c r="E3" s="2785"/>
      <c r="F3" s="2785"/>
      <c r="G3" s="2785"/>
      <c r="H3" s="2785"/>
      <c r="I3" s="2785"/>
      <c r="J3" s="70"/>
    </row>
    <row r="4" spans="2:19" ht="9" customHeight="1" x14ac:dyDescent="0.3">
      <c r="B4" s="70"/>
      <c r="C4" s="70"/>
      <c r="D4" s="70"/>
      <c r="E4" s="70"/>
      <c r="F4" s="70"/>
      <c r="G4" s="70"/>
      <c r="H4" s="70"/>
      <c r="I4" s="70"/>
      <c r="J4" s="70"/>
    </row>
    <row r="5" spans="2:19" s="35" customFormat="1" ht="19.5" customHeight="1" x14ac:dyDescent="0.3">
      <c r="B5" s="457" t="s">
        <v>1</v>
      </c>
      <c r="C5" s="527" t="s">
        <v>116</v>
      </c>
      <c r="D5" s="527" t="s">
        <v>67</v>
      </c>
      <c r="E5" s="2786" t="s">
        <v>68</v>
      </c>
      <c r="F5" s="2786"/>
      <c r="G5" s="2787" t="s">
        <v>149</v>
      </c>
      <c r="H5" s="2787"/>
      <c r="I5" s="530" t="s">
        <v>112</v>
      </c>
      <c r="J5" s="2786" t="s">
        <v>118</v>
      </c>
      <c r="K5" s="2788"/>
      <c r="L5" s="47"/>
      <c r="M5" s="47"/>
      <c r="O5" s="47"/>
      <c r="P5" s="47"/>
      <c r="R5"/>
      <c r="S5"/>
    </row>
    <row r="6" spans="2:19" s="35" customFormat="1" ht="9" customHeight="1" thickBot="1" x14ac:dyDescent="0.35">
      <c r="B6" s="89"/>
      <c r="C6" s="90"/>
      <c r="D6" s="88"/>
      <c r="E6" s="88"/>
      <c r="F6" s="88"/>
      <c r="G6" s="90"/>
      <c r="I6" s="88"/>
      <c r="J6" s="88"/>
      <c r="K6" s="47"/>
      <c r="L6" s="47"/>
      <c r="M6" s="47"/>
      <c r="O6" s="47"/>
      <c r="P6" s="47"/>
    </row>
    <row r="7" spans="2:19" ht="20.25" x14ac:dyDescent="0.3">
      <c r="B7" s="2628" t="s">
        <v>111</v>
      </c>
      <c r="C7" s="2629"/>
      <c r="D7" s="2629"/>
      <c r="E7" s="2629"/>
      <c r="F7" s="2629"/>
      <c r="G7" s="2629"/>
      <c r="H7" s="2629"/>
      <c r="I7" s="2629"/>
      <c r="J7" s="2629"/>
      <c r="K7" s="2630"/>
    </row>
    <row r="8" spans="2:19" ht="21" customHeight="1" x14ac:dyDescent="0.3">
      <c r="B8" s="2770" t="s">
        <v>489</v>
      </c>
      <c r="C8" s="2771"/>
      <c r="D8" s="2771"/>
      <c r="E8" s="2771"/>
      <c r="F8" s="2771"/>
      <c r="G8" s="2771"/>
      <c r="H8" s="2771"/>
      <c r="I8" s="2771"/>
      <c r="J8" s="2771"/>
      <c r="K8" s="2772"/>
    </row>
    <row r="9" spans="2:19" x14ac:dyDescent="0.3">
      <c r="B9" s="2773" t="s">
        <v>482</v>
      </c>
      <c r="C9" s="2774"/>
      <c r="D9" s="2774"/>
      <c r="E9" s="2774"/>
      <c r="F9" s="2774"/>
      <c r="G9" s="2774"/>
      <c r="H9" s="2774"/>
      <c r="I9" s="2774"/>
      <c r="J9" s="2774"/>
      <c r="K9" s="2775"/>
    </row>
    <row r="10" spans="2:19" x14ac:dyDescent="0.3">
      <c r="B10" s="2773" t="s">
        <v>483</v>
      </c>
      <c r="C10" s="2774"/>
      <c r="D10" s="2774"/>
      <c r="E10" s="2774"/>
      <c r="F10" s="2774"/>
      <c r="G10" s="2774"/>
      <c r="H10" s="2774"/>
      <c r="I10" s="2774"/>
      <c r="J10" s="2774"/>
      <c r="K10" s="2775"/>
    </row>
    <row r="11" spans="2:19" s="38" customFormat="1" x14ac:dyDescent="0.25">
      <c r="B11" s="2773" t="s">
        <v>484</v>
      </c>
      <c r="C11" s="2774"/>
      <c r="D11" s="2774"/>
      <c r="E11" s="2774"/>
      <c r="F11" s="2774"/>
      <c r="G11" s="2774"/>
      <c r="H11" s="2774"/>
      <c r="I11" s="2774"/>
      <c r="J11" s="2774"/>
      <c r="K11" s="2775"/>
      <c r="L11" s="83"/>
      <c r="M11" s="83"/>
      <c r="O11" s="83"/>
      <c r="P11" s="83"/>
    </row>
    <row r="12" spans="2:19" s="38" customFormat="1" ht="16.5" customHeight="1" x14ac:dyDescent="0.25">
      <c r="B12" s="2789" t="s">
        <v>493</v>
      </c>
      <c r="C12" s="2790"/>
      <c r="D12" s="2790"/>
      <c r="E12" s="2790"/>
      <c r="F12" s="2790"/>
      <c r="G12" s="2790"/>
      <c r="H12" s="2790"/>
      <c r="I12" s="2790"/>
      <c r="J12" s="2790"/>
      <c r="K12" s="2791"/>
      <c r="L12" s="83"/>
      <c r="M12" s="83"/>
      <c r="O12" s="83"/>
      <c r="P12" s="83"/>
    </row>
    <row r="13" spans="2:19" s="38" customFormat="1" x14ac:dyDescent="0.25">
      <c r="B13" s="2773" t="s">
        <v>485</v>
      </c>
      <c r="C13" s="2774"/>
      <c r="D13" s="2774"/>
      <c r="E13" s="2774"/>
      <c r="F13" s="2774"/>
      <c r="G13" s="2774"/>
      <c r="H13" s="2774"/>
      <c r="I13" s="2774"/>
      <c r="J13" s="2774"/>
      <c r="K13" s="2775"/>
      <c r="L13" s="83"/>
      <c r="M13" s="83"/>
      <c r="O13" s="83"/>
      <c r="P13" s="83"/>
    </row>
    <row r="14" spans="2:19" ht="36" customHeight="1" x14ac:dyDescent="0.3">
      <c r="B14" s="2789" t="s">
        <v>514</v>
      </c>
      <c r="C14" s="2790"/>
      <c r="D14" s="2790"/>
      <c r="E14" s="2790"/>
      <c r="F14" s="2790"/>
      <c r="G14" s="2790"/>
      <c r="H14" s="2790"/>
      <c r="I14" s="2790"/>
      <c r="J14" s="2790"/>
      <c r="K14" s="2791"/>
    </row>
    <row r="15" spans="2:19" s="38" customFormat="1" x14ac:dyDescent="0.25">
      <c r="B15" s="2773" t="s">
        <v>486</v>
      </c>
      <c r="C15" s="2774"/>
      <c r="D15" s="2774"/>
      <c r="E15" s="2774"/>
      <c r="F15" s="2774"/>
      <c r="G15" s="2774"/>
      <c r="H15" s="2774"/>
      <c r="I15" s="2774"/>
      <c r="J15" s="2774"/>
      <c r="K15" s="2775"/>
      <c r="L15" s="83"/>
      <c r="M15" s="83"/>
      <c r="O15" s="83"/>
      <c r="P15" s="83"/>
    </row>
    <row r="16" spans="2:19" s="38" customFormat="1" x14ac:dyDescent="0.25">
      <c r="B16" s="2773" t="s">
        <v>515</v>
      </c>
      <c r="C16" s="2774"/>
      <c r="D16" s="2774"/>
      <c r="E16" s="2774"/>
      <c r="F16" s="2774"/>
      <c r="G16" s="2774"/>
      <c r="H16" s="2774"/>
      <c r="I16" s="2774"/>
      <c r="J16" s="2774"/>
      <c r="K16" s="2775"/>
      <c r="L16" s="83"/>
      <c r="M16" s="83"/>
      <c r="O16" s="83"/>
      <c r="P16" s="83"/>
    </row>
    <row r="17" spans="2:28" x14ac:dyDescent="0.3">
      <c r="B17" s="2770" t="s">
        <v>490</v>
      </c>
      <c r="C17" s="2771"/>
      <c r="D17" s="2771"/>
      <c r="E17" s="2771"/>
      <c r="F17" s="2771"/>
      <c r="G17" s="2771"/>
      <c r="H17" s="2771"/>
      <c r="I17" s="2771"/>
      <c r="J17" s="2771"/>
      <c r="K17" s="2772"/>
    </row>
    <row r="18" spans="2:28" s="38" customFormat="1" x14ac:dyDescent="0.25">
      <c r="B18" s="2773" t="s">
        <v>487</v>
      </c>
      <c r="C18" s="2774"/>
      <c r="D18" s="2774"/>
      <c r="E18" s="2774"/>
      <c r="F18" s="2774"/>
      <c r="G18" s="2774"/>
      <c r="H18" s="2774"/>
      <c r="I18" s="2774"/>
      <c r="J18" s="2774"/>
      <c r="K18" s="2775"/>
      <c r="L18" s="83"/>
      <c r="M18" s="83"/>
      <c r="O18" s="83"/>
      <c r="P18" s="83"/>
    </row>
    <row r="19" spans="2:28" s="38" customFormat="1" ht="17.25" thickBot="1" x14ac:dyDescent="0.3">
      <c r="B19" s="2776" t="s">
        <v>481</v>
      </c>
      <c r="C19" s="2777"/>
      <c r="D19" s="2777"/>
      <c r="E19" s="2777"/>
      <c r="F19" s="2777"/>
      <c r="G19" s="2777"/>
      <c r="H19" s="2777"/>
      <c r="I19" s="2777"/>
      <c r="J19" s="2777"/>
      <c r="K19" s="2778"/>
      <c r="L19" s="83"/>
      <c r="M19" s="83"/>
      <c r="O19" s="83"/>
      <c r="P19" s="83"/>
    </row>
    <row r="20" spans="2:28" ht="9.9499999999999993" customHeight="1" x14ac:dyDescent="0.3"/>
    <row r="21" spans="2:28" ht="18.75" customHeight="1" x14ac:dyDescent="0.3">
      <c r="B21" s="2779" t="str">
        <f>"1. ОНС ""доктор"", аудиторна заетост и изпити по учебен план "&amp;'1. Планд'!D23&amp;" учебна година"</f>
        <v>1. ОНС "доктор", аудиторна заетост и изпити по учебен план 2024/2025 учебна година</v>
      </c>
      <c r="C21" s="2780"/>
      <c r="D21" s="2780"/>
      <c r="E21" s="2780"/>
      <c r="F21" s="2780"/>
      <c r="G21" s="2780"/>
      <c r="H21" s="2780"/>
      <c r="I21" s="2780"/>
      <c r="J21" s="2780"/>
      <c r="K21" s="2781"/>
    </row>
    <row r="22" spans="2:28" ht="17.25" customHeight="1" thickBot="1" x14ac:dyDescent="0.35">
      <c r="B22" s="2782" t="s">
        <v>469</v>
      </c>
      <c r="C22" s="2783"/>
      <c r="D22" s="2783"/>
      <c r="E22" s="2783"/>
      <c r="F22" s="2783"/>
      <c r="G22" s="2783"/>
      <c r="H22" s="2783"/>
      <c r="I22" s="2783"/>
      <c r="J22" s="2783"/>
      <c r="K22" s="2784"/>
    </row>
    <row r="23" spans="2:28" ht="17.25" thickBot="1" x14ac:dyDescent="0.35">
      <c r="B23" s="2761" t="s">
        <v>518</v>
      </c>
      <c r="C23" s="2763" t="s">
        <v>18</v>
      </c>
      <c r="D23" s="2759" t="s">
        <v>206</v>
      </c>
      <c r="E23" s="2768" t="s">
        <v>207</v>
      </c>
      <c r="F23" s="2766" t="s">
        <v>21</v>
      </c>
      <c r="G23" s="2761" t="s">
        <v>332</v>
      </c>
      <c r="H23" s="2759"/>
      <c r="I23" s="2759"/>
      <c r="J23" s="2765"/>
      <c r="K23" s="2756" t="s">
        <v>135</v>
      </c>
      <c r="N23" s="46"/>
      <c r="O23" s="36"/>
      <c r="Q23" s="46"/>
    </row>
    <row r="24" spans="2:28" ht="16.5" customHeight="1" thickBot="1" x14ac:dyDescent="0.35">
      <c r="B24" s="2762"/>
      <c r="C24" s="2764"/>
      <c r="D24" s="2760"/>
      <c r="E24" s="2769"/>
      <c r="F24" s="2767"/>
      <c r="G24" s="209" t="s">
        <v>398</v>
      </c>
      <c r="H24" s="200" t="s">
        <v>331</v>
      </c>
      <c r="I24" s="200" t="s">
        <v>339</v>
      </c>
      <c r="J24" s="210" t="s">
        <v>327</v>
      </c>
      <c r="K24" s="2757"/>
      <c r="L24" s="2754" t="s">
        <v>746</v>
      </c>
      <c r="M24" s="2758"/>
      <c r="N24" s="2758"/>
      <c r="O24" s="2758"/>
      <c r="P24" s="2758"/>
      <c r="Q24" s="2755"/>
      <c r="R24" s="1651" t="s">
        <v>405</v>
      </c>
      <c r="S24" s="2754" t="s">
        <v>310</v>
      </c>
      <c r="T24" s="2755"/>
      <c r="U24" s="2754" t="s">
        <v>336</v>
      </c>
      <c r="V24" s="2758"/>
      <c r="W24" s="2755"/>
      <c r="X24" s="2747" t="s">
        <v>9528</v>
      </c>
      <c r="Y24" s="2748"/>
      <c r="Z24" s="2749"/>
    </row>
    <row r="25" spans="2:28" s="48" customFormat="1" ht="17.25" hidden="1" thickBot="1" x14ac:dyDescent="0.3">
      <c r="B25" s="140" t="s">
        <v>191</v>
      </c>
      <c r="C25" s="140" t="s">
        <v>18</v>
      </c>
      <c r="D25" s="140" t="s">
        <v>206</v>
      </c>
      <c r="E25" s="141" t="s">
        <v>207</v>
      </c>
      <c r="F25" s="145" t="s">
        <v>21</v>
      </c>
      <c r="G25" s="142" t="s">
        <v>398</v>
      </c>
      <c r="H25" s="140" t="s">
        <v>331</v>
      </c>
      <c r="I25" s="140" t="s">
        <v>339</v>
      </c>
      <c r="J25" s="143" t="s">
        <v>327</v>
      </c>
      <c r="K25" s="140" t="s">
        <v>135</v>
      </c>
      <c r="L25" s="624" t="s">
        <v>745</v>
      </c>
      <c r="M25" s="625" t="s">
        <v>748</v>
      </c>
      <c r="N25" s="625" t="s">
        <v>749</v>
      </c>
      <c r="O25" s="625" t="s">
        <v>747</v>
      </c>
      <c r="P25" s="625" t="s">
        <v>335</v>
      </c>
      <c r="Q25" s="626" t="s">
        <v>660</v>
      </c>
      <c r="R25" s="143" t="s">
        <v>404</v>
      </c>
      <c r="S25" s="142" t="s">
        <v>312</v>
      </c>
      <c r="T25" s="140" t="s">
        <v>311</v>
      </c>
      <c r="U25" s="624" t="s">
        <v>338</v>
      </c>
      <c r="V25" s="625" t="s">
        <v>399</v>
      </c>
      <c r="W25" s="626" t="s">
        <v>387</v>
      </c>
      <c r="X25" s="1650" t="s">
        <v>1092</v>
      </c>
      <c r="Y25" s="1653" t="s">
        <v>7736</v>
      </c>
      <c r="Z25" s="1654" t="s">
        <v>7828</v>
      </c>
    </row>
    <row r="26" spans="2:28" s="42" customFormat="1" ht="20.25" x14ac:dyDescent="0.3">
      <c r="B26" s="553"/>
      <c r="C26" s="553"/>
      <c r="D26" s="553"/>
      <c r="E26" s="553"/>
      <c r="F26" s="564" t="s">
        <v>84</v>
      </c>
      <c r="G26" s="265"/>
      <c r="H26" s="243"/>
      <c r="I26" s="243"/>
      <c r="J26" s="244"/>
      <c r="K26" s="703"/>
      <c r="L26" s="1701">
        <f>((9-COUNTBLANK(DrAZ[[#This Row],[Докторански курс]:[Семестър]]))&gt;1)*1</f>
        <v>0</v>
      </c>
      <c r="M26" s="1702">
        <f>DrAZ[[#This Row],[пПразни]]*(3-COUNTBLANK(DrAZ[[#This Row],[Докторански курс]:[Професионално направление]])&lt;=3)</f>
        <v>0</v>
      </c>
      <c r="N26" s="1702">
        <f>DrAZ[[#This Row],[пПразни]]*(N(DrAZ[[#This Row],[Докторанти]])=0)</f>
        <v>0</v>
      </c>
      <c r="O26" s="1702">
        <f>DrAZ[[#This Row],[пПразни]]*(SUM(DrAZ[[#This Row],[Лекции]:[Упражнения]])=0)</f>
        <v>0</v>
      </c>
      <c r="P26" s="1702">
        <f>DrAZ[[#This Row],[пПразни]]*(N(DrAZ[[#This Row],[Изпитани]])=0)</f>
        <v>0</v>
      </c>
      <c r="Q26" s="1703">
        <f>DrAZ[[#This Row],[пПразни]]*(LEN(DrAZ[[#This Row],[Семестър]])=0)</f>
        <v>0</v>
      </c>
      <c r="R26" s="1704" t="str">
        <f>IF(DrAZ[[#This Row],[пПразни]],DrAZ[[#This Row],[Семестър]]&amp;"|"&amp;DrAZ[[#This Row],[Език]],"")</f>
        <v/>
      </c>
      <c r="S26" s="1705">
        <f>IF(DrAZ[[#This Row],[Докторанти]]&gt;=3,1,IFERROR(VLOOKUP(DrAZ[[#This Row],[Докторанти]],RedukciaDr[],2,0),0))</f>
        <v>0</v>
      </c>
      <c r="T26" s="1706">
        <f>IF(DrAZ[[#This Row],[Език]]="чужд",1.5,1)</f>
        <v>1</v>
      </c>
      <c r="U26" s="1701">
        <f>DrAZ[[#This Row],[Лекции]]*DrAZ[[#This Row],[кРедукция]]*DrAZ[[#This Row],[кЕзик]]*кЛекции</f>
        <v>0</v>
      </c>
      <c r="V26" s="1702">
        <f>DrAZ[[#This Row],[Упражнения]]*DrAZ[[#This Row],[кРедукция]]*DrAZ[[#This Row],[кЕзик]]*кУпражнение</f>
        <v>0</v>
      </c>
      <c r="W26" s="1703">
        <f>DrAZ[[#This Row],[Изпитани]]*кИзпитаниДок</f>
        <v>0</v>
      </c>
      <c r="X26" s="1707">
        <f ca="1">N(OFFSET(DrAZ[[#This Row],[|]],-1,0))+1</f>
        <v>1</v>
      </c>
      <c r="Y26" s="1670" t="str">
        <f>IF(DrAZ[[#This Row],[уЧасове]],"2|2-"&amp;DrAZ[[#This Row],[Факултет]]&amp;"-док|Док","")</f>
        <v/>
      </c>
      <c r="Z26" s="1645">
        <f>IF(OR(DrAZ[[#This Row],[Семестър]]="летен", DrAZ[[#This Row],[Семестър]]="зимен"),SUM(DrAZ[[#This Row],[чЛекции]:[чИзпитани]]),0)</f>
        <v>0</v>
      </c>
      <c r="AB26" s="1661" t="s">
        <v>400</v>
      </c>
    </row>
    <row r="27" spans="2:28" s="42" customFormat="1" ht="20.25" x14ac:dyDescent="0.3">
      <c r="B27" s="553"/>
      <c r="C27" s="553"/>
      <c r="D27" s="553"/>
      <c r="E27" s="553"/>
      <c r="F27" s="564" t="s">
        <v>84</v>
      </c>
      <c r="G27" s="265"/>
      <c r="H27" s="243"/>
      <c r="I27" s="243"/>
      <c r="J27" s="244"/>
      <c r="K27" s="704"/>
      <c r="L27" s="1708">
        <f>((9-COUNTBLANK(DrAZ[[#This Row],[Докторански курс]:[Семестър]]))&gt;1)*1</f>
        <v>0</v>
      </c>
      <c r="M27" s="1709">
        <f>DrAZ[[#This Row],[пПразни]]*(3-COUNTBLANK(DrAZ[[#This Row],[Докторански курс]:[Професионално направление]])&lt;=3)</f>
        <v>0</v>
      </c>
      <c r="N27" s="1709">
        <f>DrAZ[[#This Row],[пПразни]]*(N(DrAZ[[#This Row],[Докторанти]])=0)</f>
        <v>0</v>
      </c>
      <c r="O27" s="1709">
        <f>DrAZ[[#This Row],[пПразни]]*(SUM(DrAZ[[#This Row],[Лекции]:[Упражнения]])=0)</f>
        <v>0</v>
      </c>
      <c r="P27" s="1709">
        <f>DrAZ[[#This Row],[пПразни]]*(N(DrAZ[[#This Row],[Изпитани]])=0)</f>
        <v>0</v>
      </c>
      <c r="Q27" s="1710">
        <f>DrAZ[[#This Row],[пПразни]]*(LEN(DrAZ[[#This Row],[Семестър]])=0)</f>
        <v>0</v>
      </c>
      <c r="R27" s="1704" t="str">
        <f>IF(DrAZ[[#This Row],[пПразни]],DrAZ[[#This Row],[Семестър]]&amp;"|"&amp;DrAZ[[#This Row],[Език]],"")</f>
        <v/>
      </c>
      <c r="S27" s="1705">
        <f>IF(DrAZ[[#This Row],[Докторанти]]&gt;=3,1,IFERROR(VLOOKUP(DrAZ[[#This Row],[Докторанти]],RedukciaDr[],2,0),0))</f>
        <v>0</v>
      </c>
      <c r="T27" s="1706">
        <f>IF(DrAZ[[#This Row],[Език]]="чужд",1.5,1)</f>
        <v>1</v>
      </c>
      <c r="U27" s="1708">
        <f>DrAZ[[#This Row],[Лекции]]*DrAZ[[#This Row],[кРедукция]]*DrAZ[[#This Row],[кЕзик]]*кЛекции</f>
        <v>0</v>
      </c>
      <c r="V27" s="1709">
        <f>DrAZ[[#This Row],[Упражнения]]*DrAZ[[#This Row],[кРедукция]]*DrAZ[[#This Row],[кЕзик]]*кУпражнение</f>
        <v>0</v>
      </c>
      <c r="W27" s="1710">
        <f>DrAZ[[#This Row],[Изпитани]]*кИзпитаниДок</f>
        <v>0</v>
      </c>
      <c r="X27" s="1707">
        <f ca="1">N(OFFSET(DrAZ[[#This Row],[|]],-1,0))+1</f>
        <v>2</v>
      </c>
      <c r="Y27" s="1670" t="str">
        <f>IF(DrAZ[[#This Row],[уЧасове]],"2|2-"&amp;DrAZ[[#This Row],[Факултет]]&amp;"-док|Док","")</f>
        <v/>
      </c>
      <c r="Z27" s="1645">
        <f>IF(OR(DrAZ[[#This Row],[Семестър]]="летен", DrAZ[[#This Row],[Семестър]]="зимен"),SUM(DrAZ[[#This Row],[чЛекции]:[чИзпитани]]),0)</f>
        <v>0</v>
      </c>
      <c r="AB27" s="1661" t="s">
        <v>400</v>
      </c>
    </row>
    <row r="28" spans="2:28" s="42" customFormat="1" ht="20.25" x14ac:dyDescent="0.3">
      <c r="B28" s="553"/>
      <c r="C28" s="553"/>
      <c r="D28" s="553"/>
      <c r="E28" s="553"/>
      <c r="F28" s="564" t="s">
        <v>84</v>
      </c>
      <c r="G28" s="265"/>
      <c r="H28" s="243"/>
      <c r="I28" s="243"/>
      <c r="J28" s="244"/>
      <c r="K28" s="704"/>
      <c r="L28" s="1708">
        <f>((9-COUNTBLANK(DrAZ[[#This Row],[Докторански курс]:[Семестър]]))&gt;1)*1</f>
        <v>0</v>
      </c>
      <c r="M28" s="1709">
        <f>DrAZ[[#This Row],[пПразни]]*(3-COUNTBLANK(DrAZ[[#This Row],[Докторански курс]:[Професионално направление]])&lt;=3)</f>
        <v>0</v>
      </c>
      <c r="N28" s="1709">
        <f>DrAZ[[#This Row],[пПразни]]*(N(DrAZ[[#This Row],[Докторанти]])=0)</f>
        <v>0</v>
      </c>
      <c r="O28" s="1709">
        <f>DrAZ[[#This Row],[пПразни]]*(SUM(DrAZ[[#This Row],[Лекции]:[Упражнения]])=0)</f>
        <v>0</v>
      </c>
      <c r="P28" s="1709">
        <f>DrAZ[[#This Row],[пПразни]]*(N(DrAZ[[#This Row],[Изпитани]])=0)</f>
        <v>0</v>
      </c>
      <c r="Q28" s="1710">
        <f>DrAZ[[#This Row],[пПразни]]*(LEN(DrAZ[[#This Row],[Семестър]])=0)</f>
        <v>0</v>
      </c>
      <c r="R28" s="1704" t="str">
        <f>IF(DrAZ[[#This Row],[пПразни]],DrAZ[[#This Row],[Семестър]]&amp;"|"&amp;DrAZ[[#This Row],[Език]],"")</f>
        <v/>
      </c>
      <c r="S28" s="1705">
        <f>IF(DrAZ[[#This Row],[Докторанти]]&gt;=3,1,IFERROR(VLOOKUP(DrAZ[[#This Row],[Докторанти]],RedukciaDr[],2,0),0))</f>
        <v>0</v>
      </c>
      <c r="T28" s="1706">
        <f>IF(DrAZ[[#This Row],[Език]]="чужд",1.5,1)</f>
        <v>1</v>
      </c>
      <c r="U28" s="1708">
        <f>DrAZ[[#This Row],[Лекции]]*DrAZ[[#This Row],[кРедукция]]*DrAZ[[#This Row],[кЕзик]]*кЛекции</f>
        <v>0</v>
      </c>
      <c r="V28" s="1709">
        <f>DrAZ[[#This Row],[Упражнения]]*DrAZ[[#This Row],[кРедукция]]*DrAZ[[#This Row],[кЕзик]]*кУпражнение</f>
        <v>0</v>
      </c>
      <c r="W28" s="1710">
        <f>DrAZ[[#This Row],[Изпитани]]*кИзпитаниДок</f>
        <v>0</v>
      </c>
      <c r="X28" s="1707">
        <f ca="1">N(OFFSET(DrAZ[[#This Row],[|]],-1,0))+1</f>
        <v>3</v>
      </c>
      <c r="Y28" s="1670" t="str">
        <f>IF(DrAZ[[#This Row],[уЧасове]],"2|2-"&amp;DrAZ[[#This Row],[Факултет]]&amp;"-док|Док","")</f>
        <v/>
      </c>
      <c r="Z28" s="1645">
        <f>IF(OR(DrAZ[[#This Row],[Семестър]]="летен", DrAZ[[#This Row],[Семестър]]="зимен"),SUM(DrAZ[[#This Row],[чЛекции]:[чИзпитани]]),0)</f>
        <v>0</v>
      </c>
      <c r="AB28" s="1661" t="s">
        <v>400</v>
      </c>
    </row>
    <row r="29" spans="2:28" s="42" customFormat="1" ht="20.25" x14ac:dyDescent="0.3">
      <c r="B29" s="553"/>
      <c r="C29" s="553"/>
      <c r="D29" s="553"/>
      <c r="E29" s="553"/>
      <c r="F29" s="564" t="s">
        <v>84</v>
      </c>
      <c r="G29" s="265"/>
      <c r="H29" s="243"/>
      <c r="I29" s="243"/>
      <c r="J29" s="244"/>
      <c r="K29" s="704"/>
      <c r="L29" s="1708">
        <f>((9-COUNTBLANK(DrAZ[[#This Row],[Докторански курс]:[Семестър]]))&gt;1)*1</f>
        <v>0</v>
      </c>
      <c r="M29" s="1709">
        <f>DrAZ[[#This Row],[пПразни]]*(3-COUNTBLANK(DrAZ[[#This Row],[Докторански курс]:[Професионално направление]])&lt;=3)</f>
        <v>0</v>
      </c>
      <c r="N29" s="1709">
        <f>DrAZ[[#This Row],[пПразни]]*(N(DrAZ[[#This Row],[Докторанти]])=0)</f>
        <v>0</v>
      </c>
      <c r="O29" s="1709">
        <f>DrAZ[[#This Row],[пПразни]]*(SUM(DrAZ[[#This Row],[Лекции]:[Упражнения]])=0)</f>
        <v>0</v>
      </c>
      <c r="P29" s="1709">
        <f>DrAZ[[#This Row],[пПразни]]*(N(DrAZ[[#This Row],[Изпитани]])=0)</f>
        <v>0</v>
      </c>
      <c r="Q29" s="1710">
        <f>DrAZ[[#This Row],[пПразни]]*(LEN(DrAZ[[#This Row],[Семестър]])=0)</f>
        <v>0</v>
      </c>
      <c r="R29" s="1704" t="str">
        <f>IF(DrAZ[[#This Row],[пПразни]],DrAZ[[#This Row],[Семестър]]&amp;"|"&amp;DrAZ[[#This Row],[Език]],"")</f>
        <v/>
      </c>
      <c r="S29" s="1705">
        <f>IF(DrAZ[[#This Row],[Докторанти]]&gt;=3,1,IFERROR(VLOOKUP(DrAZ[[#This Row],[Докторанти]],RedukciaDr[],2,0),0))</f>
        <v>0</v>
      </c>
      <c r="T29" s="1706">
        <f>IF(DrAZ[[#This Row],[Език]]="чужд",1.5,1)</f>
        <v>1</v>
      </c>
      <c r="U29" s="1708">
        <f>DrAZ[[#This Row],[Лекции]]*DrAZ[[#This Row],[кРедукция]]*DrAZ[[#This Row],[кЕзик]]*кЛекции</f>
        <v>0</v>
      </c>
      <c r="V29" s="1709">
        <f>DrAZ[[#This Row],[Упражнения]]*DrAZ[[#This Row],[кРедукция]]*DrAZ[[#This Row],[кЕзик]]*кУпражнение</f>
        <v>0</v>
      </c>
      <c r="W29" s="1710">
        <f>DrAZ[[#This Row],[Изпитани]]*кИзпитаниДок</f>
        <v>0</v>
      </c>
      <c r="X29" s="1707">
        <f ca="1">N(OFFSET(DrAZ[[#This Row],[|]],-1,0))+1</f>
        <v>4</v>
      </c>
      <c r="Y29" s="1670" t="str">
        <f>IF(DrAZ[[#This Row],[уЧасове]],"2|2-"&amp;DrAZ[[#This Row],[Факултет]]&amp;"-док|Док","")</f>
        <v/>
      </c>
      <c r="Z29" s="1645">
        <f>IF(OR(DrAZ[[#This Row],[Семестър]]="летен", DrAZ[[#This Row],[Семестър]]="зимен"),SUM(DrAZ[[#This Row],[чЛекции]:[чИзпитани]]),0)</f>
        <v>0</v>
      </c>
      <c r="AB29" s="1661" t="s">
        <v>400</v>
      </c>
    </row>
    <row r="30" spans="2:28" s="42" customFormat="1" ht="20.25" x14ac:dyDescent="0.3">
      <c r="B30" s="553"/>
      <c r="C30" s="553"/>
      <c r="D30" s="553"/>
      <c r="E30" s="553"/>
      <c r="F30" s="564" t="s">
        <v>84</v>
      </c>
      <c r="G30" s="265"/>
      <c r="H30" s="243"/>
      <c r="I30" s="243"/>
      <c r="J30" s="244"/>
      <c r="K30" s="704"/>
      <c r="L30" s="1708">
        <f>((9-COUNTBLANK(DrAZ[[#This Row],[Докторански курс]:[Семестър]]))&gt;1)*1</f>
        <v>0</v>
      </c>
      <c r="M30" s="1709">
        <f>DrAZ[[#This Row],[пПразни]]*(3-COUNTBLANK(DrAZ[[#This Row],[Докторански курс]:[Професионално направление]])&lt;=3)</f>
        <v>0</v>
      </c>
      <c r="N30" s="1709">
        <f>DrAZ[[#This Row],[пПразни]]*(N(DrAZ[[#This Row],[Докторанти]])=0)</f>
        <v>0</v>
      </c>
      <c r="O30" s="1709">
        <f>DrAZ[[#This Row],[пПразни]]*(SUM(DrAZ[[#This Row],[Лекции]:[Упражнения]])=0)</f>
        <v>0</v>
      </c>
      <c r="P30" s="1709">
        <f>DrAZ[[#This Row],[пПразни]]*(N(DrAZ[[#This Row],[Изпитани]])=0)</f>
        <v>0</v>
      </c>
      <c r="Q30" s="1710">
        <f>DrAZ[[#This Row],[пПразни]]*(LEN(DrAZ[[#This Row],[Семестър]])=0)</f>
        <v>0</v>
      </c>
      <c r="R30" s="1704" t="str">
        <f>IF(DrAZ[[#This Row],[пПразни]],DrAZ[[#This Row],[Семестър]]&amp;"|"&amp;DrAZ[[#This Row],[Език]],"")</f>
        <v/>
      </c>
      <c r="S30" s="1705">
        <f>IF(DrAZ[[#This Row],[Докторанти]]&gt;=3,1,IFERROR(VLOOKUP(DrAZ[[#This Row],[Докторанти]],RedukciaDr[],2,0),0))</f>
        <v>0</v>
      </c>
      <c r="T30" s="1706">
        <f>IF(DrAZ[[#This Row],[Език]]="чужд",1.5,1)</f>
        <v>1</v>
      </c>
      <c r="U30" s="1708">
        <f>DrAZ[[#This Row],[Лекции]]*DrAZ[[#This Row],[кРедукция]]*DrAZ[[#This Row],[кЕзик]]*кЛекции</f>
        <v>0</v>
      </c>
      <c r="V30" s="1709">
        <f>DrAZ[[#This Row],[Упражнения]]*DrAZ[[#This Row],[кРедукция]]*DrAZ[[#This Row],[кЕзик]]*кУпражнение</f>
        <v>0</v>
      </c>
      <c r="W30" s="1710">
        <f>DrAZ[[#This Row],[Изпитани]]*кИзпитаниДок</f>
        <v>0</v>
      </c>
      <c r="X30" s="1707">
        <f ca="1">N(OFFSET(DrAZ[[#This Row],[|]],-1,0))+1</f>
        <v>5</v>
      </c>
      <c r="Y30" s="1670" t="str">
        <f>IF(DrAZ[[#This Row],[уЧасове]],"2|2-"&amp;DrAZ[[#This Row],[Факултет]]&amp;"-док|Док","")</f>
        <v/>
      </c>
      <c r="Z30" s="1645">
        <f>IF(OR(DrAZ[[#This Row],[Семестър]]="летен", DrAZ[[#This Row],[Семестър]]="зимен"),SUM(DrAZ[[#This Row],[чЛекции]:[чИзпитани]]),0)</f>
        <v>0</v>
      </c>
      <c r="AB30" s="1661" t="s">
        <v>400</v>
      </c>
    </row>
    <row r="31" spans="2:28" s="42" customFormat="1" ht="21" thickBot="1" x14ac:dyDescent="0.35">
      <c r="B31" s="553"/>
      <c r="C31" s="553"/>
      <c r="D31" s="553"/>
      <c r="E31" s="553"/>
      <c r="F31" s="569" t="s">
        <v>84</v>
      </c>
      <c r="G31" s="266"/>
      <c r="H31" s="267"/>
      <c r="I31" s="267"/>
      <c r="J31" s="268"/>
      <c r="K31" s="705"/>
      <c r="L31" s="1711">
        <f>((9-COUNTBLANK(DrAZ[[#This Row],[Докторански курс]:[Семестър]]))&gt;1)*1</f>
        <v>0</v>
      </c>
      <c r="M31" s="1712">
        <f>DrAZ[[#This Row],[пПразни]]*(3-COUNTBLANK(DrAZ[[#This Row],[Докторански курс]:[Професионално направление]])&lt;=3)</f>
        <v>0</v>
      </c>
      <c r="N31" s="1712">
        <f>DrAZ[[#This Row],[пПразни]]*(N(DrAZ[[#This Row],[Докторанти]])=0)</f>
        <v>0</v>
      </c>
      <c r="O31" s="1712">
        <f>DrAZ[[#This Row],[пПразни]]*(SUM(DrAZ[[#This Row],[Лекции]:[Упражнения]])=0)</f>
        <v>0</v>
      </c>
      <c r="P31" s="1712">
        <f>DrAZ[[#This Row],[пПразни]]*(N(DrAZ[[#This Row],[Изпитани]])=0)</f>
        <v>0</v>
      </c>
      <c r="Q31" s="1713">
        <f>DrAZ[[#This Row],[пПразни]]*(LEN(DrAZ[[#This Row],[Семестър]])=0)</f>
        <v>0</v>
      </c>
      <c r="R31" s="1714" t="str">
        <f>IF(DrAZ[[#This Row],[пПразни]],DrAZ[[#This Row],[Семестър]]&amp;"|"&amp;DrAZ[[#This Row],[Език]],"")</f>
        <v/>
      </c>
      <c r="S31" s="1715">
        <f>IF(DrAZ[[#This Row],[Докторанти]]&gt;=3,1,IFERROR(VLOOKUP(DrAZ[[#This Row],[Докторанти]],RedukciaDr[],2,0),0))</f>
        <v>0</v>
      </c>
      <c r="T31" s="1716">
        <f>IF(DrAZ[[#This Row],[Език]]="чужд",1.5,1)</f>
        <v>1</v>
      </c>
      <c r="U31" s="1711">
        <f>DrAZ[[#This Row],[Лекции]]*DrAZ[[#This Row],[кРедукция]]*DrAZ[[#This Row],[кЕзик]]*кЛекции</f>
        <v>0</v>
      </c>
      <c r="V31" s="1712">
        <f>DrAZ[[#This Row],[Упражнения]]*DrAZ[[#This Row],[кРедукция]]*DrAZ[[#This Row],[кЕзик]]*кУпражнение</f>
        <v>0</v>
      </c>
      <c r="W31" s="1713">
        <f>DrAZ[[#This Row],[Изпитани]]*кИзпитаниДок</f>
        <v>0</v>
      </c>
      <c r="X31" s="1717">
        <f ca="1">N(OFFSET(DrAZ[[#This Row],[|]],-1,0))+1</f>
        <v>6</v>
      </c>
      <c r="Y31" s="1670" t="str">
        <f>IF(DrAZ[[#This Row],[уЧасове]],"2|2-"&amp;DrAZ[[#This Row],[Факултет]]&amp;"-док|Док","")</f>
        <v/>
      </c>
      <c r="Z31" s="1645">
        <f>IF(OR(DrAZ[[#This Row],[Семестър]]="летен", DrAZ[[#This Row],[Семестър]]="зимен"),SUM(DrAZ[[#This Row],[чЛекции]:[чИзпитани]]),0)</f>
        <v>0</v>
      </c>
      <c r="AB31" s="1661" t="s">
        <v>400</v>
      </c>
    </row>
    <row r="32" spans="2:28" ht="9.9499999999999993" customHeight="1" x14ac:dyDescent="0.3"/>
    <row r="33" spans="2:27" ht="21.75" customHeight="1" thickBot="1" x14ac:dyDescent="0.35">
      <c r="B33" s="2744" t="s">
        <v>490</v>
      </c>
      <c r="C33" s="2745"/>
      <c r="D33" s="2745"/>
      <c r="E33" s="2746"/>
    </row>
    <row r="34" spans="2:27" ht="50.25" thickBot="1" x14ac:dyDescent="0.35">
      <c r="B34" s="516" t="s">
        <v>120</v>
      </c>
      <c r="C34" s="516" t="s">
        <v>18</v>
      </c>
      <c r="D34" s="517" t="s">
        <v>119</v>
      </c>
      <c r="E34" s="518" t="s">
        <v>519</v>
      </c>
      <c r="F34" s="235"/>
      <c r="K34" s="36"/>
      <c r="N34" s="46"/>
      <c r="O34" s="36"/>
      <c r="Q34" s="46"/>
      <c r="X34" s="2750" t="s">
        <v>9528</v>
      </c>
      <c r="Y34" s="2751"/>
      <c r="Z34" s="2752"/>
    </row>
    <row r="35" spans="2:27" s="49" customFormat="1" ht="24" hidden="1" thickBot="1" x14ac:dyDescent="0.3">
      <c r="B35" s="520" t="s">
        <v>120</v>
      </c>
      <c r="C35" s="520" t="s">
        <v>18</v>
      </c>
      <c r="D35" s="519" t="s">
        <v>119</v>
      </c>
      <c r="E35" s="521" t="s">
        <v>665</v>
      </c>
      <c r="H35" s="658"/>
      <c r="I35" s="658"/>
      <c r="J35" s="658"/>
      <c r="K35" s="658"/>
      <c r="L35" s="659"/>
      <c r="M35" s="659"/>
      <c r="N35" s="659"/>
      <c r="O35" s="660" t="s">
        <v>400</v>
      </c>
      <c r="P35" s="661" t="s">
        <v>742</v>
      </c>
      <c r="Q35" s="662" t="s">
        <v>750</v>
      </c>
      <c r="R35" s="663" t="s">
        <v>310</v>
      </c>
      <c r="X35" s="1652" t="s">
        <v>1092</v>
      </c>
      <c r="Y35" s="1653" t="s">
        <v>7736</v>
      </c>
      <c r="Z35" s="1654" t="s">
        <v>7828</v>
      </c>
    </row>
    <row r="36" spans="2:27" ht="25.5" x14ac:dyDescent="0.3">
      <c r="B36" s="816" t="s">
        <v>121</v>
      </c>
      <c r="C36" s="1677"/>
      <c r="D36" s="587"/>
      <c r="E36" s="522"/>
      <c r="F36" s="42"/>
      <c r="G36" s="2753" t="s">
        <v>492</v>
      </c>
      <c r="H36" s="2753"/>
      <c r="I36" s="2753"/>
      <c r="J36" s="2753"/>
      <c r="K36" s="2753"/>
      <c r="L36" s="72"/>
      <c r="M36" s="72"/>
      <c r="N36" s="72"/>
      <c r="O36" s="1658" t="s">
        <v>400</v>
      </c>
      <c r="P36" s="649">
        <v>1</v>
      </c>
      <c r="Q36" s="650">
        <f>T2_Доктор_КИ_НР[[#This Row],[Брой кандДок]]*T_КИ_НР[[#This Row],[Коефициент]]</f>
        <v>0</v>
      </c>
      <c r="R36" s="651">
        <f>Coef!B20</f>
        <v>2</v>
      </c>
      <c r="X36" s="1718">
        <f ca="1">N(OFFSET(T2_Доктор_КИ_НР1[[#This Row],[|]],-1,0))+1</f>
        <v>1</v>
      </c>
      <c r="Y36" s="1670" t="str">
        <f>IF(T2_Доктор_КИ_НР1[[#This Row],[уЧасове]],"2|2-"&amp;T2_Доктор_КИ_НР[[#This Row],[Факултет]]&amp;"-док|Док","")</f>
        <v/>
      </c>
      <c r="Z36" s="1645">
        <f>T_КИ_НР[[#This Row],[чУпр]]</f>
        <v>0</v>
      </c>
    </row>
    <row r="37" spans="2:27" ht="25.5" x14ac:dyDescent="0.3">
      <c r="B37" s="816" t="s">
        <v>122</v>
      </c>
      <c r="C37" s="1678"/>
      <c r="D37" s="574"/>
      <c r="E37" s="523"/>
      <c r="F37" s="42"/>
      <c r="G37" s="2753"/>
      <c r="H37" s="2753"/>
      <c r="I37" s="2753"/>
      <c r="J37" s="2753"/>
      <c r="K37" s="2753"/>
      <c r="L37" s="72"/>
      <c r="M37" s="72"/>
      <c r="N37" s="72"/>
      <c r="O37" s="1659" t="s">
        <v>400</v>
      </c>
      <c r="P37" s="652">
        <v>2</v>
      </c>
      <c r="Q37" s="653">
        <f>T2_Доктор_КИ_НР[[#This Row],[Брой кандДок]]*T_КИ_НР[[#This Row],[Коефициент]]</f>
        <v>0</v>
      </c>
      <c r="R37" s="654">
        <f>Coef!B21</f>
        <v>120</v>
      </c>
      <c r="X37" s="1718">
        <f ca="1">N(OFFSET(T2_Доктор_КИ_НР1[[#This Row],[|]],-1,0))+1</f>
        <v>2</v>
      </c>
      <c r="Y37" s="1670" t="str">
        <f>IF(T2_Доктор_КИ_НР1[[#This Row],[уЧасове]],"2|2-"&amp;T2_Доктор_КИ_НР[[#This Row],[Факултет]]&amp;"-док|Док","")</f>
        <v/>
      </c>
      <c r="Z37" s="1645">
        <f>T_КИ_НР[[#This Row],[чУпр]]</f>
        <v>0</v>
      </c>
    </row>
    <row r="38" spans="2:27" ht="25.5" x14ac:dyDescent="0.3">
      <c r="B38" s="816" t="s">
        <v>123</v>
      </c>
      <c r="C38" s="1678"/>
      <c r="D38" s="574"/>
      <c r="E38" s="523"/>
      <c r="F38" s="42"/>
      <c r="G38" s="2753"/>
      <c r="H38" s="2753"/>
      <c r="I38" s="2753"/>
      <c r="J38" s="2753"/>
      <c r="K38" s="2753"/>
      <c r="L38" s="72"/>
      <c r="M38" s="72"/>
      <c r="N38" s="72"/>
      <c r="O38" s="1659" t="s">
        <v>400</v>
      </c>
      <c r="P38" s="652">
        <v>2</v>
      </c>
      <c r="Q38" s="653">
        <f>T2_Доктор_КИ_НР[[#This Row],[Брой кандДок]]*T_КИ_НР[[#This Row],[Коефициент]]</f>
        <v>0</v>
      </c>
      <c r="R38" s="654">
        <f>Coef!B22</f>
        <v>90</v>
      </c>
      <c r="X38" s="1718">
        <f ca="1">N(OFFSET(T2_Доктор_КИ_НР1[[#This Row],[|]],-1,0))+1</f>
        <v>3</v>
      </c>
      <c r="Y38" s="1670" t="str">
        <f>IF(T2_Доктор_КИ_НР1[[#This Row],[уЧасове]],"2|2-"&amp;T2_Доктор_КИ_НР[[#This Row],[Факултет]]&amp;"-док|Док","")</f>
        <v/>
      </c>
      <c r="Z38" s="1645">
        <f>T_КИ_НР[[#This Row],[чУпр]]</f>
        <v>0</v>
      </c>
    </row>
    <row r="39" spans="2:27" ht="26.25" thickBot="1" x14ac:dyDescent="0.35">
      <c r="B39" s="816" t="s">
        <v>517</v>
      </c>
      <c r="C39" s="1678"/>
      <c r="D39" s="575"/>
      <c r="E39" s="524"/>
      <c r="F39" s="42"/>
      <c r="G39" s="2753"/>
      <c r="H39" s="2753"/>
      <c r="I39" s="2753"/>
      <c r="J39" s="2753"/>
      <c r="K39" s="2753"/>
      <c r="L39" s="72"/>
      <c r="M39" s="72"/>
      <c r="N39" s="72"/>
      <c r="O39" s="1660" t="s">
        <v>400</v>
      </c>
      <c r="P39" s="655">
        <v>2</v>
      </c>
      <c r="Q39" s="656">
        <f>T2_Доктор_КИ_НР[[#This Row],[Брой кандДок]]*T_КИ_НР[[#This Row],[Коефициент]]</f>
        <v>0</v>
      </c>
      <c r="R39" s="657">
        <f>Coef!B23</f>
        <v>60</v>
      </c>
      <c r="X39" s="1718">
        <f ca="1">N(OFFSET(T2_Доктор_КИ_НР1[[#This Row],[|]],-1,0))+1</f>
        <v>4</v>
      </c>
      <c r="Y39" s="1670" t="str">
        <f>IF(T2_Доктор_КИ_НР1[[#This Row],[уЧасове]],"2|2-"&amp;T2_Доктор_КИ_НР[[#This Row],[Факултет]]&amp;"-док|Док","")</f>
        <v/>
      </c>
      <c r="Z39" s="1645">
        <f>T_КИ_НР[[#This Row],[чУпр]]</f>
        <v>0</v>
      </c>
    </row>
    <row r="40" spans="2:27" ht="21.75" customHeight="1" x14ac:dyDescent="0.3">
      <c r="W40"/>
      <c r="X40"/>
      <c r="Y40"/>
      <c r="Z40"/>
      <c r="AA40"/>
    </row>
    <row r="41" spans="2:27" x14ac:dyDescent="0.3">
      <c r="W41"/>
      <c r="X41"/>
      <c r="Y41"/>
      <c r="Z41"/>
      <c r="AA41"/>
    </row>
    <row r="42" spans="2:27" x14ac:dyDescent="0.3">
      <c r="W42"/>
      <c r="X42"/>
      <c r="Y42"/>
      <c r="Z42"/>
      <c r="AA42"/>
    </row>
  </sheetData>
  <sheetProtection algorithmName="SHA-512" hashValue="JPy7Pe2cQ6aKPpVDrCDPUY8Nrg7tHQdhM/Bah7154UsgsSfPEFStsHJZwl06NvT6+e3UaCtnmPL9Kd5/C1nDpA==" saltValue="Df4xhpajMrytkV1/T9HXDw==" spinCount="100000" sheet="1" objects="1" scenarios="1" formatCells="0" formatRows="0"/>
  <mergeCells count="35">
    <mergeCell ref="B19:K19"/>
    <mergeCell ref="B21:K21"/>
    <mergeCell ref="B22:K22"/>
    <mergeCell ref="B1:I1"/>
    <mergeCell ref="B3:I3"/>
    <mergeCell ref="B2:J2"/>
    <mergeCell ref="B15:K15"/>
    <mergeCell ref="B16:K16"/>
    <mergeCell ref="E5:F5"/>
    <mergeCell ref="G5:H5"/>
    <mergeCell ref="J5:K5"/>
    <mergeCell ref="B12:K12"/>
    <mergeCell ref="B13:K13"/>
    <mergeCell ref="B14:K14"/>
    <mergeCell ref="B17:K17"/>
    <mergeCell ref="B18:K18"/>
    <mergeCell ref="B7:K7"/>
    <mergeCell ref="B8:K8"/>
    <mergeCell ref="B9:K9"/>
    <mergeCell ref="B10:K10"/>
    <mergeCell ref="B11:K11"/>
    <mergeCell ref="B33:E33"/>
    <mergeCell ref="X24:Z24"/>
    <mergeCell ref="X34:Z34"/>
    <mergeCell ref="G36:K39"/>
    <mergeCell ref="S24:T24"/>
    <mergeCell ref="K23:K24"/>
    <mergeCell ref="L24:Q24"/>
    <mergeCell ref="U24:W24"/>
    <mergeCell ref="D23:D24"/>
    <mergeCell ref="B23:B24"/>
    <mergeCell ref="C23:C24"/>
    <mergeCell ref="G23:J23"/>
    <mergeCell ref="F23:F24"/>
    <mergeCell ref="E23:E24"/>
  </mergeCells>
  <phoneticPr fontId="129" type="noConversion"/>
  <conditionalFormatting sqref="B26:E31">
    <cfRule type="notContainsBlanks" dxfId="43" priority="83">
      <formula>LEN(TRIM(B26))&gt;0</formula>
    </cfRule>
    <cfRule type="expression" dxfId="42" priority="84">
      <formula>$M26</formula>
    </cfRule>
  </conditionalFormatting>
  <conditionalFormatting sqref="E36:E39">
    <cfRule type="notContainsBlanks" dxfId="41" priority="1">
      <formula>LEN(TRIM(E36))&gt;0</formula>
    </cfRule>
    <cfRule type="expression" dxfId="40" priority="2">
      <formula>LEN($D36)&gt;0</formula>
    </cfRule>
  </conditionalFormatting>
  <conditionalFormatting sqref="F26:F31">
    <cfRule type="containsBlanks" dxfId="39" priority="9">
      <formula>LEN(TRIM(F26))=0</formula>
    </cfRule>
  </conditionalFormatting>
  <conditionalFormatting sqref="G26:G31">
    <cfRule type="expression" dxfId="38" priority="7">
      <formula>$N26</formula>
    </cfRule>
  </conditionalFormatting>
  <conditionalFormatting sqref="H26:I31">
    <cfRule type="expression" dxfId="37" priority="6">
      <formula>$O26</formula>
    </cfRule>
  </conditionalFormatting>
  <conditionalFormatting sqref="J26:J31">
    <cfRule type="expression" dxfId="36" priority="5">
      <formula>$P26</formula>
    </cfRule>
  </conditionalFormatting>
  <conditionalFormatting sqref="K26:K31">
    <cfRule type="expression" dxfId="35" priority="4">
      <formula>$Q26</formula>
    </cfRule>
  </conditionalFormatting>
  <dataValidations count="2">
    <dataValidation allowBlank="1" showInputMessage="1" showErrorMessage="1" error="Посочете език на преподаване!_x000a_БЕ - преподаване на български език_x000a_чужд - преподаване на чужд език" sqref="E26:E31" xr:uid="{00000000-0002-0000-0E00-000000000000}"/>
    <dataValidation type="decimal" operator="greaterThanOrEqual" allowBlank="1" showInputMessage="1" showErrorMessage="1" error="Въведете коректна стойност!" sqref="E36:E39 G26:J31" xr:uid="{00000000-0002-0000-0E00-000001000000}">
      <formula1>0</formula1>
    </dataValidation>
  </dataValidations>
  <hyperlinks>
    <hyperlink ref="C5" location="'1. Отчет'!B6" tooltip="Титулна страница" display="Титулна страница" xr:uid="{00000000-0004-0000-0E00-000005000000}"/>
    <hyperlink ref="E5" location="ZimenSemestarM" tooltip="ОКС &quot;магистър&quot;" display="ОКС &quot;магистър&quot;" xr:uid="{00000000-0004-0000-0E00-000006000000}"/>
    <hyperlink ref="D5" location="'2. ОКС &quot;бакалавър&quot;'!N24" tooltip="ОКС &quot;бакалавър&quot;" display="ОКС &quot;бакалавър&quot;" xr:uid="{00000000-0004-0000-0E00-000007000000}"/>
    <hyperlink ref="I5" location="'4. ОНС &quot;доктор&quot;'!B7" tooltip="Инструкция" display="Инструкция" xr:uid="{00000000-0004-0000-0E00-000009000000}"/>
    <hyperlink ref="J5" r:id="rId1" tooltip="email: ipio@uni-sofia.bg" xr:uid="{00000000-0004-0000-0E00-00000A000000}"/>
    <hyperlink ref="E5:F5" location="'3. ОКС &quot;магистър&quot;'!N24" tooltip="ОКС &quot;магистър&quot;" display="ОКС &quot;магистър&quot;" xr:uid="{00000000-0004-0000-0E00-00000C000000}"/>
    <hyperlink ref="G5:H5" location="'5. Подготовка на курс'!B23" tooltip="Подготовка курс" display="Подготовка курс" xr:uid="{47B3B3DB-8C28-439C-BFE4-A0AC551CABF2}"/>
  </hyperlinks>
  <pageMargins left="0.39370078740157483" right="0.59055118110236227" top="0.39370078740157483" bottom="0.74803149606299213" header="0.31496062992125984" footer="0.31496062992125984"/>
  <pageSetup paperSize="9" scale="69" orientation="landscape" r:id="rId2"/>
  <headerFooter>
    <oddFooter>&amp;RПодпис:...................................................................</oddFooter>
  </headerFooter>
  <drawing r:id="rId3"/>
  <tableParts count="4">
    <tablePart r:id="rId4"/>
    <tablePart r:id="rId5"/>
    <tablePart r:id="rId6"/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Посочете език на преподаване!_x000a_БЕ - преподаване на български език_x000a_чужд - преподаване на чужд език" xr:uid="{00000000-0002-0000-0E00-000002000000}">
          <x14:formula1>
            <xm:f>list!$A$59:$A$60</xm:f>
          </x14:formula1>
          <xm:sqref>F26:F31</xm:sqref>
        </x14:dataValidation>
        <x14:dataValidation type="list" allowBlank="1" showInputMessage="1" showErrorMessage="1" error="За семестър въведете зимен или летен!" xr:uid="{00000000-0002-0000-0E00-000003000000}">
          <x14:formula1>
            <xm:f>INDIRECT(ПЕРИОД!$D$14)</xm:f>
          </x14:formula1>
          <xm:sqref>K26:K31</xm:sqref>
        </x14:dataValidation>
        <x14:dataValidation type="list" allowBlank="1" xr:uid="{B35E5DA8-047D-4416-820A-3F34F033A8F5}">
          <x14:formula1>
            <xm:f>Номенклатура!$O$6:$O$21</xm:f>
          </x14:formula1>
          <xm:sqref>C26:C31 C36:C39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pageSetUpPr fitToPage="1"/>
  </sheetPr>
  <dimension ref="A1:AI37"/>
  <sheetViews>
    <sheetView topLeftCell="D1" workbookViewId="0">
      <selection activeCell="U27" sqref="U27"/>
    </sheetView>
  </sheetViews>
  <sheetFormatPr defaultRowHeight="16.5" x14ac:dyDescent="0.3"/>
  <cols>
    <col min="1" max="1" width="2.28515625" style="51" customWidth="1"/>
    <col min="2" max="2" width="18" style="51" customWidth="1"/>
    <col min="3" max="3" width="16.85546875" style="51" bestFit="1" customWidth="1"/>
    <col min="4" max="4" width="42.140625" style="51" customWidth="1"/>
    <col min="5" max="5" width="9.85546875" style="51" bestFit="1" customWidth="1"/>
    <col min="6" max="6" width="34.28515625" style="52" customWidth="1"/>
    <col min="7" max="7" width="15.7109375" style="51" bestFit="1" customWidth="1"/>
    <col min="8" max="8" width="8.140625" style="51" customWidth="1"/>
    <col min="9" max="9" width="11.85546875" style="51" bestFit="1" customWidth="1"/>
    <col min="10" max="10" width="5.5703125" style="51" bestFit="1" customWidth="1"/>
    <col min="11" max="11" width="8.42578125" style="51" bestFit="1" customWidth="1"/>
    <col min="12" max="12" width="14.42578125" style="51" bestFit="1" customWidth="1"/>
    <col min="13" max="13" width="9.85546875" style="51" bestFit="1" customWidth="1"/>
    <col min="14" max="14" width="9.42578125" style="51" hidden="1" customWidth="1"/>
    <col min="15" max="15" width="6.28515625" style="51" hidden="1" customWidth="1"/>
    <col min="16" max="16" width="5.7109375" style="51" hidden="1" customWidth="1"/>
    <col min="17" max="17" width="10.5703125" style="51" hidden="1" customWidth="1"/>
    <col min="18" max="18" width="10.7109375" style="51" hidden="1" customWidth="1"/>
    <col min="19" max="19" width="5.5703125" style="51" hidden="1" customWidth="1"/>
    <col min="20" max="20" width="8.5703125" style="51" hidden="1" customWidth="1"/>
    <col min="21" max="21" width="9.28515625" style="51" hidden="1" customWidth="1"/>
    <col min="22" max="22" width="7.28515625" style="51" hidden="1" customWidth="1"/>
    <col min="23" max="23" width="15.140625" style="51" hidden="1" customWidth="1"/>
    <col min="24" max="24" width="15.7109375" style="51" hidden="1" customWidth="1"/>
    <col min="25" max="25" width="30.7109375" style="51" hidden="1" customWidth="1"/>
    <col min="26" max="26" width="29.7109375" style="51" hidden="1" customWidth="1"/>
    <col min="27" max="27" width="3" style="51" hidden="1" customWidth="1"/>
    <col min="28" max="28" width="39.42578125" style="51" hidden="1" customWidth="1"/>
    <col min="29" max="29" width="9.28515625" style="51" hidden="1" customWidth="1"/>
    <col min="30" max="31" width="10.42578125" style="51" hidden="1" customWidth="1"/>
    <col min="32" max="32" width="14.5703125" style="51" hidden="1" customWidth="1"/>
    <col min="33" max="33" width="10" style="51" hidden="1" customWidth="1"/>
    <col min="34" max="48" width="0" style="51" hidden="1" customWidth="1"/>
    <col min="49" max="16384" width="9.140625" style="51"/>
  </cols>
  <sheetData>
    <row r="1" spans="1:35" x14ac:dyDescent="0.3">
      <c r="A1" s="36"/>
      <c r="B1" s="2616" t="str">
        <f>ПЕРИОД!D12</f>
        <v>Факултет / катедра / акад. длъж.,  Преподавател</v>
      </c>
      <c r="C1" s="2616"/>
      <c r="D1" s="2616"/>
      <c r="E1" s="2616"/>
      <c r="F1" s="2616"/>
      <c r="G1" s="2616"/>
      <c r="H1" s="2616"/>
      <c r="I1" s="2616"/>
      <c r="J1" s="2616"/>
      <c r="K1" s="2616"/>
      <c r="L1" s="2616"/>
      <c r="M1" s="261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</row>
    <row r="2" spans="1:35" ht="18" x14ac:dyDescent="0.3">
      <c r="B2" s="2823" t="str">
        <f>ПЕРИОД!D17&amp;", подготовка на курс/електронни учебни ресурси"</f>
        <v>Индивидуален отчет, подготовка на курс/електронни учебни ресурси</v>
      </c>
      <c r="C2" s="2823"/>
      <c r="D2" s="2823"/>
      <c r="E2" s="2823"/>
      <c r="F2" s="2823"/>
      <c r="G2" s="2823"/>
      <c r="H2" s="2823"/>
      <c r="I2" s="2823"/>
      <c r="J2" s="2823"/>
      <c r="K2" s="2823"/>
      <c r="L2" s="2823"/>
      <c r="M2" s="2823"/>
    </row>
    <row r="3" spans="1:35" ht="20.25" customHeight="1" x14ac:dyDescent="0.3">
      <c r="B3" s="2824" t="s">
        <v>117</v>
      </c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</row>
    <row r="4" spans="1:35" ht="5.25" customHeigh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</row>
    <row r="5" spans="1:35" ht="24.95" customHeight="1" x14ac:dyDescent="0.3">
      <c r="B5" s="2826" t="s">
        <v>1</v>
      </c>
      <c r="C5" s="2827"/>
      <c r="D5" s="531" t="s">
        <v>116</v>
      </c>
      <c r="E5" s="532"/>
      <c r="F5" s="531" t="s">
        <v>67</v>
      </c>
      <c r="G5" s="532" t="s">
        <v>68</v>
      </c>
      <c r="H5" s="529"/>
      <c r="I5" s="2828" t="s">
        <v>69</v>
      </c>
      <c r="J5" s="2828"/>
      <c r="K5" s="532"/>
      <c r="L5" s="534" t="s">
        <v>112</v>
      </c>
      <c r="M5" s="533" t="s">
        <v>118</v>
      </c>
    </row>
    <row r="6" spans="1:35" ht="9" customHeight="1" thickBot="1" x14ac:dyDescent="0.35">
      <c r="B6" s="87"/>
      <c r="G6" s="88"/>
      <c r="H6" s="2825"/>
      <c r="I6" s="2825"/>
      <c r="J6" s="2825"/>
      <c r="K6" s="2825"/>
      <c r="L6" s="2825"/>
      <c r="M6" s="2825"/>
    </row>
    <row r="7" spans="1:35" ht="20.25" x14ac:dyDescent="0.3">
      <c r="B7" s="2799" t="s">
        <v>111</v>
      </c>
      <c r="C7" s="2800"/>
      <c r="D7" s="2800"/>
      <c r="E7" s="2800"/>
      <c r="F7" s="2800"/>
      <c r="G7" s="2800"/>
      <c r="H7" s="2800"/>
      <c r="I7" s="2800"/>
      <c r="J7" s="2800"/>
      <c r="K7" s="2800"/>
      <c r="L7" s="2800"/>
      <c r="M7" s="2801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 s="59"/>
      <c r="AH7" s="59"/>
      <c r="AI7" s="59"/>
    </row>
    <row r="8" spans="1:35" s="52" customFormat="1" x14ac:dyDescent="0.25">
      <c r="B8" s="2817" t="s">
        <v>146</v>
      </c>
      <c r="C8" s="2818"/>
      <c r="D8" s="2818"/>
      <c r="E8" s="2818"/>
      <c r="F8" s="2818"/>
      <c r="G8" s="2818"/>
      <c r="H8" s="2818"/>
      <c r="I8" s="2818"/>
      <c r="J8" s="2818"/>
      <c r="K8" s="2818"/>
      <c r="L8" s="2818"/>
      <c r="M8" s="2819"/>
    </row>
    <row r="9" spans="1:35" x14ac:dyDescent="0.3">
      <c r="B9" s="2817" t="s">
        <v>588</v>
      </c>
      <c r="C9" s="2818"/>
      <c r="D9" s="2818"/>
      <c r="E9" s="2818"/>
      <c r="F9" s="2818"/>
      <c r="G9" s="2818"/>
      <c r="H9" s="2818"/>
      <c r="I9" s="2818"/>
      <c r="J9" s="2818"/>
      <c r="K9" s="2818"/>
      <c r="L9" s="2818"/>
      <c r="M9" s="2819"/>
    </row>
    <row r="10" spans="1:35" ht="36" customHeight="1" x14ac:dyDescent="0.3">
      <c r="B10" s="2820" t="s">
        <v>198</v>
      </c>
      <c r="C10" s="2821"/>
      <c r="D10" s="2821"/>
      <c r="E10" s="2821"/>
      <c r="F10" s="2821"/>
      <c r="G10" s="2821"/>
      <c r="H10" s="2821"/>
      <c r="I10" s="2821"/>
      <c r="J10" s="2821"/>
      <c r="K10" s="2821"/>
      <c r="L10" s="2821"/>
      <c r="M10" s="2822"/>
    </row>
    <row r="11" spans="1:35" s="52" customFormat="1" x14ac:dyDescent="0.25">
      <c r="B11" s="2813" t="s">
        <v>488</v>
      </c>
      <c r="C11" s="2814"/>
      <c r="D11" s="2814"/>
      <c r="E11" s="2814"/>
      <c r="F11" s="2814"/>
      <c r="G11" s="2814"/>
      <c r="H11" s="2814"/>
      <c r="I11" s="2814"/>
      <c r="J11" s="2814"/>
      <c r="K11" s="2814"/>
      <c r="L11" s="2814"/>
      <c r="M11" s="2815"/>
    </row>
    <row r="12" spans="1:35" s="52" customFormat="1" x14ac:dyDescent="0.25">
      <c r="B12" s="2813" t="s">
        <v>662</v>
      </c>
      <c r="C12" s="2814"/>
      <c r="D12" s="2814"/>
      <c r="E12" s="2814"/>
      <c r="F12" s="2814"/>
      <c r="G12" s="2814"/>
      <c r="H12" s="2814"/>
      <c r="I12" s="2814"/>
      <c r="J12" s="2814"/>
      <c r="K12" s="2814"/>
      <c r="L12" s="2814"/>
      <c r="M12" s="2815"/>
    </row>
    <row r="13" spans="1:35" ht="35.25" customHeight="1" x14ac:dyDescent="0.3">
      <c r="B13" s="2817" t="s">
        <v>663</v>
      </c>
      <c r="C13" s="2818"/>
      <c r="D13" s="2818"/>
      <c r="E13" s="2818"/>
      <c r="F13" s="2818"/>
      <c r="G13" s="2818"/>
      <c r="H13" s="2818"/>
      <c r="I13" s="2818"/>
      <c r="J13" s="2818"/>
      <c r="K13" s="2818"/>
      <c r="L13" s="2818"/>
      <c r="M13" s="2819"/>
    </row>
    <row r="14" spans="1:35" s="52" customFormat="1" x14ac:dyDescent="0.25">
      <c r="B14" s="2813" t="s">
        <v>664</v>
      </c>
      <c r="C14" s="2814"/>
      <c r="D14" s="2814"/>
      <c r="E14" s="2814"/>
      <c r="F14" s="2814"/>
      <c r="G14" s="2814"/>
      <c r="H14" s="2814"/>
      <c r="I14" s="2814"/>
      <c r="J14" s="2814"/>
      <c r="K14" s="2814"/>
      <c r="L14" s="2814"/>
      <c r="M14" s="2815"/>
    </row>
    <row r="15" spans="1:35" x14ac:dyDescent="0.3">
      <c r="B15" s="2817" t="s">
        <v>652</v>
      </c>
      <c r="C15" s="2818"/>
      <c r="D15" s="2818"/>
      <c r="E15" s="2818"/>
      <c r="F15" s="2818"/>
      <c r="G15" s="2818"/>
      <c r="H15" s="2818"/>
      <c r="I15" s="2818"/>
      <c r="J15" s="2818"/>
      <c r="K15" s="2818"/>
      <c r="L15" s="2818"/>
      <c r="M15" s="2819"/>
    </row>
    <row r="16" spans="1:35" x14ac:dyDescent="0.3">
      <c r="B16" s="2813" t="s">
        <v>653</v>
      </c>
      <c r="C16" s="2814"/>
      <c r="D16" s="2814"/>
      <c r="E16" s="2814"/>
      <c r="F16" s="2814"/>
      <c r="G16" s="2814"/>
      <c r="H16" s="2814"/>
      <c r="I16" s="2814"/>
      <c r="J16" s="2814"/>
      <c r="K16" s="2814"/>
      <c r="L16" s="2814"/>
      <c r="M16" s="2815"/>
    </row>
    <row r="17" spans="2:32" s="52" customFormat="1" x14ac:dyDescent="0.25">
      <c r="B17" s="2813" t="s">
        <v>654</v>
      </c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5"/>
    </row>
    <row r="18" spans="2:32" s="52" customFormat="1" x14ac:dyDescent="0.25">
      <c r="B18" s="2813" t="s">
        <v>656</v>
      </c>
      <c r="C18" s="2814"/>
      <c r="D18" s="2814"/>
      <c r="E18" s="2814"/>
      <c r="F18" s="2814"/>
      <c r="G18" s="2814"/>
      <c r="H18" s="2814"/>
      <c r="I18" s="2814"/>
      <c r="J18" s="2814"/>
      <c r="K18" s="2814"/>
      <c r="L18" s="2814"/>
      <c r="M18" s="2815"/>
    </row>
    <row r="19" spans="2:32" s="52" customFormat="1" x14ac:dyDescent="0.25">
      <c r="B19" s="2816" t="s">
        <v>655</v>
      </c>
      <c r="C19" s="2814"/>
      <c r="D19" s="2814"/>
      <c r="E19" s="2814"/>
      <c r="F19" s="2814"/>
      <c r="G19" s="2814"/>
      <c r="H19" s="2814"/>
      <c r="I19" s="2814"/>
      <c r="J19" s="2814"/>
      <c r="K19" s="2814"/>
      <c r="L19" s="2814"/>
      <c r="M19" s="2815"/>
    </row>
    <row r="20" spans="2:32" s="52" customFormat="1" x14ac:dyDescent="0.25">
      <c r="B20" s="2813" t="s">
        <v>661</v>
      </c>
      <c r="C20" s="2814"/>
      <c r="D20" s="2814"/>
      <c r="E20" s="2814"/>
      <c r="F20" s="2814"/>
      <c r="G20" s="2814"/>
      <c r="H20" s="2814"/>
      <c r="I20" s="2814"/>
      <c r="J20" s="2814"/>
      <c r="K20" s="2814"/>
      <c r="L20" s="2814"/>
      <c r="M20" s="2815"/>
    </row>
    <row r="21" spans="2:32" s="52" customFormat="1" ht="17.25" thickBot="1" x14ac:dyDescent="0.3">
      <c r="B21" s="2810" t="s">
        <v>657</v>
      </c>
      <c r="C21" s="2811"/>
      <c r="D21" s="2811"/>
      <c r="E21" s="2811"/>
      <c r="F21" s="2811"/>
      <c r="G21" s="2811"/>
      <c r="H21" s="2811"/>
      <c r="I21" s="2811"/>
      <c r="J21" s="2811"/>
      <c r="K21" s="2811"/>
      <c r="L21" s="2811"/>
      <c r="M21" s="2812"/>
    </row>
    <row r="22" spans="2:32" ht="9.9499999999999993" customHeight="1" x14ac:dyDescent="0.3"/>
    <row r="23" spans="2:32" ht="18" thickBot="1" x14ac:dyDescent="0.35">
      <c r="B23" s="2829" t="s">
        <v>202</v>
      </c>
      <c r="C23" s="2830"/>
      <c r="D23" s="2830"/>
      <c r="E23" s="2830"/>
      <c r="F23" s="2830"/>
      <c r="G23" s="2830"/>
      <c r="H23" s="2830"/>
      <c r="I23" s="2830"/>
      <c r="J23" s="2830"/>
      <c r="K23" s="2830"/>
      <c r="L23" s="2830"/>
      <c r="M23" s="2830"/>
    </row>
    <row r="24" spans="2:32" s="53" customFormat="1" ht="17.25" customHeight="1" x14ac:dyDescent="0.25">
      <c r="B24" s="2843" t="s">
        <v>120</v>
      </c>
      <c r="C24" s="2831" t="s">
        <v>464</v>
      </c>
      <c r="D24" s="2841" t="s">
        <v>132</v>
      </c>
      <c r="E24" s="2831" t="s">
        <v>133</v>
      </c>
      <c r="F24" s="2841" t="s">
        <v>134</v>
      </c>
      <c r="G24" s="2839" t="s">
        <v>18</v>
      </c>
      <c r="H24" s="2837" t="s">
        <v>19</v>
      </c>
      <c r="I24" s="2835" t="s">
        <v>562</v>
      </c>
      <c r="J24" s="2833" t="s">
        <v>21</v>
      </c>
      <c r="K24" s="2839" t="s">
        <v>578</v>
      </c>
      <c r="L24" s="2768"/>
      <c r="M24" s="2831" t="s">
        <v>135</v>
      </c>
      <c r="N24" s="2802" t="s">
        <v>746</v>
      </c>
      <c r="O24" s="2806"/>
      <c r="P24" s="2806"/>
      <c r="Q24" s="2806"/>
      <c r="R24" s="2806"/>
      <c r="S24" s="2806"/>
      <c r="T24" s="2806"/>
      <c r="U24" s="2802" t="s">
        <v>310</v>
      </c>
      <c r="V24" s="2806"/>
      <c r="W24" s="2802" t="s">
        <v>133</v>
      </c>
      <c r="X24" s="2803"/>
      <c r="Y24" s="2792" t="s">
        <v>1000</v>
      </c>
      <c r="Z24" s="2793"/>
      <c r="AA24" s="2750" t="s">
        <v>9528</v>
      </c>
      <c r="AB24" s="2751"/>
      <c r="AC24" s="2752"/>
      <c r="AD24"/>
      <c r="AE24"/>
      <c r="AF24"/>
    </row>
    <row r="25" spans="2:32" s="53" customFormat="1" ht="17.25" thickBot="1" x14ac:dyDescent="0.3">
      <c r="B25" s="2844"/>
      <c r="C25" s="2832"/>
      <c r="D25" s="2842"/>
      <c r="E25" s="2832"/>
      <c r="F25" s="2842"/>
      <c r="G25" s="2840"/>
      <c r="H25" s="2838"/>
      <c r="I25" s="2836"/>
      <c r="J25" s="2834"/>
      <c r="K25" s="401" t="s">
        <v>326</v>
      </c>
      <c r="L25" s="392" t="s">
        <v>388</v>
      </c>
      <c r="M25" s="2832"/>
      <c r="N25" s="2807"/>
      <c r="O25" s="2808"/>
      <c r="P25" s="2808"/>
      <c r="Q25" s="2808"/>
      <c r="R25" s="2808"/>
      <c r="S25" s="2808"/>
      <c r="T25" s="2808"/>
      <c r="U25" s="2804"/>
      <c r="V25" s="2809"/>
      <c r="W25" s="2804"/>
      <c r="X25" s="2805"/>
      <c r="Y25" s="2794"/>
      <c r="Z25" s="2795"/>
      <c r="AA25" s="2796"/>
      <c r="AB25" s="2797"/>
      <c r="AC25" s="2798"/>
      <c r="AD25"/>
      <c r="AE25"/>
      <c r="AF25"/>
    </row>
    <row r="26" spans="2:32" s="53" customFormat="1" ht="17.25" thickBot="1" x14ac:dyDescent="0.3">
      <c r="B26" s="193" t="s">
        <v>120</v>
      </c>
      <c r="C26" s="194" t="s">
        <v>622</v>
      </c>
      <c r="D26" s="193" t="s">
        <v>463</v>
      </c>
      <c r="E26" s="194" t="s">
        <v>133</v>
      </c>
      <c r="F26" s="193" t="s">
        <v>462</v>
      </c>
      <c r="G26" s="195" t="s">
        <v>18</v>
      </c>
      <c r="H26" s="193" t="s">
        <v>19</v>
      </c>
      <c r="I26" s="196" t="s">
        <v>620</v>
      </c>
      <c r="J26" s="194" t="s">
        <v>21</v>
      </c>
      <c r="K26" s="195" t="s">
        <v>331</v>
      </c>
      <c r="L26" s="196" t="s">
        <v>339</v>
      </c>
      <c r="M26" s="196" t="s">
        <v>135</v>
      </c>
      <c r="N26" s="146" t="s">
        <v>402</v>
      </c>
      <c r="O26" s="146" t="s">
        <v>403</v>
      </c>
      <c r="P26" s="146" t="s">
        <v>401</v>
      </c>
      <c r="Q26" s="146" t="s">
        <v>659</v>
      </c>
      <c r="R26" s="146" t="s">
        <v>660</v>
      </c>
      <c r="S26" s="146" t="s">
        <v>747</v>
      </c>
      <c r="T26" s="146" t="s">
        <v>745</v>
      </c>
      <c r="U26" s="612" t="s">
        <v>742</v>
      </c>
      <c r="V26" s="613" t="s">
        <v>743</v>
      </c>
      <c r="W26" s="616" t="s">
        <v>681</v>
      </c>
      <c r="X26" s="617" t="s">
        <v>682</v>
      </c>
      <c r="Y26" s="1657" t="s">
        <v>12873</v>
      </c>
      <c r="Z26" s="1766" t="s">
        <v>7735</v>
      </c>
      <c r="AA26" s="1655" t="s">
        <v>1092</v>
      </c>
      <c r="AB26" s="1657" t="s">
        <v>7736</v>
      </c>
      <c r="AC26" s="1656" t="s">
        <v>7828</v>
      </c>
    </row>
    <row r="27" spans="2:32" x14ac:dyDescent="0.3">
      <c r="B27" s="559"/>
      <c r="C27" s="610"/>
      <c r="D27" s="559"/>
      <c r="E27" s="560"/>
      <c r="F27" s="559"/>
      <c r="G27" s="561"/>
      <c r="H27" s="562"/>
      <c r="I27" s="563"/>
      <c r="J27" s="564" t="s">
        <v>84</v>
      </c>
      <c r="K27" s="570"/>
      <c r="L27" s="571"/>
      <c r="M27" s="563"/>
      <c r="N27" s="1719">
        <f>Подготовка_курс[[#This Row],[пПразни]]*(LEN(Подготовка_курс[[#This Row],[Дейност]])=0)</f>
        <v>0</v>
      </c>
      <c r="O27" s="1719">
        <f>Подготовка_курс[[#This Row],[пПразни]]*(LEN(Подготовка_курс[[#This Row],[Екип]])=0)</f>
        <v>0</v>
      </c>
      <c r="P27" s="1719">
        <f>Подготовка_курс[[#This Row],[пПразни]]*(LEN(Подготовка_курс[[#This Row],[ОКС]])=0)</f>
        <v>0</v>
      </c>
      <c r="Q27" s="1719">
        <f>Подготовка_курс[[#This Row],[пПразни]]*(LEN(Подготовка_курс[[#This Row],[ФормаОб]])=0)</f>
        <v>0</v>
      </c>
      <c r="R27" s="1719">
        <f>Подготовка_курс[[#This Row],[пПразни]]*(LEN(Подготовка_курс[[#This Row],[Семестър]])=0)</f>
        <v>0</v>
      </c>
      <c r="S27" s="1719">
        <f>Подготовка_курс[[#This Row],[пПразни]]*(SUM(Подготовка_курс[[#This Row],[Лекции]:[Упражнения]])=0)</f>
        <v>0</v>
      </c>
      <c r="T27" s="1719">
        <f>((12-COUNTBLANK(Подготовка_курс[[#This Row],[Дейност]:[Семестър]]))&gt;1)*1</f>
        <v>0</v>
      </c>
      <c r="U27" s="1720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27" s="1721">
        <f>IFERROR(SUM(Подготовка_курс[[#This Row],[Лекции]:[Упражнения]])*Подготовка_курс[[#This Row],[кДейност]]/Подготовка_курс[[#This Row],[Екип]],0)</f>
        <v>0</v>
      </c>
      <c r="W27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27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27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27" s="1921" t="str">
        <f>IFERROR(VLOOKUP(Подготовка_курс[[#This Row],[СпециалностМП]],EducPlans_кодНАЦИД_Спец[[кодСпецДР]:[кодНАЦИД]],3,0),"")</f>
        <v/>
      </c>
      <c r="AA27" s="1724">
        <f ca="1">N(OFFSET(Подготовка_курс[[#This Row],[|]],-1,0))+1</f>
        <v>1</v>
      </c>
      <c r="AB27" s="1725" t="str">
        <f>IF(Подготовка_курс[[#This Row],[уЧасове]],Подготовка_курс[[#This Row],[нацид|монСпециалностМП]],"")</f>
        <v/>
      </c>
      <c r="AC27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28" spans="2:32" x14ac:dyDescent="0.3">
      <c r="B28" s="559"/>
      <c r="C28" s="610"/>
      <c r="D28" s="559"/>
      <c r="E28" s="560"/>
      <c r="F28" s="559"/>
      <c r="G28" s="561"/>
      <c r="H28" s="562"/>
      <c r="I28" s="563"/>
      <c r="J28" s="564" t="s">
        <v>84</v>
      </c>
      <c r="K28" s="570"/>
      <c r="L28" s="571"/>
      <c r="M28" s="563"/>
      <c r="N28" s="1719">
        <f>Подготовка_курс[[#This Row],[пПразни]]*(LEN(Подготовка_курс[[#This Row],[Дейност]])=0)</f>
        <v>0</v>
      </c>
      <c r="O28" s="1719">
        <f>Подготовка_курс[[#This Row],[пПразни]]*(LEN(Подготовка_курс[[#This Row],[Екип]])=0)</f>
        <v>0</v>
      </c>
      <c r="P28" s="1719">
        <f>Подготовка_курс[[#This Row],[пПразни]]*(LEN(Подготовка_курс[[#This Row],[ОКС]])=0)</f>
        <v>0</v>
      </c>
      <c r="Q28" s="1719">
        <f>Подготовка_курс[[#This Row],[пПразни]]*(LEN(Подготовка_курс[[#This Row],[ФормаОб]])=0)</f>
        <v>0</v>
      </c>
      <c r="R28" s="1719">
        <f>Подготовка_курс[[#This Row],[пПразни]]*(LEN(Подготовка_курс[[#This Row],[Семестър]])=0)</f>
        <v>0</v>
      </c>
      <c r="S28" s="1719">
        <f>Подготовка_курс[[#This Row],[пПразни]]*(SUM(Подготовка_курс[[#This Row],[Лекции]:[Упражнения]])=0)</f>
        <v>0</v>
      </c>
      <c r="T28" s="1719">
        <f>((12-COUNTBLANK(Подготовка_курс[[#This Row],[Дейност]:[Семестър]]))&gt;1)*1</f>
        <v>0</v>
      </c>
      <c r="U28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28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28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28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28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28" s="1921" t="str">
        <f>IFERROR(VLOOKUP(Подготовка_курс[[#This Row],[СпециалностМП]],EducPlans_кодНАЦИД_Спец[[кодСпецДР]:[кодНАЦИД]],3,0),"")</f>
        <v/>
      </c>
      <c r="AA28" s="1724">
        <f ca="1">N(OFFSET(Подготовка_курс[[#This Row],[|]],-1,0))+1</f>
        <v>2</v>
      </c>
      <c r="AB28" s="1725" t="str">
        <f>IF(Подготовка_курс[[#This Row],[уЧасове]],Подготовка_курс[[#This Row],[нацид|монСпециалностМП]],"")</f>
        <v/>
      </c>
      <c r="AC28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29" spans="2:32" x14ac:dyDescent="0.3">
      <c r="B29" s="559"/>
      <c r="C29" s="610"/>
      <c r="D29" s="559"/>
      <c r="E29" s="560"/>
      <c r="F29" s="559"/>
      <c r="G29" s="561"/>
      <c r="H29" s="562"/>
      <c r="I29" s="563"/>
      <c r="J29" s="564" t="s">
        <v>84</v>
      </c>
      <c r="K29" s="570"/>
      <c r="L29" s="571"/>
      <c r="M29" s="563"/>
      <c r="N29" s="1719">
        <f>Подготовка_курс[[#This Row],[пПразни]]*(LEN(Подготовка_курс[[#This Row],[Дейност]])=0)</f>
        <v>0</v>
      </c>
      <c r="O29" s="1719">
        <f>Подготовка_курс[[#This Row],[пПразни]]*(LEN(Подготовка_курс[[#This Row],[Екип]])=0)</f>
        <v>0</v>
      </c>
      <c r="P29" s="1719">
        <f>Подготовка_курс[[#This Row],[пПразни]]*(LEN(Подготовка_курс[[#This Row],[ОКС]])=0)</f>
        <v>0</v>
      </c>
      <c r="Q29" s="1719">
        <f>Подготовка_курс[[#This Row],[пПразни]]*(LEN(Подготовка_курс[[#This Row],[ФормаОб]])=0)</f>
        <v>0</v>
      </c>
      <c r="R29" s="1719">
        <f>Подготовка_курс[[#This Row],[пПразни]]*(LEN(Подготовка_курс[[#This Row],[Семестър]])=0)</f>
        <v>0</v>
      </c>
      <c r="S29" s="1719">
        <f>Подготовка_курс[[#This Row],[пПразни]]*(SUM(Подготовка_курс[[#This Row],[Лекции]:[Упражнения]])=0)</f>
        <v>0</v>
      </c>
      <c r="T29" s="1719">
        <f>((12-COUNTBLANK(Подготовка_курс[[#This Row],[Дейност]:[Семестър]]))&gt;1)*1</f>
        <v>0</v>
      </c>
      <c r="U29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29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29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29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29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29" s="1921" t="str">
        <f>IFERROR(VLOOKUP(Подготовка_курс[[#This Row],[СпециалностМП]],EducPlans_кодНАЦИД_Спец[[кодСпецДР]:[кодНАЦИД]],3,0),"")</f>
        <v/>
      </c>
      <c r="AA29" s="1724">
        <f ca="1">N(OFFSET(Подготовка_курс[[#This Row],[|]],-1,0))+1</f>
        <v>3</v>
      </c>
      <c r="AB29" s="1725" t="str">
        <f>IF(Подготовка_курс[[#This Row],[уЧасове]],Подготовка_курс[[#This Row],[нацид|монСпециалностМП]],"")</f>
        <v/>
      </c>
      <c r="AC29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0" spans="2:32" x14ac:dyDescent="0.3">
      <c r="B30" s="559"/>
      <c r="C30" s="610"/>
      <c r="D30" s="559"/>
      <c r="E30" s="560"/>
      <c r="F30" s="559"/>
      <c r="G30" s="561"/>
      <c r="H30" s="562"/>
      <c r="I30" s="563"/>
      <c r="J30" s="564" t="s">
        <v>84</v>
      </c>
      <c r="K30" s="570"/>
      <c r="L30" s="571"/>
      <c r="M30" s="563"/>
      <c r="N30" s="1719">
        <f>Подготовка_курс[[#This Row],[пПразни]]*(LEN(Подготовка_курс[[#This Row],[Дейност]])=0)</f>
        <v>0</v>
      </c>
      <c r="O30" s="1719">
        <f>Подготовка_курс[[#This Row],[пПразни]]*(LEN(Подготовка_курс[[#This Row],[Екип]])=0)</f>
        <v>0</v>
      </c>
      <c r="P30" s="1719">
        <f>Подготовка_курс[[#This Row],[пПразни]]*(LEN(Подготовка_курс[[#This Row],[ОКС]])=0)</f>
        <v>0</v>
      </c>
      <c r="Q30" s="1719">
        <f>Подготовка_курс[[#This Row],[пПразни]]*(LEN(Подготовка_курс[[#This Row],[ФормаОб]])=0)</f>
        <v>0</v>
      </c>
      <c r="R30" s="1719">
        <f>Подготовка_курс[[#This Row],[пПразни]]*(LEN(Подготовка_курс[[#This Row],[Семестър]])=0)</f>
        <v>0</v>
      </c>
      <c r="S30" s="1719">
        <f>Подготовка_курс[[#This Row],[пПразни]]*(SUM(Подготовка_курс[[#This Row],[Лекции]:[Упражнения]])=0)</f>
        <v>0</v>
      </c>
      <c r="T30" s="1719">
        <f>((12-COUNTBLANK(Подготовка_курс[[#This Row],[Дейност]:[Семестър]]))&gt;1)*1</f>
        <v>0</v>
      </c>
      <c r="U30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0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0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0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0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0" s="1921" t="str">
        <f>IFERROR(VLOOKUP(Подготовка_курс[[#This Row],[СпециалностМП]],EducPlans_кодНАЦИД_Спец[[кодСпецДР]:[кодНАЦИД]],3,0),"")</f>
        <v/>
      </c>
      <c r="AA30" s="1724">
        <f ca="1">N(OFFSET(Подготовка_курс[[#This Row],[|]],-1,0))+1</f>
        <v>4</v>
      </c>
      <c r="AB30" s="1725" t="str">
        <f>IF(Подготовка_курс[[#This Row],[уЧасове]],Подготовка_курс[[#This Row],[нацид|монСпециалностМП]],"")</f>
        <v/>
      </c>
      <c r="AC30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1" spans="2:32" x14ac:dyDescent="0.3">
      <c r="B31" s="559"/>
      <c r="C31" s="610"/>
      <c r="D31" s="559"/>
      <c r="E31" s="560"/>
      <c r="F31" s="559"/>
      <c r="G31" s="561"/>
      <c r="H31" s="562"/>
      <c r="I31" s="563"/>
      <c r="J31" s="564" t="s">
        <v>84</v>
      </c>
      <c r="K31" s="570"/>
      <c r="L31" s="571"/>
      <c r="M31" s="563"/>
      <c r="N31" s="1719">
        <f>Подготовка_курс[[#This Row],[пПразни]]*(LEN(Подготовка_курс[[#This Row],[Дейност]])=0)</f>
        <v>0</v>
      </c>
      <c r="O31" s="1719">
        <f>Подготовка_курс[[#This Row],[пПразни]]*(LEN(Подготовка_курс[[#This Row],[Екип]])=0)</f>
        <v>0</v>
      </c>
      <c r="P31" s="1719">
        <f>Подготовка_курс[[#This Row],[пПразни]]*(LEN(Подготовка_курс[[#This Row],[ОКС]])=0)</f>
        <v>0</v>
      </c>
      <c r="Q31" s="1719">
        <f>Подготовка_курс[[#This Row],[пПразни]]*(LEN(Подготовка_курс[[#This Row],[ФормаОб]])=0)</f>
        <v>0</v>
      </c>
      <c r="R31" s="1719">
        <f>Подготовка_курс[[#This Row],[пПразни]]*(LEN(Подготовка_курс[[#This Row],[Семестър]])=0)</f>
        <v>0</v>
      </c>
      <c r="S31" s="1719">
        <f>Подготовка_курс[[#This Row],[пПразни]]*(SUM(Подготовка_курс[[#This Row],[Лекции]:[Упражнения]])=0)</f>
        <v>0</v>
      </c>
      <c r="T31" s="1719">
        <f>((12-COUNTBLANK(Подготовка_курс[[#This Row],[Дейност]:[Семестър]]))&gt;1)*1</f>
        <v>0</v>
      </c>
      <c r="U31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1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1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1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1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1" s="1921" t="str">
        <f>IFERROR(VLOOKUP(Подготовка_курс[[#This Row],[СпециалностМП]],EducPlans_кодНАЦИД_Спец[[кодСпецДР]:[кодНАЦИД]],3,0),"")</f>
        <v/>
      </c>
      <c r="AA31" s="1724">
        <f ca="1">N(OFFSET(Подготовка_курс[[#This Row],[|]],-1,0))+1</f>
        <v>5</v>
      </c>
      <c r="AB31" s="1725" t="str">
        <f>IF(Подготовка_курс[[#This Row],[уЧасове]],Подготовка_курс[[#This Row],[нацид|монСпециалностМП]],"")</f>
        <v/>
      </c>
      <c r="AC31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2" spans="2:32" x14ac:dyDescent="0.3">
      <c r="B32" s="559"/>
      <c r="C32" s="610"/>
      <c r="D32" s="559"/>
      <c r="E32" s="560"/>
      <c r="F32" s="559"/>
      <c r="G32" s="561"/>
      <c r="H32" s="562"/>
      <c r="I32" s="563"/>
      <c r="J32" s="564" t="s">
        <v>84</v>
      </c>
      <c r="K32" s="570"/>
      <c r="L32" s="571"/>
      <c r="M32" s="563"/>
      <c r="N32" s="1719">
        <f>Подготовка_курс[[#This Row],[пПразни]]*(LEN(Подготовка_курс[[#This Row],[Дейност]])=0)</f>
        <v>0</v>
      </c>
      <c r="O32" s="1719">
        <f>Подготовка_курс[[#This Row],[пПразни]]*(LEN(Подготовка_курс[[#This Row],[Екип]])=0)</f>
        <v>0</v>
      </c>
      <c r="P32" s="1719">
        <f>Подготовка_курс[[#This Row],[пПразни]]*(LEN(Подготовка_курс[[#This Row],[ОКС]])=0)</f>
        <v>0</v>
      </c>
      <c r="Q32" s="1719">
        <f>Подготовка_курс[[#This Row],[пПразни]]*(LEN(Подготовка_курс[[#This Row],[ФормаОб]])=0)</f>
        <v>0</v>
      </c>
      <c r="R32" s="1719">
        <f>Подготовка_курс[[#This Row],[пПразни]]*(LEN(Подготовка_курс[[#This Row],[Семестър]])=0)</f>
        <v>0</v>
      </c>
      <c r="S32" s="1719">
        <f>Подготовка_курс[[#This Row],[пПразни]]*(SUM(Подготовка_курс[[#This Row],[Лекции]:[Упражнения]])=0)</f>
        <v>0</v>
      </c>
      <c r="T32" s="1719">
        <f>((12-COUNTBLANK(Подготовка_курс[[#This Row],[Дейност]:[Семестър]]))&gt;1)*1</f>
        <v>0</v>
      </c>
      <c r="U32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2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2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2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2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2" s="1921" t="str">
        <f>IFERROR(VLOOKUP(Подготовка_курс[[#This Row],[СпециалностМП]],EducPlans_кодНАЦИД_Спец[[кодСпецДР]:[кодНАЦИД]],3,0),"")</f>
        <v/>
      </c>
      <c r="AA32" s="1724">
        <f ca="1">N(OFFSET(Подготовка_курс[[#This Row],[|]],-1,0))+1</f>
        <v>6</v>
      </c>
      <c r="AB32" s="1725" t="str">
        <f>IF(Подготовка_курс[[#This Row],[уЧасове]],Подготовка_курс[[#This Row],[нацид|монСпециалностМП]],"")</f>
        <v/>
      </c>
      <c r="AC32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3" spans="2:29" x14ac:dyDescent="0.3">
      <c r="B33" s="559"/>
      <c r="C33" s="610"/>
      <c r="D33" s="559"/>
      <c r="E33" s="560"/>
      <c r="F33" s="559"/>
      <c r="G33" s="561"/>
      <c r="H33" s="562"/>
      <c r="I33" s="563"/>
      <c r="J33" s="564" t="s">
        <v>84</v>
      </c>
      <c r="K33" s="570"/>
      <c r="L33" s="571"/>
      <c r="M33" s="563"/>
      <c r="N33" s="1719">
        <f>Подготовка_курс[[#This Row],[пПразни]]*(LEN(Подготовка_курс[[#This Row],[Дейност]])=0)</f>
        <v>0</v>
      </c>
      <c r="O33" s="1719">
        <f>Подготовка_курс[[#This Row],[пПразни]]*(LEN(Подготовка_курс[[#This Row],[Екип]])=0)</f>
        <v>0</v>
      </c>
      <c r="P33" s="1719">
        <f>Подготовка_курс[[#This Row],[пПразни]]*(LEN(Подготовка_курс[[#This Row],[ОКС]])=0)</f>
        <v>0</v>
      </c>
      <c r="Q33" s="1719">
        <f>Подготовка_курс[[#This Row],[пПразни]]*(LEN(Подготовка_курс[[#This Row],[ФормаОб]])=0)</f>
        <v>0</v>
      </c>
      <c r="R33" s="1719">
        <f>Подготовка_курс[[#This Row],[пПразни]]*(LEN(Подготовка_курс[[#This Row],[Семестър]])=0)</f>
        <v>0</v>
      </c>
      <c r="S33" s="1719">
        <f>Подготовка_курс[[#This Row],[пПразни]]*(SUM(Подготовка_курс[[#This Row],[Лекции]:[Упражнения]])=0)</f>
        <v>0</v>
      </c>
      <c r="T33" s="1719">
        <f>((12-COUNTBLANK(Подготовка_курс[[#This Row],[Дейност]:[Семестър]]))&gt;1)*1</f>
        <v>0</v>
      </c>
      <c r="U33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3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3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3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3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3" s="1921" t="str">
        <f>IFERROR(VLOOKUP(Подготовка_курс[[#This Row],[СпециалностМП]],EducPlans_кодНАЦИД_Спец[[кодСпецДР]:[кодНАЦИД]],3,0),"")</f>
        <v/>
      </c>
      <c r="AA33" s="1724">
        <f ca="1">N(OFFSET(Подготовка_курс[[#This Row],[|]],-1,0))+1</f>
        <v>7</v>
      </c>
      <c r="AB33" s="1725" t="str">
        <f>IF(Подготовка_курс[[#This Row],[уЧасове]],Подготовка_курс[[#This Row],[нацид|монСпециалностМП]],"")</f>
        <v/>
      </c>
      <c r="AC33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4" spans="2:29" x14ac:dyDescent="0.3">
      <c r="B34" s="559"/>
      <c r="C34" s="610"/>
      <c r="D34" s="559"/>
      <c r="E34" s="560"/>
      <c r="F34" s="559"/>
      <c r="G34" s="561"/>
      <c r="H34" s="562"/>
      <c r="I34" s="563"/>
      <c r="J34" s="564" t="s">
        <v>84</v>
      </c>
      <c r="K34" s="570"/>
      <c r="L34" s="571"/>
      <c r="M34" s="563"/>
      <c r="N34" s="1719">
        <f>Подготовка_курс[[#This Row],[пПразни]]*(LEN(Подготовка_курс[[#This Row],[Дейност]])=0)</f>
        <v>0</v>
      </c>
      <c r="O34" s="1719">
        <f>Подготовка_курс[[#This Row],[пПразни]]*(LEN(Подготовка_курс[[#This Row],[Екип]])=0)</f>
        <v>0</v>
      </c>
      <c r="P34" s="1719">
        <f>Подготовка_курс[[#This Row],[пПразни]]*(LEN(Подготовка_курс[[#This Row],[ОКС]])=0)</f>
        <v>0</v>
      </c>
      <c r="Q34" s="1719">
        <f>Подготовка_курс[[#This Row],[пПразни]]*(LEN(Подготовка_курс[[#This Row],[ФормаОб]])=0)</f>
        <v>0</v>
      </c>
      <c r="R34" s="1719">
        <f>Подготовка_курс[[#This Row],[пПразни]]*(LEN(Подготовка_курс[[#This Row],[Семестър]])=0)</f>
        <v>0</v>
      </c>
      <c r="S34" s="1719">
        <f>Подготовка_курс[[#This Row],[пПразни]]*(SUM(Подготовка_курс[[#This Row],[Лекции]:[Упражнения]])=0)</f>
        <v>0</v>
      </c>
      <c r="T34" s="1719">
        <f>((12-COUNTBLANK(Подготовка_курс[[#This Row],[Дейност]:[Семестър]]))&gt;1)*1</f>
        <v>0</v>
      </c>
      <c r="U34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4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4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4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4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4" s="1921" t="str">
        <f>IFERROR(VLOOKUP(Подготовка_курс[[#This Row],[СпециалностМП]],EducPlans_кодНАЦИД_Спец[[кодСпецДР]:[кодНАЦИД]],3,0),"")</f>
        <v/>
      </c>
      <c r="AA34" s="1724">
        <f ca="1">N(OFFSET(Подготовка_курс[[#This Row],[|]],-1,0))+1</f>
        <v>8</v>
      </c>
      <c r="AB34" s="1725" t="str">
        <f>IF(Подготовка_курс[[#This Row],[уЧасове]],Подготовка_курс[[#This Row],[нацид|монСпециалностМП]],"")</f>
        <v/>
      </c>
      <c r="AC34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5" spans="2:29" x14ac:dyDescent="0.3">
      <c r="B35" s="559"/>
      <c r="C35" s="610"/>
      <c r="D35" s="559"/>
      <c r="E35" s="560"/>
      <c r="F35" s="559"/>
      <c r="G35" s="561"/>
      <c r="H35" s="562"/>
      <c r="I35" s="563"/>
      <c r="J35" s="564" t="s">
        <v>84</v>
      </c>
      <c r="K35" s="570"/>
      <c r="L35" s="571"/>
      <c r="M35" s="563"/>
      <c r="N35" s="1719">
        <f>Подготовка_курс[[#This Row],[пПразни]]*(LEN(Подготовка_курс[[#This Row],[Дейност]])=0)</f>
        <v>0</v>
      </c>
      <c r="O35" s="1719">
        <f>Подготовка_курс[[#This Row],[пПразни]]*(LEN(Подготовка_курс[[#This Row],[Екип]])=0)</f>
        <v>0</v>
      </c>
      <c r="P35" s="1719">
        <f>Подготовка_курс[[#This Row],[пПразни]]*(LEN(Подготовка_курс[[#This Row],[ОКС]])=0)</f>
        <v>0</v>
      </c>
      <c r="Q35" s="1719">
        <f>Подготовка_курс[[#This Row],[пПразни]]*(LEN(Подготовка_курс[[#This Row],[ФормаОб]])=0)</f>
        <v>0</v>
      </c>
      <c r="R35" s="1719">
        <f>Подготовка_курс[[#This Row],[пПразни]]*(LEN(Подготовка_курс[[#This Row],[Семестър]])=0)</f>
        <v>0</v>
      </c>
      <c r="S35" s="1719">
        <f>Подготовка_курс[[#This Row],[пПразни]]*(SUM(Подготовка_курс[[#This Row],[Лекции]:[Упражнения]])=0)</f>
        <v>0</v>
      </c>
      <c r="T35" s="1719">
        <f>((12-COUNTBLANK(Подготовка_курс[[#This Row],[Дейност]:[Семестър]]))&gt;1)*1</f>
        <v>0</v>
      </c>
      <c r="U35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5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5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5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5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5" s="1921" t="str">
        <f>IFERROR(VLOOKUP(Подготовка_курс[[#This Row],[СпециалностМП]],EducPlans_кодНАЦИД_Спец[[кодСпецДР]:[кодНАЦИД]],3,0),"")</f>
        <v/>
      </c>
      <c r="AA35" s="1724">
        <f ca="1">N(OFFSET(Подготовка_курс[[#This Row],[|]],-1,0))+1</f>
        <v>9</v>
      </c>
      <c r="AB35" s="1725" t="str">
        <f>IF(Подготовка_курс[[#This Row],[уЧасове]],Подготовка_курс[[#This Row],[нацид|монСпециалностМП]],"")</f>
        <v/>
      </c>
      <c r="AC35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6" spans="2:29" x14ac:dyDescent="0.3">
      <c r="B36" s="559"/>
      <c r="C36" s="610"/>
      <c r="D36" s="559"/>
      <c r="E36" s="560"/>
      <c r="F36" s="559"/>
      <c r="G36" s="561"/>
      <c r="H36" s="562"/>
      <c r="I36" s="563"/>
      <c r="J36" s="564" t="s">
        <v>84</v>
      </c>
      <c r="K36" s="570"/>
      <c r="L36" s="571"/>
      <c r="M36" s="563"/>
      <c r="N36" s="1719">
        <f>Подготовка_курс[[#This Row],[пПразни]]*(LEN(Подготовка_курс[[#This Row],[Дейност]])=0)</f>
        <v>0</v>
      </c>
      <c r="O36" s="1719">
        <f>Подготовка_курс[[#This Row],[пПразни]]*(LEN(Подготовка_курс[[#This Row],[Екип]])=0)</f>
        <v>0</v>
      </c>
      <c r="P36" s="1719">
        <f>Подготовка_курс[[#This Row],[пПразни]]*(LEN(Подготовка_курс[[#This Row],[ОКС]])=0)</f>
        <v>0</v>
      </c>
      <c r="Q36" s="1719">
        <f>Подготовка_курс[[#This Row],[пПразни]]*(LEN(Подготовка_курс[[#This Row],[ФормаОб]])=0)</f>
        <v>0</v>
      </c>
      <c r="R36" s="1719">
        <f>Подготовка_курс[[#This Row],[пПразни]]*(LEN(Подготовка_курс[[#This Row],[Семестър]])=0)</f>
        <v>0</v>
      </c>
      <c r="S36" s="1719">
        <f>Подготовка_курс[[#This Row],[пПразни]]*(SUM(Подготовка_курс[[#This Row],[Лекции]:[Упражнения]])=0)</f>
        <v>0</v>
      </c>
      <c r="T36" s="1719">
        <f>((12-COUNTBLANK(Подготовка_курс[[#This Row],[Дейност]:[Семестър]]))&gt;1)*1</f>
        <v>0</v>
      </c>
      <c r="U36" s="1727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6" s="1728">
        <f>IFERROR(SUM(Подготовка_курс[[#This Row],[Лекции]:[Упражнения]])*Подготовка_курс[[#This Row],[кДейност]]/Подготовка_курс[[#This Row],[Екип]],0)</f>
        <v>0</v>
      </c>
      <c r="W36" s="1722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6" s="1723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6" s="1920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6" s="1921" t="str">
        <f>IFERROR(VLOOKUP(Подготовка_курс[[#This Row],[СпециалностМП]],EducPlans_кодНАЦИД_Спец[[кодСпецДР]:[кодНАЦИД]],3,0),"")</f>
        <v/>
      </c>
      <c r="AA36" s="1724">
        <f ca="1">N(OFFSET(Подготовка_курс[[#This Row],[|]],-1,0))+1</f>
        <v>10</v>
      </c>
      <c r="AB36" s="1725" t="str">
        <f>IF(Подготовка_курс[[#This Row],[уЧасове]],Подготовка_курс[[#This Row],[нацид|монСпециалностМП]],"")</f>
        <v/>
      </c>
      <c r="AC36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  <row r="37" spans="2:29" ht="17.25" thickBot="1" x14ac:dyDescent="0.35">
      <c r="B37" s="559"/>
      <c r="C37" s="618"/>
      <c r="D37" s="559"/>
      <c r="E37" s="565"/>
      <c r="F37" s="559"/>
      <c r="G37" s="566"/>
      <c r="H37" s="567"/>
      <c r="I37" s="568"/>
      <c r="J37" s="569" t="s">
        <v>84</v>
      </c>
      <c r="K37" s="572"/>
      <c r="L37" s="573"/>
      <c r="M37" s="568"/>
      <c r="N37" s="1719">
        <f>Подготовка_курс[[#This Row],[пПразни]]*(LEN(Подготовка_курс[[#This Row],[Дейност]])=0)</f>
        <v>0</v>
      </c>
      <c r="O37" s="1719">
        <f>Подготовка_курс[[#This Row],[пПразни]]*(LEN(Подготовка_курс[[#This Row],[Екип]])=0)</f>
        <v>0</v>
      </c>
      <c r="P37" s="1719">
        <f>Подготовка_курс[[#This Row],[пПразни]]*(LEN(Подготовка_курс[[#This Row],[ОКС]])=0)</f>
        <v>0</v>
      </c>
      <c r="Q37" s="1719">
        <f>Подготовка_курс[[#This Row],[пПразни]]*(LEN(Подготовка_курс[[#This Row],[ФормаОб]])=0)</f>
        <v>0</v>
      </c>
      <c r="R37" s="1719">
        <f>Подготовка_курс[[#This Row],[пПразни]]*(LEN(Подготовка_курс[[#This Row],[Семестър]])=0)</f>
        <v>0</v>
      </c>
      <c r="S37" s="1719">
        <f>Подготовка_курс[[#This Row],[пПразни]]*(SUM(Подготовка_курс[[#This Row],[Лекции]:[Упражнения]])=0)</f>
        <v>0</v>
      </c>
      <c r="T37" s="1719">
        <f>((12-COUNTBLANK(Подготовка_курс[[#This Row],[Дейност]:[Семестър]]))&gt;1)*1</f>
        <v>0</v>
      </c>
      <c r="U37" s="1729">
        <f>IFERROR(VLOOKUP(Подготовка_курс[[#This Row],[Дейност]]&amp;"|"&amp;Подготовка_курс[[#This Row],[ФормаОб]],T_ПодгКурс[[код]:[Коефициент]],2,0)*IF(Подготовка_курс[[#This Row],[ОКС]]="няколко",0.5,1),0)</f>
        <v>0</v>
      </c>
      <c r="V37" s="1730">
        <f>IFERROR(SUM(Подготовка_курс[[#This Row],[Лекции]:[Упражнения]])*Подготовка_курс[[#This Row],[кДейност]]/Подготовка_курс[[#This Row],[Екип]],0)</f>
        <v>0</v>
      </c>
      <c r="W37" s="1731" t="str">
        <f>IF(OR(Подготовка_курс[[#This Row],[ОКС]]="няколко",Подготовка_курс[[#This Row],[ОКС]]="бакалавър"),Подготовка_курс[[#This Row],[Дейност]]&amp;"|Б|"&amp;Подготовка_курс[[#This Row],[Семестър]],"")</f>
        <v/>
      </c>
      <c r="X37" s="1732" t="str">
        <f>IF(OR(Подготовка_курс[[#This Row],[ОКС]]="няколко",Подготовка_курс[[#This Row],[ОКС]]="магистър"),Подготовка_курс[[#This Row],[Дейност]]&amp;"|М|"&amp;Подготовка_курс[[#This Row],[Семестър]],"")</f>
        <v/>
      </c>
      <c r="Y37" s="1922" t="str">
        <f>"*"&amp;Подготовка_курс[[#This Row],[Специалност/Магистърска програма]]&amp;"*\"&amp;Подготовка_курс[[#This Row],[Факултет]]&amp;"\"&amp;LEFT(Подготовка_курс[[#This Row],[ОКС]],1)&amp;LEFT(Подготовка_курс[[#This Row],[ФормаОб]],1)</f>
        <v>**\\</v>
      </c>
      <c r="Z37" s="1923" t="str">
        <f>IFERROR(VLOOKUP(Подготовка_курс[[#This Row],[СпециалностМП]],EducPlans_кодНАЦИД_Спец[[кодСпецДР]:[кодНАЦИД]],3,0),"")</f>
        <v/>
      </c>
      <c r="AA37" s="1733">
        <f ca="1">N(OFFSET(Подготовка_курс[[#This Row],[|]],-1,0))+1</f>
        <v>11</v>
      </c>
      <c r="AB37" s="1725" t="str">
        <f>IF(Подготовка_курс[[#This Row],[уЧасове]],Подготовка_курс[[#This Row],[нацид|монСпециалностМП]],"")</f>
        <v/>
      </c>
      <c r="AC37" s="1726">
        <f>IF(OR(Подготовка_курс[[#This Row],[Семестър]]="зимен",Подготовка_курс[[#This Row],[Семестър]]="летен"),Подготовка_курс[[#This Row],[кЧасове]],0)</f>
        <v>0</v>
      </c>
    </row>
  </sheetData>
  <sheetProtection algorithmName="SHA-512" hashValue="MHScLCFKYrCl/uFMjlLJ8sfQI5T66d9d8D0VyDMPHTtstF9xH/CeMJGfvA7RsRWUWra1NcIKhh0kOZbrakCMHQ==" saltValue="cs1YAitcumxNXsWe/2lI6A==" spinCount="100000" sheet="1" objects="1" scenarios="1" formatCells="0" formatRows="0"/>
  <mergeCells count="40">
    <mergeCell ref="B14:M14"/>
    <mergeCell ref="B15:M15"/>
    <mergeCell ref="B11:M11"/>
    <mergeCell ref="B23:M23"/>
    <mergeCell ref="M24:M25"/>
    <mergeCell ref="J24:J25"/>
    <mergeCell ref="I24:I25"/>
    <mergeCell ref="H24:H25"/>
    <mergeCell ref="G24:G25"/>
    <mergeCell ref="F24:F25"/>
    <mergeCell ref="E24:E25"/>
    <mergeCell ref="D24:D25"/>
    <mergeCell ref="C24:C25"/>
    <mergeCell ref="B24:B25"/>
    <mergeCell ref="K24:L24"/>
    <mergeCell ref="B13:M13"/>
    <mergeCell ref="B1:M1"/>
    <mergeCell ref="B2:M2"/>
    <mergeCell ref="B3:M3"/>
    <mergeCell ref="H6:I6"/>
    <mergeCell ref="J6:K6"/>
    <mergeCell ref="L6:M6"/>
    <mergeCell ref="B5:C5"/>
    <mergeCell ref="I5:J5"/>
    <mergeCell ref="Y24:Z25"/>
    <mergeCell ref="AA24:AC25"/>
    <mergeCell ref="B7:M7"/>
    <mergeCell ref="W24:X25"/>
    <mergeCell ref="N24:T25"/>
    <mergeCell ref="U24:V25"/>
    <mergeCell ref="B21:M21"/>
    <mergeCell ref="B16:M16"/>
    <mergeCell ref="B17:M17"/>
    <mergeCell ref="B18:M18"/>
    <mergeCell ref="B19:M19"/>
    <mergeCell ref="B20:M20"/>
    <mergeCell ref="B9:M9"/>
    <mergeCell ref="B8:M8"/>
    <mergeCell ref="B10:M10"/>
    <mergeCell ref="B12:M12"/>
  </mergeCells>
  <conditionalFormatting sqref="B7">
    <cfRule type="expression" dxfId="34" priority="8">
      <formula>B7=CELL(mark)</formula>
    </cfRule>
  </conditionalFormatting>
  <conditionalFormatting sqref="B27:C37">
    <cfRule type="expression" dxfId="33" priority="7">
      <formula>N27</formula>
    </cfRule>
  </conditionalFormatting>
  <conditionalFormatting sqref="E27:E37">
    <cfRule type="expression" dxfId="32" priority="49">
      <formula>P27</formula>
    </cfRule>
  </conditionalFormatting>
  <conditionalFormatting sqref="I27:I37">
    <cfRule type="expression" dxfId="31" priority="50">
      <formula>Q27</formula>
    </cfRule>
  </conditionalFormatting>
  <conditionalFormatting sqref="J27:J37">
    <cfRule type="containsBlanks" dxfId="30" priority="52">
      <formula>LEN(TRIM(J27))=0</formula>
    </cfRule>
  </conditionalFormatting>
  <conditionalFormatting sqref="K27:L37">
    <cfRule type="expression" dxfId="29" priority="1">
      <formula>$S27</formula>
    </cfRule>
  </conditionalFormatting>
  <conditionalFormatting sqref="M27:M37">
    <cfRule type="expression" dxfId="28" priority="51">
      <formula>R27</formula>
    </cfRule>
  </conditionalFormatting>
  <dataValidations count="1">
    <dataValidation type="decimal" operator="greaterThanOrEqual" allowBlank="1" showInputMessage="1" showErrorMessage="1" sqref="C27:C37 K27:L37" xr:uid="{AC2581BB-BA13-4FA1-8303-87A3B59ED494}">
      <formula1>0</formula1>
    </dataValidation>
  </dataValidations>
  <hyperlinks>
    <hyperlink ref="F5" location="'2. ОКС &quot;бакалавър&quot;'!N24" tooltip="ОКС &quot;бакалавър&quot;" display="ОКС &quot;бакалавър&quot;" xr:uid="{186995DD-9DA5-4E07-9BC3-2B6967131A5E}"/>
    <hyperlink ref="G5" location="'3. ОКС &quot;магистър&quot;'!N24" tooltip="ОКС &quot;магистър&quot;" display="ОКС &quot;магистър&quot;" xr:uid="{3D3410A7-B685-4129-BAB6-F0DBA1C00849}"/>
    <hyperlink ref="I5" location="ONSDr" display="ОНС &quot;доктор&quot;" xr:uid="{48F78D05-5D62-40A8-B328-6F13AE4EF8BC}"/>
    <hyperlink ref="L5" location="'5. Подготовка на курс'!B7" tooltip="Инструкция" display="Инструкция" xr:uid="{A7CB3DC7-A715-48CE-A216-9A5A7C4CCCAB}"/>
    <hyperlink ref="M5" r:id="rId1" tooltip="email: ipio@uni-sofia.bg" xr:uid="{04C6EF5F-45ED-455E-9F03-4728707D114B}"/>
    <hyperlink ref="D5" location="'1. Отчет'!B6" tooltip="Титулна страница" display="Титулна страница" xr:uid="{3F32F074-2258-4F96-8180-D381975E038F}"/>
    <hyperlink ref="I5:J5" location="'4. ОНС &quot;доктор&quot;'!B21" tooltip="ОНС &quot;доктор&quot;" display="ОНС &quot;доктор&quot;" xr:uid="{8102C8AF-43CF-49D7-8855-A18055B1A837}"/>
  </hyperlinks>
  <pageMargins left="0.31496062992125984" right="0.35433070866141736" top="0.31496062992125984" bottom="0.74803149606299213" header="0.31496062992125984" footer="0.31496062992125984"/>
  <pageSetup paperSize="9" scale="72" fitToHeight="0" orientation="landscape" r:id="rId2"/>
  <headerFooter>
    <oddFooter>&amp;RПодпис:...................................................................</oddFooter>
  </headerFooter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error="Посочете дейността, която планирате:_x000a_нов курс_x000a_учебни ресурси_x000a_актуализация_x000a_" xr:uid="{00000000-0002-0000-0F00-000001000000}">
          <x14:formula1>
            <xm:f>list!$A$91:$A$93</xm:f>
          </x14:formula1>
          <xm:sqref>B27:B37</xm:sqref>
        </x14:dataValidation>
        <x14:dataValidation type="list" allowBlank="1" showInputMessage="1" showErrorMessage="1" xr:uid="{00000000-0002-0000-0F00-000002000000}">
          <x14:formula1>
            <xm:f>list!$A$59:$A$61</xm:f>
          </x14:formula1>
          <xm:sqref>J27:J37</xm:sqref>
        </x14:dataValidation>
        <x14:dataValidation type="list" allowBlank="1" showInputMessage="1" showErrorMessage="1" error="Можете да въведете само едно от следните:_x000a_бакалавър_x000a_магистър_x000a_няколко" xr:uid="{00000000-0002-0000-0F00-000003000000}">
          <x14:formula1>
            <xm:f>list!$C$91:$C$93</xm:f>
          </x14:formula1>
          <xm:sqref>E27:E37</xm:sqref>
        </x14:dataValidation>
        <x14:dataValidation type="list" allowBlank="1" showInputMessage="1" showErrorMessage="1" error="Въведете без интервали една от опциите:_x000a_р.об._x000a_з.об._x000a_д.об." xr:uid="{00000000-0002-0000-0F00-000004000000}">
          <x14:formula1>
            <xm:f>list!$A$53:$A$55</xm:f>
          </x14:formula1>
          <xm:sqref>I27:I37</xm:sqref>
        </x14:dataValidation>
        <x14:dataValidation type="list" allowBlank="1" showInputMessage="1" showErrorMessage="1" xr:uid="{00000000-0002-0000-0F00-000005000000}">
          <x14:formula1>
            <xm:f>list!$B$53:$B$55</xm:f>
          </x14:formula1>
          <xm:sqref>H27:H37</xm:sqref>
        </x14:dataValidation>
        <x14:dataValidation type="list" allowBlank="1" xr:uid="{00000000-0002-0000-0F00-000006000000}">
          <x14:formula1>
            <xm:f>Номенклатура!$O$5:$O$22</xm:f>
          </x14:formula1>
          <xm:sqref>G27:G37</xm:sqref>
        </x14:dataValidation>
        <x14:dataValidation type="list" allowBlank="1" showInputMessage="1" showErrorMessage="1" xr:uid="{00000000-0002-0000-0F00-000007000000}">
          <x14:formula1>
            <xm:f>INDIRECT(ПЕРИОД!$D$14)</xm:f>
          </x14:formula1>
          <xm:sqref>M27:M37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03A56-1A13-49BA-A79D-DC428D74F169}">
  <sheetPr codeName="Sheet17"/>
  <dimension ref="A1:M67"/>
  <sheetViews>
    <sheetView workbookViewId="0"/>
  </sheetViews>
  <sheetFormatPr defaultRowHeight="15" x14ac:dyDescent="0.25"/>
  <cols>
    <col min="1" max="1" width="2.140625" customWidth="1"/>
    <col min="2" max="2" width="11.85546875" bestFit="1" customWidth="1"/>
    <col min="3" max="3" width="36.85546875" customWidth="1"/>
    <col min="4" max="4" width="26.5703125" customWidth="1"/>
    <col min="5" max="5" width="22.7109375" customWidth="1"/>
    <col min="6" max="6" width="14.42578125" customWidth="1"/>
    <col min="7" max="7" width="14.140625" customWidth="1"/>
    <col min="8" max="8" width="6.5703125" customWidth="1"/>
    <col min="9" max="9" width="62.7109375" customWidth="1"/>
    <col min="10" max="10" width="10.140625" bestFit="1" customWidth="1"/>
    <col min="11" max="11" width="14.5703125" bestFit="1" customWidth="1"/>
    <col min="12" max="12" width="16.7109375" bestFit="1" customWidth="1"/>
    <col min="13" max="13" width="14.85546875" bestFit="1" customWidth="1"/>
  </cols>
  <sheetData>
    <row r="1" spans="1:13" ht="16.5" x14ac:dyDescent="0.3">
      <c r="B1" s="36" t="str">
        <f>ПЕРИОД!D12</f>
        <v>Факултет / катедра / акад. длъж.,  Преподавател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23.25" x14ac:dyDescent="0.35">
      <c r="A2" s="1510" t="s">
        <v>1046</v>
      </c>
      <c r="B2" s="2845" t="s">
        <v>2825</v>
      </c>
      <c r="C2" s="2846"/>
      <c r="D2" s="2846"/>
      <c r="E2" s="2846"/>
      <c r="F2" s="2846"/>
      <c r="G2" s="2846"/>
      <c r="H2" s="2846"/>
      <c r="I2" s="2846"/>
      <c r="J2" s="2846"/>
      <c r="K2" s="2846"/>
      <c r="L2" s="2846"/>
    </row>
    <row r="3" spans="1:13" ht="23.25" x14ac:dyDescent="0.35">
      <c r="A3" s="1510" t="s">
        <v>1046</v>
      </c>
      <c r="B3" s="2847" t="str">
        <f>"за въведените договори в системата на хоноруваните преподаватели за "&amp;Учебна_година&amp;" – "&amp;LOWER(Семестър)&amp;" семестър"</f>
        <v>за въведените договори в системата на хоноруваните преподаватели за 2024/2025 – септември семестър</v>
      </c>
      <c r="C3" s="2847"/>
      <c r="D3" s="2847"/>
      <c r="E3" s="2847"/>
      <c r="F3" s="2847"/>
      <c r="G3" s="2847"/>
      <c r="H3" s="2847"/>
      <c r="I3" s="2847"/>
      <c r="J3" s="2847"/>
      <c r="K3" s="2847"/>
      <c r="L3" s="2847"/>
    </row>
    <row r="6" spans="1:13" x14ac:dyDescent="0.25">
      <c r="B6" t="s">
        <v>18</v>
      </c>
      <c r="C6" t="s">
        <v>440</v>
      </c>
      <c r="D6" t="s">
        <v>2823</v>
      </c>
      <c r="E6" t="s">
        <v>12905</v>
      </c>
      <c r="F6" t="s">
        <v>2821</v>
      </c>
      <c r="G6" t="s">
        <v>2822</v>
      </c>
      <c r="H6" t="s">
        <v>573</v>
      </c>
      <c r="I6" t="s">
        <v>16</v>
      </c>
      <c r="J6" t="s">
        <v>331</v>
      </c>
      <c r="K6" t="s">
        <v>339</v>
      </c>
      <c r="L6" s="1004" t="s">
        <v>2824</v>
      </c>
    </row>
    <row r="7" spans="1:13" x14ac:dyDescent="0.25">
      <c r="B7" s="1511"/>
      <c r="C7" s="1511"/>
      <c r="D7" s="1511"/>
      <c r="E7" s="1511"/>
      <c r="F7" s="1512"/>
      <c r="G7" s="1512"/>
      <c r="H7" s="1511"/>
      <c r="I7" s="1511"/>
      <c r="J7" s="1511"/>
      <c r="K7" s="1511"/>
      <c r="L7" s="1513"/>
    </row>
    <row r="8" spans="1:13" x14ac:dyDescent="0.25">
      <c r="B8" s="1511"/>
      <c r="C8" s="1511"/>
      <c r="D8" s="1511"/>
      <c r="E8" s="1511"/>
      <c r="F8" s="1512"/>
      <c r="G8" s="1512"/>
      <c r="H8" s="1511"/>
      <c r="I8" s="1511"/>
      <c r="J8" s="1511"/>
      <c r="K8" s="1511"/>
      <c r="L8" s="1513"/>
    </row>
    <row r="9" spans="1:13" x14ac:dyDescent="0.25">
      <c r="B9" s="1511"/>
      <c r="C9" s="1511"/>
      <c r="D9" s="1511"/>
      <c r="E9" s="1511"/>
      <c r="F9" s="1512"/>
      <c r="G9" s="1512"/>
      <c r="H9" s="1511"/>
      <c r="I9" s="1511"/>
      <c r="J9" s="1511"/>
      <c r="K9" s="1511"/>
      <c r="L9" s="1513"/>
    </row>
    <row r="10" spans="1:13" x14ac:dyDescent="0.25">
      <c r="B10" s="1511"/>
      <c r="C10" s="1511"/>
      <c r="D10" s="1511"/>
      <c r="E10" s="1511"/>
      <c r="F10" s="1512"/>
      <c r="G10" s="1512"/>
      <c r="H10" s="1511"/>
      <c r="I10" s="1511"/>
      <c r="J10" s="1511"/>
      <c r="K10" s="1511"/>
      <c r="L10" s="1513"/>
    </row>
    <row r="11" spans="1:13" x14ac:dyDescent="0.25">
      <c r="B11" s="1511"/>
      <c r="C11" s="1511"/>
      <c r="D11" s="1511"/>
      <c r="E11" s="1511"/>
      <c r="F11" s="1512"/>
      <c r="G11" s="1512"/>
      <c r="H11" s="1511"/>
      <c r="I11" s="1511"/>
      <c r="J11" s="1511"/>
      <c r="K11" s="1511"/>
      <c r="L11" s="1513"/>
    </row>
    <row r="12" spans="1:13" x14ac:dyDescent="0.25">
      <c r="B12" s="1511"/>
      <c r="C12" s="1511"/>
      <c r="D12" s="1511"/>
      <c r="E12" s="1511"/>
      <c r="F12" s="1512"/>
      <c r="G12" s="1512"/>
      <c r="H12" s="1511"/>
      <c r="I12" s="1511"/>
      <c r="J12" s="1511"/>
      <c r="K12" s="1511"/>
      <c r="L12" s="1513"/>
    </row>
    <row r="13" spans="1:13" x14ac:dyDescent="0.25">
      <c r="B13" s="1511"/>
      <c r="C13" s="1511"/>
      <c r="D13" s="1511"/>
      <c r="E13" s="1511"/>
      <c r="F13" s="1512"/>
      <c r="G13" s="1512"/>
      <c r="H13" s="1511"/>
      <c r="I13" s="1511"/>
      <c r="J13" s="1511"/>
      <c r="K13" s="1511"/>
      <c r="L13" s="1513"/>
    </row>
    <row r="14" spans="1:13" x14ac:dyDescent="0.25">
      <c r="B14" s="1511"/>
      <c r="C14" s="1511"/>
      <c r="D14" s="1511"/>
      <c r="E14" s="1511"/>
      <c r="F14" s="1512"/>
      <c r="G14" s="1512"/>
      <c r="H14" s="1511"/>
      <c r="I14" s="1511"/>
      <c r="J14" s="1511"/>
      <c r="K14" s="1511"/>
      <c r="L14" s="1513"/>
    </row>
    <row r="15" spans="1:13" x14ac:dyDescent="0.25">
      <c r="B15" s="1511"/>
      <c r="C15" s="1511"/>
      <c r="D15" s="1511"/>
      <c r="E15" s="1511"/>
      <c r="F15" s="1512"/>
      <c r="G15" s="1512"/>
      <c r="H15" s="1511"/>
      <c r="I15" s="1511"/>
      <c r="J15" s="1511"/>
      <c r="K15" s="1511"/>
      <c r="L15" s="1513"/>
    </row>
    <row r="16" spans="1:13" x14ac:dyDescent="0.25">
      <c r="B16" s="1511"/>
      <c r="C16" s="1511"/>
      <c r="D16" s="1511"/>
      <c r="E16" s="1511"/>
      <c r="F16" s="1512"/>
      <c r="G16" s="1512"/>
      <c r="H16" s="1511"/>
      <c r="I16" s="1511"/>
      <c r="J16" s="1511"/>
      <c r="K16" s="1511"/>
      <c r="L16" s="1513"/>
    </row>
    <row r="17" spans="2:12" x14ac:dyDescent="0.25">
      <c r="B17" s="1511"/>
      <c r="C17" s="1511"/>
      <c r="D17" s="1511"/>
      <c r="E17" s="1511"/>
      <c r="F17" s="1512"/>
      <c r="G17" s="1512"/>
      <c r="H17" s="1511"/>
      <c r="I17" s="1511"/>
      <c r="J17" s="1511"/>
      <c r="K17" s="1511"/>
      <c r="L17" s="1513"/>
    </row>
    <row r="18" spans="2:12" x14ac:dyDescent="0.25">
      <c r="B18" s="1511"/>
      <c r="C18" s="1511"/>
      <c r="D18" s="1511"/>
      <c r="E18" s="1511"/>
      <c r="F18" s="1512"/>
      <c r="G18" s="1512"/>
      <c r="H18" s="1511"/>
      <c r="I18" s="1511"/>
      <c r="J18" s="1511"/>
      <c r="K18" s="1511"/>
      <c r="L18" s="1513"/>
    </row>
    <row r="19" spans="2:12" x14ac:dyDescent="0.25">
      <c r="B19" s="1511"/>
      <c r="C19" s="1511"/>
      <c r="D19" s="1511"/>
      <c r="E19" s="1511"/>
      <c r="F19" s="1512"/>
      <c r="G19" s="1512"/>
      <c r="H19" s="1511"/>
      <c r="I19" s="1511"/>
      <c r="J19" s="1511"/>
      <c r="K19" s="1511"/>
      <c r="L19" s="1513"/>
    </row>
    <row r="20" spans="2:12" x14ac:dyDescent="0.25">
      <c r="B20" s="1511"/>
      <c r="C20" s="1511"/>
      <c r="D20" s="1511"/>
      <c r="E20" s="1511"/>
      <c r="F20" s="1512"/>
      <c r="G20" s="1512"/>
      <c r="H20" s="1511"/>
      <c r="I20" s="1511"/>
      <c r="J20" s="1511"/>
      <c r="K20" s="1511"/>
      <c r="L20" s="1513"/>
    </row>
    <row r="21" spans="2:12" x14ac:dyDescent="0.25">
      <c r="B21" s="1511"/>
      <c r="C21" s="1511"/>
      <c r="D21" s="1511"/>
      <c r="E21" s="1511"/>
      <c r="F21" s="1512"/>
      <c r="G21" s="1512"/>
      <c r="H21" s="1511"/>
      <c r="I21" s="1511"/>
      <c r="J21" s="1511"/>
      <c r="K21" s="1511"/>
      <c r="L21" s="1513"/>
    </row>
    <row r="22" spans="2:12" x14ac:dyDescent="0.25">
      <c r="B22" s="1511"/>
      <c r="C22" s="1511"/>
      <c r="D22" s="1511"/>
      <c r="E22" s="1511"/>
      <c r="F22" s="1512"/>
      <c r="G22" s="1512"/>
      <c r="H22" s="1511"/>
      <c r="I22" s="1511"/>
      <c r="J22" s="1511"/>
      <c r="K22" s="1511"/>
      <c r="L22" s="1513"/>
    </row>
    <row r="23" spans="2:12" x14ac:dyDescent="0.25">
      <c r="B23" s="1511"/>
      <c r="C23" s="1511"/>
      <c r="D23" s="1511"/>
      <c r="E23" s="1511"/>
      <c r="F23" s="1512"/>
      <c r="G23" s="1512"/>
      <c r="H23" s="1511"/>
      <c r="I23" s="1511"/>
      <c r="J23" s="1511"/>
      <c r="K23" s="1511"/>
      <c r="L23" s="1513"/>
    </row>
    <row r="24" spans="2:12" x14ac:dyDescent="0.25">
      <c r="B24" s="1511"/>
      <c r="C24" s="1511"/>
      <c r="D24" s="1511"/>
      <c r="E24" s="1511"/>
      <c r="F24" s="1512"/>
      <c r="G24" s="1512"/>
      <c r="H24" s="1511"/>
      <c r="I24" s="1511"/>
      <c r="J24" s="1511"/>
      <c r="K24" s="1511"/>
      <c r="L24" s="1513"/>
    </row>
    <row r="25" spans="2:12" x14ac:dyDescent="0.25">
      <c r="B25" s="1511"/>
      <c r="C25" s="1511"/>
      <c r="D25" s="1511"/>
      <c r="E25" s="1511"/>
      <c r="F25" s="1512"/>
      <c r="G25" s="1512"/>
      <c r="H25" s="1511"/>
      <c r="I25" s="1511"/>
      <c r="J25" s="1511"/>
      <c r="K25" s="1511"/>
      <c r="L25" s="1513"/>
    </row>
    <row r="26" spans="2:12" x14ac:dyDescent="0.25">
      <c r="B26" s="1511"/>
      <c r="C26" s="1511"/>
      <c r="D26" s="1511"/>
      <c r="E26" s="1511"/>
      <c r="F26" s="1512"/>
      <c r="G26" s="1512"/>
      <c r="H26" s="1511"/>
      <c r="I26" s="1511"/>
      <c r="J26" s="1511"/>
      <c r="K26" s="1511"/>
      <c r="L26" s="1513"/>
    </row>
    <row r="27" spans="2:12" x14ac:dyDescent="0.25">
      <c r="B27" s="1511"/>
      <c r="C27" s="1511"/>
      <c r="D27" s="1511"/>
      <c r="E27" s="1511"/>
      <c r="F27" s="1512"/>
      <c r="G27" s="1512"/>
      <c r="H27" s="1511"/>
      <c r="I27" s="1511"/>
      <c r="J27" s="1511"/>
      <c r="K27" s="1511"/>
      <c r="L27" s="1513"/>
    </row>
    <row r="28" spans="2:12" x14ac:dyDescent="0.25">
      <c r="B28" s="1511"/>
      <c r="C28" s="1511"/>
      <c r="D28" s="1511"/>
      <c r="E28" s="1511"/>
      <c r="F28" s="1511"/>
      <c r="G28" s="1511"/>
      <c r="H28" s="1511"/>
      <c r="I28" s="1511"/>
      <c r="J28" s="1511"/>
      <c r="K28" s="1511"/>
      <c r="L28" s="1511"/>
    </row>
    <row r="29" spans="2:12" x14ac:dyDescent="0.25">
      <c r="B29" s="1511"/>
      <c r="C29" s="1511"/>
      <c r="D29" s="1511"/>
      <c r="E29" s="1511"/>
      <c r="F29" s="1511"/>
      <c r="G29" s="1511"/>
      <c r="H29" s="1511"/>
      <c r="I29" s="1511"/>
      <c r="J29" s="1511"/>
      <c r="K29" s="1511"/>
      <c r="L29" s="1511"/>
    </row>
    <row r="30" spans="2:12" x14ac:dyDescent="0.25">
      <c r="B30" s="1511"/>
      <c r="C30" s="1511"/>
      <c r="D30" s="1511"/>
      <c r="E30" s="1511"/>
      <c r="F30" s="1511"/>
      <c r="G30" s="1511"/>
      <c r="H30" s="1511"/>
      <c r="I30" s="1511"/>
      <c r="J30" s="1511"/>
      <c r="K30" s="1511"/>
      <c r="L30" s="1511"/>
    </row>
    <row r="31" spans="2:12" x14ac:dyDescent="0.25">
      <c r="B31" s="1511"/>
      <c r="C31" s="1511"/>
      <c r="D31" s="1511"/>
      <c r="E31" s="1511"/>
      <c r="F31" s="1511"/>
      <c r="G31" s="1511"/>
      <c r="H31" s="1511"/>
      <c r="I31" s="1511"/>
      <c r="J31" s="1511"/>
      <c r="K31" s="1511"/>
      <c r="L31" s="1511"/>
    </row>
    <row r="32" spans="2:12" x14ac:dyDescent="0.25">
      <c r="B32" s="1511"/>
      <c r="C32" s="1511"/>
      <c r="D32" s="1511"/>
      <c r="E32" s="1511"/>
      <c r="F32" s="1511"/>
      <c r="G32" s="1511"/>
      <c r="H32" s="1511"/>
      <c r="I32" s="1511"/>
      <c r="J32" s="1511"/>
      <c r="K32" s="1511"/>
      <c r="L32" s="1511"/>
    </row>
    <row r="33" spans="2:12" x14ac:dyDescent="0.25">
      <c r="B33" s="1511"/>
      <c r="C33" s="1511"/>
      <c r="D33" s="1511"/>
      <c r="E33" s="1511"/>
      <c r="F33" s="1511"/>
      <c r="G33" s="1511"/>
      <c r="H33" s="1511"/>
      <c r="I33" s="1511"/>
      <c r="J33" s="1511"/>
      <c r="K33" s="1511"/>
      <c r="L33" s="1511"/>
    </row>
    <row r="34" spans="2:12" x14ac:dyDescent="0.25">
      <c r="B34" s="1511"/>
      <c r="C34" s="1511"/>
      <c r="D34" s="1511"/>
      <c r="E34" s="1511"/>
      <c r="F34" s="1511"/>
      <c r="G34" s="1511"/>
      <c r="H34" s="1511"/>
      <c r="I34" s="1511"/>
      <c r="J34" s="1511"/>
      <c r="K34" s="1511"/>
      <c r="L34" s="1511"/>
    </row>
    <row r="35" spans="2:12" x14ac:dyDescent="0.25">
      <c r="B35" s="1511"/>
      <c r="C35" s="1511"/>
      <c r="D35" s="1511"/>
      <c r="E35" s="1511"/>
      <c r="F35" s="1511"/>
      <c r="G35" s="1511"/>
      <c r="H35" s="1511"/>
      <c r="I35" s="1511"/>
      <c r="J35" s="1511"/>
      <c r="K35" s="1511"/>
      <c r="L35" s="1511"/>
    </row>
    <row r="36" spans="2:12" x14ac:dyDescent="0.25">
      <c r="B36" s="1511"/>
      <c r="C36" s="1511"/>
      <c r="D36" s="1511"/>
      <c r="E36" s="1511"/>
      <c r="F36" s="1511"/>
      <c r="G36" s="1511"/>
      <c r="H36" s="1511"/>
      <c r="I36" s="1511"/>
      <c r="J36" s="1511"/>
      <c r="K36" s="1511"/>
      <c r="L36" s="1511"/>
    </row>
    <row r="37" spans="2:12" x14ac:dyDescent="0.25">
      <c r="B37" s="1511"/>
      <c r="C37" s="1511"/>
      <c r="D37" s="1511"/>
      <c r="E37" s="1511"/>
      <c r="F37" s="1511"/>
      <c r="G37" s="1511"/>
      <c r="H37" s="1511"/>
      <c r="I37" s="1511"/>
      <c r="J37" s="1511"/>
      <c r="K37" s="1511"/>
      <c r="L37" s="1511"/>
    </row>
    <row r="38" spans="2:12" x14ac:dyDescent="0.25">
      <c r="B38" s="1511"/>
      <c r="C38" s="1511"/>
      <c r="D38" s="1511"/>
      <c r="E38" s="1511"/>
      <c r="F38" s="1511"/>
      <c r="G38" s="1511"/>
      <c r="H38" s="1511"/>
      <c r="I38" s="1511"/>
      <c r="J38" s="1511"/>
      <c r="K38" s="1511"/>
      <c r="L38" s="1511"/>
    </row>
    <row r="39" spans="2:12" x14ac:dyDescent="0.25">
      <c r="B39" s="1511"/>
      <c r="C39" s="1511"/>
      <c r="D39" s="1511"/>
      <c r="E39" s="1511"/>
      <c r="F39" s="1511"/>
      <c r="G39" s="1511"/>
      <c r="H39" s="1511"/>
      <c r="I39" s="1511"/>
      <c r="J39" s="1511"/>
      <c r="K39" s="1511"/>
      <c r="L39" s="1511"/>
    </row>
    <row r="40" spans="2:12" x14ac:dyDescent="0.25">
      <c r="B40" s="1511"/>
      <c r="C40" s="1511"/>
      <c r="D40" s="1511"/>
      <c r="E40" s="1511"/>
      <c r="F40" s="1511"/>
      <c r="G40" s="1511"/>
      <c r="H40" s="1511"/>
      <c r="I40" s="1511"/>
      <c r="J40" s="1511"/>
      <c r="K40" s="1511"/>
      <c r="L40" s="1511"/>
    </row>
    <row r="41" spans="2:12" x14ac:dyDescent="0.25">
      <c r="B41" s="1511"/>
      <c r="C41" s="1511"/>
      <c r="D41" s="1511"/>
      <c r="E41" s="1511"/>
      <c r="F41" s="1511"/>
      <c r="G41" s="1511"/>
      <c r="H41" s="1511"/>
      <c r="I41" s="1511"/>
      <c r="J41" s="1511"/>
      <c r="K41" s="1511"/>
      <c r="L41" s="1511"/>
    </row>
    <row r="42" spans="2:12" x14ac:dyDescent="0.25">
      <c r="B42" s="1511"/>
      <c r="C42" s="1511"/>
      <c r="D42" s="1511"/>
      <c r="E42" s="1511"/>
      <c r="F42" s="1511"/>
      <c r="G42" s="1511"/>
      <c r="H42" s="1511"/>
      <c r="I42" s="1511"/>
      <c r="J42" s="1511"/>
      <c r="K42" s="1511"/>
      <c r="L42" s="1511"/>
    </row>
    <row r="43" spans="2:12" x14ac:dyDescent="0.25">
      <c r="B43" s="1511"/>
      <c r="C43" s="1511"/>
      <c r="D43" s="1511"/>
      <c r="E43" s="1511"/>
      <c r="F43" s="1511"/>
      <c r="G43" s="1511"/>
      <c r="H43" s="1511"/>
      <c r="I43" s="1511"/>
      <c r="J43" s="1511"/>
      <c r="K43" s="1511"/>
      <c r="L43" s="1511"/>
    </row>
    <row r="44" spans="2:12" x14ac:dyDescent="0.25">
      <c r="B44" s="1511"/>
      <c r="C44" s="1511"/>
      <c r="D44" s="1511"/>
      <c r="E44" s="1511"/>
      <c r="F44" s="1511"/>
      <c r="G44" s="1511"/>
      <c r="H44" s="1511"/>
      <c r="I44" s="1511"/>
      <c r="J44" s="1511"/>
      <c r="K44" s="1511"/>
      <c r="L44" s="1511"/>
    </row>
    <row r="45" spans="2:12" x14ac:dyDescent="0.25">
      <c r="B45" s="1511"/>
      <c r="C45" s="1511"/>
      <c r="D45" s="1511"/>
      <c r="E45" s="1511"/>
      <c r="F45" s="1511"/>
      <c r="G45" s="1511"/>
      <c r="H45" s="1511"/>
      <c r="I45" s="1511"/>
      <c r="J45" s="1511"/>
      <c r="K45" s="1511"/>
      <c r="L45" s="1511"/>
    </row>
    <row r="46" spans="2:12" x14ac:dyDescent="0.25">
      <c r="B46" s="1511"/>
      <c r="C46" s="1511"/>
      <c r="D46" s="1511"/>
      <c r="E46" s="1511"/>
      <c r="F46" s="1511"/>
      <c r="G46" s="1511"/>
      <c r="H46" s="1511"/>
      <c r="I46" s="1511"/>
      <c r="J46" s="1511"/>
      <c r="K46" s="1511"/>
      <c r="L46" s="1511"/>
    </row>
    <row r="47" spans="2:12" x14ac:dyDescent="0.25">
      <c r="B47" s="1511"/>
      <c r="C47" s="1511"/>
      <c r="D47" s="1511"/>
      <c r="E47" s="1511"/>
      <c r="F47" s="1511"/>
      <c r="G47" s="1511"/>
      <c r="H47" s="1511"/>
      <c r="I47" s="1511"/>
      <c r="J47" s="1511"/>
      <c r="K47" s="1511"/>
      <c r="L47" s="1511"/>
    </row>
    <row r="48" spans="2:12" x14ac:dyDescent="0.25">
      <c r="B48" s="1511"/>
      <c r="C48" s="1511"/>
      <c r="D48" s="1511"/>
      <c r="E48" s="1511"/>
      <c r="F48" s="1511"/>
      <c r="G48" s="1511"/>
      <c r="H48" s="1511"/>
      <c r="I48" s="1511"/>
      <c r="J48" s="1511"/>
      <c r="K48" s="1511"/>
      <c r="L48" s="1511"/>
    </row>
    <row r="49" spans="2:12" x14ac:dyDescent="0.25">
      <c r="B49" s="1511"/>
      <c r="C49" s="1511"/>
      <c r="D49" s="1511"/>
      <c r="E49" s="1511"/>
      <c r="F49" s="1511"/>
      <c r="G49" s="1511"/>
      <c r="H49" s="1511"/>
      <c r="I49" s="1511"/>
      <c r="J49" s="1511"/>
      <c r="K49" s="1511"/>
      <c r="L49" s="1511"/>
    </row>
    <row r="50" spans="2:12" x14ac:dyDescent="0.25">
      <c r="B50" s="1511"/>
      <c r="C50" s="1511"/>
      <c r="D50" s="1511"/>
      <c r="E50" s="1511"/>
      <c r="F50" s="1511"/>
      <c r="G50" s="1511"/>
      <c r="H50" s="1511"/>
      <c r="I50" s="1511"/>
      <c r="J50" s="1511"/>
      <c r="K50" s="1511"/>
      <c r="L50" s="1511"/>
    </row>
    <row r="51" spans="2:12" x14ac:dyDescent="0.25">
      <c r="B51" s="1511"/>
      <c r="C51" s="1511"/>
      <c r="D51" s="1511"/>
      <c r="E51" s="1511"/>
      <c r="F51" s="1511"/>
      <c r="G51" s="1511"/>
      <c r="H51" s="1511"/>
      <c r="I51" s="1511"/>
      <c r="J51" s="1511"/>
      <c r="K51" s="1511"/>
      <c r="L51" s="1511"/>
    </row>
    <row r="52" spans="2:12" x14ac:dyDescent="0.25">
      <c r="B52" s="1511"/>
      <c r="C52" s="1511"/>
      <c r="D52" s="1511"/>
      <c r="E52" s="1511"/>
      <c r="F52" s="1511"/>
      <c r="G52" s="1511"/>
      <c r="H52" s="1511"/>
      <c r="I52" s="1511"/>
      <c r="J52" s="1511"/>
      <c r="K52" s="1511"/>
      <c r="L52" s="1511"/>
    </row>
    <row r="53" spans="2:12" x14ac:dyDescent="0.25">
      <c r="B53" s="1511"/>
      <c r="C53" s="1511"/>
      <c r="D53" s="1511"/>
      <c r="E53" s="1511"/>
      <c r="F53" s="1511"/>
      <c r="G53" s="1511"/>
      <c r="H53" s="1511"/>
      <c r="I53" s="1511"/>
      <c r="J53" s="1511"/>
      <c r="K53" s="1511"/>
      <c r="L53" s="1511"/>
    </row>
    <row r="54" spans="2:12" x14ac:dyDescent="0.25">
      <c r="B54" s="1511"/>
      <c r="C54" s="1511"/>
      <c r="D54" s="1511"/>
      <c r="E54" s="1511"/>
      <c r="F54" s="1511"/>
      <c r="G54" s="1511"/>
      <c r="H54" s="1511"/>
      <c r="I54" s="1511"/>
      <c r="J54" s="1511"/>
      <c r="K54" s="1511"/>
      <c r="L54" s="1511"/>
    </row>
    <row r="55" spans="2:12" x14ac:dyDescent="0.25">
      <c r="B55" s="1511"/>
      <c r="C55" s="1511"/>
      <c r="D55" s="1511"/>
      <c r="E55" s="1511"/>
      <c r="F55" s="1511"/>
      <c r="G55" s="1511"/>
      <c r="H55" s="1511"/>
      <c r="I55" s="1511"/>
      <c r="J55" s="1511"/>
      <c r="K55" s="1511"/>
      <c r="L55" s="1511"/>
    </row>
    <row r="56" spans="2:12" x14ac:dyDescent="0.25">
      <c r="B56" s="1511"/>
      <c r="C56" s="1511"/>
      <c r="D56" s="1511"/>
      <c r="E56" s="1511"/>
      <c r="F56" s="1511"/>
      <c r="G56" s="1511"/>
      <c r="H56" s="1511"/>
      <c r="I56" s="1511"/>
      <c r="J56" s="1511"/>
      <c r="K56" s="1511"/>
      <c r="L56" s="1511"/>
    </row>
    <row r="57" spans="2:12" x14ac:dyDescent="0.25">
      <c r="B57" s="1511"/>
      <c r="C57" s="1511"/>
      <c r="D57" s="1511"/>
      <c r="E57" s="1511"/>
      <c r="F57" s="1511"/>
      <c r="G57" s="1511"/>
      <c r="H57" s="1511"/>
      <c r="I57" s="1511"/>
      <c r="J57" s="1511"/>
      <c r="K57" s="1511"/>
      <c r="L57" s="1511"/>
    </row>
    <row r="58" spans="2:12" x14ac:dyDescent="0.25">
      <c r="B58" s="1511"/>
      <c r="C58" s="1511"/>
      <c r="D58" s="1511"/>
      <c r="E58" s="1511"/>
      <c r="F58" s="1511"/>
      <c r="G58" s="1511"/>
      <c r="H58" s="1511"/>
      <c r="I58" s="1511"/>
      <c r="J58" s="1511"/>
      <c r="K58" s="1511"/>
      <c r="L58" s="1511"/>
    </row>
    <row r="59" spans="2:12" x14ac:dyDescent="0.25">
      <c r="B59" s="1511"/>
      <c r="C59" s="1511"/>
      <c r="D59" s="1511"/>
      <c r="E59" s="1511"/>
      <c r="F59" s="1511"/>
      <c r="G59" s="1511"/>
      <c r="H59" s="1511"/>
      <c r="I59" s="1511"/>
      <c r="J59" s="1511"/>
      <c r="K59" s="1511"/>
      <c r="L59" s="1511"/>
    </row>
    <row r="60" spans="2:12" x14ac:dyDescent="0.25">
      <c r="B60" s="1511"/>
      <c r="C60" s="1511"/>
      <c r="D60" s="1511"/>
      <c r="E60" s="1511"/>
      <c r="F60" s="1511"/>
      <c r="G60" s="1511"/>
      <c r="H60" s="1511"/>
      <c r="I60" s="1511"/>
      <c r="J60" s="1511"/>
      <c r="K60" s="1511"/>
      <c r="L60" s="1511"/>
    </row>
    <row r="61" spans="2:12" x14ac:dyDescent="0.25">
      <c r="B61" s="1511"/>
      <c r="C61" s="1511"/>
      <c r="D61" s="1511"/>
      <c r="E61" s="1511"/>
      <c r="F61" s="1511"/>
      <c r="G61" s="1511"/>
      <c r="H61" s="1511"/>
      <c r="I61" s="1511"/>
      <c r="J61" s="1511"/>
      <c r="K61" s="1511"/>
      <c r="L61" s="1511"/>
    </row>
    <row r="62" spans="2:12" x14ac:dyDescent="0.25">
      <c r="B62" s="1511"/>
      <c r="C62" s="1511"/>
      <c r="D62" s="1511"/>
      <c r="E62" s="1511"/>
      <c r="F62" s="1511"/>
      <c r="G62" s="1511"/>
      <c r="H62" s="1511"/>
      <c r="I62" s="1511"/>
      <c r="J62" s="1511"/>
      <c r="K62" s="1511"/>
      <c r="L62" s="1511"/>
    </row>
    <row r="63" spans="2:12" x14ac:dyDescent="0.25">
      <c r="B63" s="1511"/>
      <c r="C63" s="1511"/>
      <c r="D63" s="1511"/>
      <c r="E63" s="1511"/>
      <c r="F63" s="1511"/>
      <c r="G63" s="1511"/>
      <c r="H63" s="1511"/>
      <c r="I63" s="1511"/>
      <c r="J63" s="1511"/>
      <c r="K63" s="1511"/>
      <c r="L63" s="1511"/>
    </row>
    <row r="64" spans="2:12" x14ac:dyDescent="0.25">
      <c r="B64" s="1511"/>
      <c r="C64" s="1511"/>
      <c r="D64" s="1511"/>
      <c r="E64" s="1511"/>
      <c r="F64" s="1511"/>
      <c r="G64" s="1511"/>
      <c r="H64" s="1511"/>
      <c r="I64" s="1511"/>
      <c r="J64" s="1511"/>
      <c r="K64" s="1511"/>
      <c r="L64" s="1511"/>
    </row>
    <row r="65" spans="2:12" x14ac:dyDescent="0.25">
      <c r="B65" s="1511"/>
      <c r="C65" s="1511"/>
      <c r="D65" s="1511"/>
      <c r="E65" s="1511"/>
      <c r="F65" s="1511"/>
      <c r="G65" s="1511"/>
      <c r="H65" s="1511"/>
      <c r="I65" s="1511"/>
      <c r="J65" s="1511"/>
      <c r="K65" s="1511"/>
      <c r="L65" s="1511"/>
    </row>
    <row r="66" spans="2:12" x14ac:dyDescent="0.25">
      <c r="B66" s="1511"/>
      <c r="C66" s="1511"/>
      <c r="D66" s="1511"/>
      <c r="E66" s="1511"/>
      <c r="F66" s="1511"/>
      <c r="G66" s="1511"/>
      <c r="H66" s="1511"/>
      <c r="I66" s="1511"/>
      <c r="J66" s="1511"/>
      <c r="K66" s="1511"/>
      <c r="L66" s="1511"/>
    </row>
    <row r="67" spans="2:12" x14ac:dyDescent="0.25">
      <c r="B67" s="1511"/>
      <c r="C67" s="1511"/>
      <c r="D67" s="1511"/>
      <c r="E67" s="1511"/>
      <c r="F67" s="1511"/>
      <c r="G67" s="1511"/>
      <c r="H67" s="1511"/>
      <c r="I67" s="1511"/>
      <c r="J67" s="1511"/>
      <c r="K67" s="1511"/>
      <c r="L67" s="1511"/>
    </row>
  </sheetData>
  <sheetProtection algorithmName="SHA-512" hashValue="edIWjeQcX5hTWTmZceQb+HqyFzRDytHtJ1gidDYDjqd6iI82imw7OKAurvs5MFfkjATYKCLSITMARykpo11vGw==" saltValue="xoEm69UayDx4F0mo4X+vcQ==" spinCount="100000" sheet="1" objects="1" scenarios="1" formatCells="0" formatRows="0"/>
  <mergeCells count="2">
    <mergeCell ref="B2:L2"/>
    <mergeCell ref="B3:L3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2971-6B7A-4BB9-A4F3-8FCFE3DB1842}">
  <sheetPr codeName="Sheet23">
    <tabColor theme="8" tint="-0.249977111117893"/>
  </sheetPr>
  <dimension ref="B5:H12"/>
  <sheetViews>
    <sheetView workbookViewId="0"/>
  </sheetViews>
  <sheetFormatPr defaultRowHeight="15" x14ac:dyDescent="0.25"/>
  <cols>
    <col min="2" max="2" width="5.5703125" bestFit="1" customWidth="1"/>
    <col min="3" max="3" width="33.42578125" bestFit="1" customWidth="1"/>
    <col min="4" max="4" width="8.140625" bestFit="1" customWidth="1"/>
    <col min="5" max="5" width="27.140625" bestFit="1" customWidth="1"/>
    <col min="6" max="7" width="10.140625" bestFit="1" customWidth="1"/>
    <col min="8" max="8" width="9.42578125" bestFit="1" customWidth="1"/>
  </cols>
  <sheetData>
    <row r="5" spans="2:8" x14ac:dyDescent="0.25">
      <c r="H5" s="1926">
        <f>SUM(T_Refresh[Време])</f>
        <v>1.9675926159834489E-4</v>
      </c>
    </row>
    <row r="6" spans="2:8" x14ac:dyDescent="0.25">
      <c r="B6" s="1004" t="s">
        <v>573</v>
      </c>
      <c r="C6" s="1004" t="s">
        <v>12899</v>
      </c>
      <c r="D6" s="1004" t="s">
        <v>12900</v>
      </c>
      <c r="E6" s="1004" t="s">
        <v>718</v>
      </c>
      <c r="F6" s="1004" t="s">
        <v>12902</v>
      </c>
      <c r="G6" s="1004" t="s">
        <v>12901</v>
      </c>
      <c r="H6" s="1004" t="s">
        <v>12903</v>
      </c>
    </row>
    <row r="7" spans="2:8" x14ac:dyDescent="0.25">
      <c r="B7" s="615">
        <f ca="1">N(OFFSET(T_Refresh[[#This Row],[№]],-1,0))+1</f>
        <v>1</v>
      </c>
      <c r="C7" s="1004" t="s">
        <v>12894</v>
      </c>
      <c r="D7" s="614">
        <v>1</v>
      </c>
      <c r="E7" s="1004" t="s">
        <v>12894</v>
      </c>
      <c r="F7" s="614"/>
      <c r="G7" s="1924"/>
      <c r="H7" s="1925">
        <v>0</v>
      </c>
    </row>
    <row r="8" spans="2:8" x14ac:dyDescent="0.25">
      <c r="B8" s="615">
        <f ca="1">N(OFFSET(T_Refresh[[#This Row],[№]],-1,0))+1</f>
        <v>2</v>
      </c>
      <c r="C8" s="1004" t="s">
        <v>12895</v>
      </c>
      <c r="D8" s="614">
        <v>1</v>
      </c>
      <c r="E8" s="1004" t="s">
        <v>4322</v>
      </c>
      <c r="F8" s="614">
        <v>1</v>
      </c>
      <c r="G8" s="1924">
        <v>1</v>
      </c>
      <c r="H8" s="1925">
        <v>2.314814628334716E-5</v>
      </c>
    </row>
    <row r="9" spans="2:8" x14ac:dyDescent="0.25">
      <c r="B9" s="615">
        <f ca="1">N(OFFSET(T_Refresh[[#This Row],[№]],-1,0))+1</f>
        <v>3</v>
      </c>
      <c r="C9" s="1004" t="s">
        <v>4322</v>
      </c>
      <c r="D9" s="614">
        <v>1</v>
      </c>
      <c r="E9" s="1004" t="s">
        <v>4322</v>
      </c>
      <c r="F9" s="614">
        <v>1</v>
      </c>
      <c r="G9" s="1924">
        <v>1</v>
      </c>
      <c r="H9" s="1925">
        <v>1.1574073869269341E-4</v>
      </c>
    </row>
    <row r="10" spans="2:8" x14ac:dyDescent="0.25">
      <c r="B10" s="615">
        <f ca="1">N(OFFSET(T_Refresh[[#This Row],[№]],-1,0))+1</f>
        <v>4</v>
      </c>
      <c r="C10" s="1004" t="s">
        <v>12896</v>
      </c>
      <c r="D10" s="614">
        <v>1</v>
      </c>
      <c r="E10" s="1004" t="s">
        <v>4322</v>
      </c>
      <c r="F10" s="614">
        <v>1</v>
      </c>
      <c r="G10" s="1924">
        <v>1</v>
      </c>
      <c r="H10" s="1925">
        <v>2.3148153559304774E-5</v>
      </c>
    </row>
    <row r="11" spans="2:8" x14ac:dyDescent="0.25">
      <c r="B11" s="615">
        <f ca="1">N(OFFSET(T_Refresh[[#This Row],[№]],-1,0))+1</f>
        <v>5</v>
      </c>
      <c r="C11" s="1004" t="s">
        <v>12897</v>
      </c>
      <c r="D11" s="614">
        <v>1</v>
      </c>
      <c r="E11" s="1004" t="s">
        <v>4322</v>
      </c>
      <c r="F11" s="614">
        <v>1</v>
      </c>
      <c r="G11" s="1924">
        <v>1</v>
      </c>
      <c r="H11" s="1925">
        <v>1.1574069503694773E-5</v>
      </c>
    </row>
    <row r="12" spans="2:8" x14ac:dyDescent="0.25">
      <c r="B12" s="615">
        <f ca="1">N(OFFSET(T_Refresh[[#This Row],[№]],-1,0))+1</f>
        <v>6</v>
      </c>
      <c r="C12" s="1004" t="s">
        <v>12898</v>
      </c>
      <c r="D12" s="614">
        <v>1</v>
      </c>
      <c r="E12" s="1004" t="s">
        <v>12904</v>
      </c>
      <c r="F12" s="614">
        <v>1</v>
      </c>
      <c r="G12" s="1924">
        <v>1</v>
      </c>
      <c r="H12" s="1925">
        <v>2.3148153559304774E-5</v>
      </c>
    </row>
  </sheetData>
  <conditionalFormatting sqref="B7:H12">
    <cfRule type="expression" dxfId="27" priority="1">
      <formula>CELL("row")=ROW()</formula>
    </cfRule>
  </conditionalFormatting>
  <conditionalFormatting sqref="D7:F12">
    <cfRule type="iconSet" priority="3">
      <iconSet iconSet="3Symbols2" showValue="0">
        <cfvo type="percent" val="0"/>
        <cfvo type="num" val="0" gte="0"/>
        <cfvo type="num" val="1"/>
      </iconSe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66A413C-6D19-4672-B580-BEE1EC623E6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1"/>
              <x14:cfIcon iconSet="3Symbols2" iconId="1"/>
              <x14:cfIcon iconSet="3Symbols2" iconId="2"/>
            </x14:iconSet>
          </x14:cfRule>
          <xm:sqref>G7:G12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6DD01-259B-449E-BEB3-D0AD84D89B8C}">
  <sheetPr codeName="Sheet22">
    <tabColor theme="5" tint="0.39997558519241921"/>
  </sheetPr>
  <dimension ref="C2:AC18"/>
  <sheetViews>
    <sheetView workbookViewId="0"/>
  </sheetViews>
  <sheetFormatPr defaultRowHeight="15" x14ac:dyDescent="0.25"/>
  <cols>
    <col min="1" max="1" width="2.42578125" customWidth="1"/>
    <col min="2" max="2" width="3" bestFit="1" customWidth="1"/>
    <col min="3" max="3" width="13.42578125" bestFit="1" customWidth="1"/>
    <col min="4" max="4" width="11.5703125" bestFit="1" customWidth="1"/>
    <col min="5" max="5" width="16" bestFit="1" customWidth="1"/>
    <col min="6" max="6" width="18.28515625" bestFit="1" customWidth="1"/>
    <col min="7" max="7" width="5.42578125" bestFit="1" customWidth="1"/>
    <col min="8" max="8" width="18.28515625" bestFit="1" customWidth="1"/>
    <col min="9" max="9" width="16" bestFit="1" customWidth="1"/>
    <col min="10" max="10" width="7.7109375" bestFit="1" customWidth="1"/>
    <col min="11" max="11" width="6.7109375" bestFit="1" customWidth="1"/>
    <col min="12" max="12" width="16" bestFit="1" customWidth="1"/>
    <col min="13" max="13" width="12.42578125" bestFit="1" customWidth="1"/>
    <col min="14" max="14" width="11.7109375" bestFit="1" customWidth="1"/>
    <col min="15" max="15" width="11" bestFit="1" customWidth="1"/>
    <col min="16" max="16" width="17" bestFit="1" customWidth="1"/>
    <col min="17" max="17" width="16.28515625" bestFit="1" customWidth="1"/>
    <col min="18" max="18" width="9.140625" bestFit="1" customWidth="1"/>
    <col min="19" max="19" width="9" bestFit="1" customWidth="1"/>
    <col min="20" max="20" width="10.140625" bestFit="1" customWidth="1"/>
    <col min="21" max="21" width="10" bestFit="1" customWidth="1"/>
    <col min="22" max="22" width="8.42578125" bestFit="1" customWidth="1"/>
    <col min="23" max="23" width="8.140625" bestFit="1" customWidth="1"/>
    <col min="24" max="25" width="8.42578125" bestFit="1" customWidth="1"/>
    <col min="26" max="26" width="13" bestFit="1" customWidth="1"/>
    <col min="27" max="27" width="12.28515625" bestFit="1" customWidth="1"/>
    <col min="28" max="28" width="15.140625" bestFit="1" customWidth="1"/>
    <col min="29" max="29" width="15.7109375" bestFit="1" customWidth="1"/>
    <col min="30" max="30" width="12.7109375" bestFit="1" customWidth="1"/>
    <col min="32" max="32" width="18.42578125" bestFit="1" customWidth="1"/>
    <col min="33" max="33" width="13.85546875" bestFit="1" customWidth="1"/>
    <col min="34" max="34" width="13.5703125" bestFit="1" customWidth="1"/>
    <col min="35" max="35" width="12.5703125" bestFit="1" customWidth="1"/>
    <col min="36" max="36" width="20" bestFit="1" customWidth="1"/>
    <col min="37" max="37" width="18.5703125" bestFit="1" customWidth="1"/>
    <col min="38" max="38" width="21.140625" bestFit="1" customWidth="1"/>
    <col min="39" max="39" width="18.42578125" bestFit="1" customWidth="1"/>
    <col min="40" max="40" width="8" bestFit="1" customWidth="1"/>
    <col min="41" max="41" width="10.140625" bestFit="1" customWidth="1"/>
    <col min="42" max="42" width="10" bestFit="1" customWidth="1"/>
    <col min="43" max="43" width="11.42578125" bestFit="1" customWidth="1"/>
    <col min="44" max="44" width="11.28515625" bestFit="1" customWidth="1"/>
    <col min="45" max="46" width="9.140625" bestFit="1" customWidth="1"/>
    <col min="47" max="47" width="9.28515625" bestFit="1" customWidth="1"/>
    <col min="48" max="48" width="9.42578125" bestFit="1" customWidth="1"/>
    <col min="49" max="49" width="15.140625" bestFit="1" customWidth="1"/>
    <col min="50" max="50" width="13.7109375" bestFit="1" customWidth="1"/>
    <col min="51" max="51" width="17" bestFit="1" customWidth="1"/>
    <col min="52" max="52" width="18" bestFit="1" customWidth="1"/>
    <col min="53" max="53" width="6.28515625" bestFit="1" customWidth="1"/>
    <col min="54" max="54" width="4.28515625" bestFit="1" customWidth="1"/>
  </cols>
  <sheetData>
    <row r="2" spans="3:8" x14ac:dyDescent="0.25">
      <c r="C2" s="1664" t="s">
        <v>4565</v>
      </c>
      <c r="D2" s="1739" t="str">
        <f>IF(HLOOKUP(C2,Table_НАЦИД_Обобщен_отчет[#All],2,0),HLOOKUP(C2,Table_НАЦИД_Обобщен_отчет[#All],2,0),"")</f>
        <v/>
      </c>
    </row>
    <row r="3" spans="3:8" x14ac:dyDescent="0.25">
      <c r="C3" s="1664" t="s">
        <v>1116</v>
      </c>
      <c r="D3" s="1739" t="str">
        <f>IF(HLOOKUP(C3,Table_НАЦИД_Обобщен_отчет[#All],2,0),HLOOKUP(C3,Table_НАЦИД_Обобщен_отчет[#All],2,0),"")</f>
        <v/>
      </c>
      <c r="E3" s="1527" t="s">
        <v>4310</v>
      </c>
      <c r="F3" s="1672" t="str">
        <f>HLOOKUP("*"&amp;E3&amp;"*",Table_НАЦИД_Обобщен_отчет[#All],2,0)&amp;"-"&amp;HLOOKUP("аСeместър:",Table_НАЦИД_Обобщен_отчет[#All],2,0)</f>
        <v>-</v>
      </c>
    </row>
    <row r="4" spans="3:8" x14ac:dyDescent="0.25">
      <c r="C4" s="1664" t="s">
        <v>1117</v>
      </c>
      <c r="D4" s="1739" t="str">
        <f>IF(HLOOKUP(C4,Table_НАЦИД_Обобщен_отчет[#All],2,0),HLOOKUP(C4,Table_НАЦИД_Обобщен_отчет[#All],2,0),"")</f>
        <v/>
      </c>
      <c r="E4" s="1527" t="s">
        <v>18</v>
      </c>
      <c r="F4" s="1673">
        <f>HLOOKUP("*"&amp;H4&amp;"*",Table_НАЦИД_Обобщен_отчет[#All],2,0)</f>
        <v>0</v>
      </c>
      <c r="H4" s="1663" t="s">
        <v>807</v>
      </c>
    </row>
    <row r="5" spans="3:8" x14ac:dyDescent="0.25">
      <c r="C5" s="1664" t="s">
        <v>1118</v>
      </c>
      <c r="D5" s="1739" t="str">
        <f>IF(LEN(HLOOKUP(C5,Table_НАЦИД_Обобщен_отчет[#All],2,0)),HLOOKUP(C5,Table_НАЦИД_Обобщен_отчет[#All],2,0),"")</f>
        <v/>
      </c>
      <c r="E5" s="1527" t="s">
        <v>439</v>
      </c>
      <c r="F5" s="1673">
        <f>HLOOKUP("*"&amp;H5&amp;"*",Table_НАЦИД_Обобщен_отчет[#All],2,0)</f>
        <v>0</v>
      </c>
      <c r="H5" s="1663" t="s">
        <v>808</v>
      </c>
    </row>
    <row r="6" spans="3:8" x14ac:dyDescent="0.25">
      <c r="H6" s="1662"/>
    </row>
    <row r="7" spans="3:8" x14ac:dyDescent="0.25">
      <c r="E7" s="1527" t="s">
        <v>9533</v>
      </c>
      <c r="F7" s="1673">
        <f>HLOOKUP("*"&amp;H7&amp;"*",Table_НАЦИД_Обобщен_отчет[#All],2,0)</f>
        <v>0</v>
      </c>
      <c r="H7" s="1663" t="s">
        <v>809</v>
      </c>
    </row>
    <row r="8" spans="3:8" x14ac:dyDescent="0.25">
      <c r="E8" s="1527" t="s">
        <v>9534</v>
      </c>
      <c r="F8" s="1673">
        <f>HLOOKUP("*"&amp;H8&amp;"*",Table_НАЦИД_Обобщен_отчет[#All],2,0)</f>
        <v>0</v>
      </c>
      <c r="H8" s="1663" t="s">
        <v>810</v>
      </c>
    </row>
    <row r="9" spans="3:8" x14ac:dyDescent="0.25">
      <c r="E9" s="1527" t="s">
        <v>608</v>
      </c>
      <c r="F9" s="1673">
        <f>HLOOKUP("*"&amp;H9&amp;"*",Table_НАЦИД_Обобщен_отчет[#All],2,0)</f>
        <v>0</v>
      </c>
      <c r="H9" s="1663" t="s">
        <v>806</v>
      </c>
    </row>
    <row r="10" spans="3:8" x14ac:dyDescent="0.25">
      <c r="E10" s="1527" t="s">
        <v>4311</v>
      </c>
      <c r="F10" s="1673">
        <f>HLOOKUP("*"&amp;H10&amp;"*",Table_НАЦИД_Обобщен_отчет[#All],2,0)</f>
        <v>0</v>
      </c>
      <c r="H10" s="1663" t="s">
        <v>801</v>
      </c>
    </row>
    <row r="11" spans="3:8" x14ac:dyDescent="0.25">
      <c r="H11" s="1662"/>
    </row>
    <row r="12" spans="3:8" ht="15.75" thickBot="1" x14ac:dyDescent="0.3">
      <c r="E12" s="1735" t="s">
        <v>9535</v>
      </c>
      <c r="F12" s="1674">
        <f>HLOOKUP("*"&amp;H12&amp;"*",Table_НАЦИД_Обобщен_отчет[#All],2,0)</f>
        <v>0</v>
      </c>
      <c r="H12" s="1663" t="s">
        <v>9535</v>
      </c>
    </row>
    <row r="13" spans="3:8" x14ac:dyDescent="0.25">
      <c r="C13" s="2848">
        <f>(D16=F14)*1</f>
        <v>1</v>
      </c>
      <c r="D13" s="2848">
        <f>AND(F14=dbеФакултет_ОЗ_Спец!G13,SUM(dbеФакултет_ОЗ_Спец_ОбщоОЗ[ОЗ])=D16)*1</f>
        <v>1</v>
      </c>
      <c r="E13" s="1736" t="s">
        <v>9536</v>
      </c>
      <c r="F13" s="1674">
        <f>HLOOKUP("*"&amp;H13&amp;"*",Table_НАЦИД_Обобщен_отчет[#All],2,0)</f>
        <v>0</v>
      </c>
      <c r="H13" s="1663" t="s">
        <v>9536</v>
      </c>
    </row>
    <row r="14" spans="3:8" ht="15.75" thickBot="1" x14ac:dyDescent="0.3">
      <c r="C14" s="2849"/>
      <c r="D14" s="2849"/>
      <c r="E14" s="1737" t="s">
        <v>9537</v>
      </c>
      <c r="F14" s="1674">
        <f>HLOOKUP("*"&amp;H14&amp;"*",Table_НАЦИД_Обобщен_отчет[#All],2,0)</f>
        <v>0</v>
      </c>
      <c r="H14" s="1663" t="s">
        <v>9537</v>
      </c>
    </row>
    <row r="15" spans="3:8" x14ac:dyDescent="0.25">
      <c r="E15" s="1738" t="s">
        <v>9538</v>
      </c>
      <c r="F15" s="1674">
        <f>HLOOKUP("*"&amp;H15&amp;"*",Table_НАЦИД_Обобщен_отчет[#All],2,0)</f>
        <v>0</v>
      </c>
      <c r="H15" s="1663" t="s">
        <v>9538</v>
      </c>
    </row>
    <row r="16" spans="3:8" ht="15.75" x14ac:dyDescent="0.25">
      <c r="C16" s="1734">
        <f>COUNTA(_xlfn.UNIQUE(Table_НАЦИД_Обобщен_отчет[аФакултет]))</f>
        <v>1</v>
      </c>
      <c r="D16" s="411">
        <f>SUM(_xlfn.CHOOSECOLS(_xlfn._xlws.SORT(_xlfn.UNIQUE(Table_НАЦИД_Обобщен_отчет[[аФакултет]:[упрЧасове]])),2))</f>
        <v>0</v>
      </c>
    </row>
    <row r="17" spans="3:29" x14ac:dyDescent="0.25">
      <c r="C17" s="1665" t="s">
        <v>837</v>
      </c>
      <c r="D17" s="1666" t="s">
        <v>9530</v>
      </c>
      <c r="E17" s="1666" t="s">
        <v>9531</v>
      </c>
      <c r="F17" s="1666" t="s">
        <v>9532</v>
      </c>
      <c r="G17" s="1666" t="s">
        <v>9539</v>
      </c>
      <c r="H17" s="1666" t="s">
        <v>4565</v>
      </c>
      <c r="I17" s="1666" t="s">
        <v>806</v>
      </c>
      <c r="J17" s="1666" t="s">
        <v>801</v>
      </c>
      <c r="K17" s="1666" t="s">
        <v>9540</v>
      </c>
      <c r="L17" s="1666" t="s">
        <v>794</v>
      </c>
      <c r="M17" s="1666" t="s">
        <v>795</v>
      </c>
      <c r="N17" s="1666" t="s">
        <v>807</v>
      </c>
      <c r="O17" s="1666" t="s">
        <v>808</v>
      </c>
      <c r="P17" s="1666" t="s">
        <v>809</v>
      </c>
      <c r="Q17" s="1666" t="s">
        <v>810</v>
      </c>
      <c r="R17" s="1666" t="s">
        <v>1106</v>
      </c>
      <c r="S17" s="1666" t="s">
        <v>1107</v>
      </c>
      <c r="T17" s="1666" t="s">
        <v>1109</v>
      </c>
      <c r="U17" s="1666" t="s">
        <v>1110</v>
      </c>
      <c r="V17" s="1666" t="s">
        <v>819</v>
      </c>
      <c r="W17" s="1666" t="s">
        <v>820</v>
      </c>
      <c r="X17" s="1666" t="s">
        <v>822</v>
      </c>
      <c r="Y17" s="1666" t="s">
        <v>823</v>
      </c>
      <c r="Z17" s="1666" t="s">
        <v>811</v>
      </c>
      <c r="AA17" s="1666" t="s">
        <v>1116</v>
      </c>
      <c r="AB17" s="1666" t="s">
        <v>1117</v>
      </c>
      <c r="AC17" s="1666" t="s">
        <v>1118</v>
      </c>
    </row>
    <row r="18" spans="3:29" x14ac:dyDescent="0.25">
      <c r="C18" s="1665"/>
      <c r="D18" s="1669"/>
      <c r="E18" s="1665"/>
      <c r="F18" s="1668"/>
      <c r="G18" s="193"/>
      <c r="H18" s="1665"/>
      <c r="I18" s="1667"/>
      <c r="J18" s="1667"/>
      <c r="K18" s="193"/>
      <c r="L18" s="1665"/>
      <c r="M18" s="1665"/>
      <c r="N18" s="1666"/>
      <c r="O18" s="1666"/>
      <c r="P18" s="1666"/>
      <c r="Q18" s="1665"/>
      <c r="R18" s="1665"/>
      <c r="S18" s="1665"/>
      <c r="T18" s="1665"/>
      <c r="U18" s="1665"/>
      <c r="V18" s="1665"/>
      <c r="W18" s="1666"/>
      <c r="X18" s="1666"/>
      <c r="Y18" s="1666"/>
      <c r="Z18" s="1666"/>
      <c r="AA18" s="1666"/>
      <c r="AB18" s="1666"/>
      <c r="AC18" s="1666"/>
    </row>
  </sheetData>
  <mergeCells count="2">
    <mergeCell ref="C13:C14"/>
    <mergeCell ref="D13:D14"/>
  </mergeCells>
  <phoneticPr fontId="129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72926AD-03A3-48F7-8DCD-FC0F0D8E8C6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C13:D13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8E962-2D49-49D0-96A8-B594516CA187}">
  <sheetPr codeName="Sheet18">
    <tabColor theme="5" tint="0.39997558519241921"/>
  </sheetPr>
  <dimension ref="A1:BA75"/>
  <sheetViews>
    <sheetView workbookViewId="0"/>
  </sheetViews>
  <sheetFormatPr defaultRowHeight="15" x14ac:dyDescent="0.25"/>
  <cols>
    <col min="1" max="2" width="1.5703125" style="1524" customWidth="1"/>
    <col min="3" max="3" width="9.5703125" style="1524" bestFit="1" customWidth="1"/>
    <col min="4" max="4" width="3.42578125" style="1524" bestFit="1" customWidth="1"/>
    <col min="5" max="5" width="2.85546875" style="1524" customWidth="1"/>
    <col min="6" max="6" width="9.7109375" style="1524" bestFit="1" customWidth="1"/>
    <col min="7" max="7" width="7.140625" style="1524" bestFit="1" customWidth="1"/>
    <col min="8" max="8" width="19" style="1524" bestFit="1" customWidth="1"/>
    <col min="9" max="9" width="6.7109375" style="1524" bestFit="1" customWidth="1"/>
    <col min="10" max="10" width="19.85546875" style="1524" bestFit="1" customWidth="1"/>
    <col min="11" max="11" width="18.42578125" style="1524" bestFit="1" customWidth="1"/>
    <col min="12" max="12" width="8" style="1524" bestFit="1" customWidth="1"/>
    <col min="13" max="13" width="3.140625" style="1524" customWidth="1"/>
    <col min="14" max="14" width="9.5703125" style="1524" bestFit="1" customWidth="1"/>
    <col min="15" max="15" width="4.85546875" style="1524" bestFit="1" customWidth="1"/>
    <col min="16" max="16" width="6.28515625" style="1524" bestFit="1" customWidth="1"/>
    <col min="17" max="17" width="4" style="1524" bestFit="1" customWidth="1"/>
    <col min="18" max="18" width="4.140625" style="1524" bestFit="1" customWidth="1"/>
    <col min="19" max="19" width="6.5703125" style="1524" bestFit="1" customWidth="1"/>
    <col min="20" max="20" width="4.42578125" style="1524" bestFit="1" customWidth="1"/>
    <col min="21" max="21" width="19.7109375" style="1524" bestFit="1" customWidth="1"/>
    <col min="22" max="23" width="4.140625" style="1524" customWidth="1"/>
    <col min="24" max="24" width="18.42578125" style="1524" bestFit="1" customWidth="1"/>
    <col min="25" max="25" width="13.85546875" style="1524" bestFit="1" customWidth="1"/>
    <col min="26" max="27" width="11.140625" style="1524" bestFit="1" customWidth="1"/>
    <col min="28" max="28" width="13.5703125" style="1524" bestFit="1" customWidth="1"/>
    <col min="29" max="29" width="12.5703125" style="1524" bestFit="1" customWidth="1"/>
    <col min="30" max="30" width="20" style="1524" bestFit="1" customWidth="1"/>
    <col min="31" max="31" width="18.5703125" style="1524" bestFit="1" customWidth="1"/>
    <col min="32" max="32" width="18.42578125" style="1524" bestFit="1" customWidth="1"/>
    <col min="33" max="33" width="8" style="1524" bestFit="1" customWidth="1"/>
    <col min="34" max="34" width="10.140625" style="1524" bestFit="1" customWidth="1"/>
    <col min="35" max="35" width="10" style="1524" bestFit="1" customWidth="1"/>
    <col min="36" max="36" width="11.42578125" style="1524" bestFit="1" customWidth="1"/>
    <col min="37" max="37" width="11.28515625" style="1524" bestFit="1" customWidth="1"/>
    <col min="38" max="38" width="15.140625" style="1524" bestFit="1" customWidth="1"/>
    <col min="39" max="39" width="13.7109375" style="1524" bestFit="1" customWidth="1"/>
    <col min="40" max="40" width="17" style="1524" bestFit="1" customWidth="1"/>
    <col min="41" max="41" width="18" style="1524" bestFit="1" customWidth="1"/>
    <col min="42" max="42" width="4.28515625" style="1524" bestFit="1" customWidth="1"/>
    <col min="43" max="43" width="12.85546875" style="1524" bestFit="1" customWidth="1"/>
    <col min="44" max="44" width="10.85546875" style="1524" bestFit="1" customWidth="1"/>
    <col min="45" max="45" width="10.7109375" style="1524" bestFit="1" customWidth="1"/>
    <col min="46" max="46" width="12.140625" style="1524" bestFit="1" customWidth="1"/>
    <col min="47" max="47" width="12" style="1524" bestFit="1" customWidth="1"/>
    <col min="48" max="48" width="15.85546875" style="1524" bestFit="1" customWidth="1"/>
    <col min="49" max="49" width="14.5703125" style="1524" bestFit="1" customWidth="1"/>
    <col min="50" max="50" width="18" style="1524" bestFit="1" customWidth="1"/>
    <col min="51" max="52" width="18.85546875" style="1524" bestFit="1" customWidth="1"/>
    <col min="53" max="16384" width="9.140625" style="1524"/>
  </cols>
  <sheetData>
    <row r="1" spans="1:53" x14ac:dyDescent="0.25">
      <c r="A1" s="1526"/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1526"/>
      <c r="Q1" s="1526"/>
      <c r="R1" s="1526"/>
      <c r="S1" s="1526"/>
      <c r="T1" s="1526"/>
      <c r="U1" s="1526"/>
      <c r="V1" s="1526"/>
      <c r="W1" s="1526"/>
      <c r="X1" s="1526"/>
      <c r="Y1" s="1526"/>
      <c r="Z1" s="1526"/>
      <c r="AA1" s="1526"/>
      <c r="AB1" s="1526"/>
      <c r="AC1" s="1526"/>
      <c r="AD1" s="1526"/>
      <c r="AE1" s="1526"/>
      <c r="AF1" s="1526"/>
      <c r="AG1" s="1526"/>
      <c r="AH1" s="1526"/>
      <c r="AI1" s="1526"/>
      <c r="AJ1" s="1526"/>
      <c r="AK1" s="1526"/>
      <c r="AL1" s="1526"/>
      <c r="AM1" s="1526"/>
      <c r="AN1" s="1526"/>
      <c r="AO1" s="1526"/>
      <c r="AP1" s="1526"/>
      <c r="AQ1" s="1526"/>
      <c r="AR1" s="1526"/>
      <c r="AS1" s="1526"/>
      <c r="AT1" s="1526"/>
      <c r="AU1" s="1526"/>
      <c r="AV1" s="1526"/>
      <c r="AW1" s="1526"/>
      <c r="AX1" s="1526"/>
      <c r="AY1" s="1526"/>
      <c r="AZ1" s="1526"/>
      <c r="BA1" s="1526"/>
    </row>
    <row r="2" spans="1:53" x14ac:dyDescent="0.25">
      <c r="A2" s="1526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 t="s">
        <v>794</v>
      </c>
      <c r="Y2" s="1526" t="s">
        <v>795</v>
      </c>
      <c r="Z2" s="1526" t="s">
        <v>2830</v>
      </c>
      <c r="AA2" s="1526" t="s">
        <v>130</v>
      </c>
      <c r="AB2" s="1526" t="s">
        <v>807</v>
      </c>
      <c r="AC2" s="1526" t="s">
        <v>808</v>
      </c>
      <c r="AD2" s="1526" t="s">
        <v>809</v>
      </c>
      <c r="AE2" s="1526" t="s">
        <v>810</v>
      </c>
      <c r="AF2" s="1526" t="s">
        <v>806</v>
      </c>
      <c r="AG2" s="1526" t="s">
        <v>801</v>
      </c>
      <c r="AH2" s="1526" t="s">
        <v>1106</v>
      </c>
      <c r="AI2" s="1526" t="s">
        <v>1107</v>
      </c>
      <c r="AJ2" s="1526" t="s">
        <v>1109</v>
      </c>
      <c r="AK2" s="1526" t="s">
        <v>1110</v>
      </c>
      <c r="AL2" s="1526" t="s">
        <v>811</v>
      </c>
      <c r="AM2" s="1526" t="s">
        <v>1116</v>
      </c>
      <c r="AN2" s="1526" t="s">
        <v>1117</v>
      </c>
      <c r="AO2" s="1526" t="s">
        <v>1118</v>
      </c>
      <c r="AP2" t="s">
        <v>4549</v>
      </c>
      <c r="AQ2" t="s">
        <v>837</v>
      </c>
      <c r="AR2" s="1526"/>
      <c r="AS2" s="1526"/>
      <c r="AT2" s="1526"/>
      <c r="AU2" s="1526"/>
      <c r="AV2" s="1526"/>
      <c r="AW2" s="1526"/>
      <c r="AX2" s="1526"/>
      <c r="AY2" s="1526"/>
      <c r="AZ2" s="1526"/>
      <c r="BA2" s="1526"/>
    </row>
    <row r="3" spans="1:53" x14ac:dyDescent="0.25">
      <c r="A3" s="1526"/>
      <c r="B3" s="1526"/>
      <c r="C3" s="1526"/>
      <c r="D3" s="1526"/>
      <c r="E3" s="1526"/>
      <c r="F3" s="1526"/>
      <c r="G3" s="1526"/>
      <c r="H3" s="1526"/>
      <c r="I3" s="1526"/>
      <c r="J3" s="1526"/>
      <c r="K3" s="1526"/>
      <c r="L3" s="1526"/>
      <c r="M3" s="1526"/>
      <c r="N3" s="1526"/>
      <c r="O3" s="1526"/>
      <c r="P3" s="1526"/>
      <c r="Q3" s="1526"/>
      <c r="R3" s="1526"/>
      <c r="S3" s="1526"/>
      <c r="T3" s="1526"/>
      <c r="U3" s="1526"/>
      <c r="V3" s="1526"/>
      <c r="W3" s="1526"/>
      <c r="X3" s="1526" t="s">
        <v>724</v>
      </c>
      <c r="Y3" s="1526" t="s">
        <v>407</v>
      </c>
      <c r="Z3" s="1526"/>
      <c r="AA3" s="1526"/>
      <c r="AB3" s="1526" t="s">
        <v>680</v>
      </c>
      <c r="AC3" s="1526" t="s">
        <v>680</v>
      </c>
      <c r="AD3" s="1526" t="s">
        <v>680</v>
      </c>
      <c r="AE3" s="1526" t="s">
        <v>60</v>
      </c>
      <c r="AF3" s="1526" t="s">
        <v>680</v>
      </c>
      <c r="AG3" s="1526" t="s">
        <v>680</v>
      </c>
      <c r="AH3" s="1526">
        <v>0</v>
      </c>
      <c r="AI3" s="1526">
        <v>0</v>
      </c>
      <c r="AJ3" s="1526">
        <v>0</v>
      </c>
      <c r="AK3" s="1526">
        <v>0</v>
      </c>
      <c r="AL3" s="1526"/>
      <c r="AM3" s="1526">
        <v>0</v>
      </c>
      <c r="AN3" s="1526">
        <v>0</v>
      </c>
      <c r="AO3" s="1526"/>
      <c r="AP3">
        <v>1</v>
      </c>
      <c r="AQ3"/>
      <c r="AR3" s="1526"/>
      <c r="AS3" s="1526"/>
      <c r="AT3" s="1526"/>
      <c r="AU3" s="1526"/>
      <c r="AV3" s="1526"/>
      <c r="AW3" s="1526"/>
      <c r="AX3" s="1526"/>
      <c r="AY3" s="1526"/>
      <c r="AZ3" s="1526"/>
      <c r="BA3" s="1526"/>
    </row>
    <row r="4" spans="1:53" x14ac:dyDescent="0.25">
      <c r="A4" s="1526"/>
      <c r="B4" s="1526"/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  <c r="N4" s="1526"/>
      <c r="O4" s="1526"/>
      <c r="P4" s="1526"/>
      <c r="Q4" s="1526"/>
      <c r="R4" s="1526"/>
      <c r="S4" s="1526"/>
      <c r="T4" s="1526"/>
      <c r="U4" s="1526"/>
      <c r="V4" s="1526"/>
      <c r="W4" s="1526"/>
      <c r="X4" s="1526"/>
      <c r="Y4" s="1526"/>
      <c r="Z4" s="1526"/>
      <c r="AA4" s="1526"/>
      <c r="AB4" s="1526"/>
      <c r="AC4" s="1526"/>
      <c r="AD4" s="1526"/>
      <c r="AE4" s="1526"/>
      <c r="AF4" s="1526"/>
      <c r="AG4" s="1526"/>
      <c r="AH4" s="1526"/>
      <c r="AI4" s="1526"/>
      <c r="AJ4" s="1526"/>
      <c r="AK4" s="1526"/>
      <c r="AL4" s="1526"/>
      <c r="AM4" s="1526"/>
      <c r="AN4" s="1526"/>
      <c r="AO4" s="1526"/>
      <c r="AP4" s="1526"/>
      <c r="AQ4" s="1526"/>
      <c r="AR4" s="1526"/>
      <c r="AS4" s="1526"/>
      <c r="AT4" s="1526"/>
      <c r="AU4" s="1526"/>
      <c r="AV4" s="1526"/>
      <c r="AW4" s="1526"/>
      <c r="AX4" s="1526"/>
      <c r="AY4" s="1526"/>
      <c r="AZ4" s="1526"/>
      <c r="BA4" s="1526"/>
    </row>
    <row r="5" spans="1:53" x14ac:dyDescent="0.25">
      <c r="A5" s="1526"/>
      <c r="B5" s="1526"/>
      <c r="C5" s="1526"/>
      <c r="D5" s="1526"/>
      <c r="E5" s="1526"/>
      <c r="F5" s="1527" t="s">
        <v>4310</v>
      </c>
      <c r="G5" s="2856" t="str" cm="1">
        <f t="array" ref="G5">RT_Документация_H_Спр[аУчебна година:]&amp;"-"&amp;RT_Документация_H_Спр[аСeместър:]</f>
        <v>2022/2023-Летен</v>
      </c>
      <c r="H5" s="2856"/>
      <c r="I5" s="2856"/>
      <c r="J5" s="2856"/>
      <c r="K5" s="1526"/>
      <c r="L5" s="1526"/>
      <c r="M5" s="1526"/>
      <c r="N5" s="1526"/>
      <c r="O5" s="1526"/>
      <c r="P5" s="1526"/>
      <c r="Q5" s="1526"/>
      <c r="R5" s="1526"/>
      <c r="S5" s="1526"/>
      <c r="T5" s="1526"/>
      <c r="U5" s="1526"/>
      <c r="V5" s="1526"/>
      <c r="W5" s="1526"/>
      <c r="X5" s="1526"/>
      <c r="Y5" s="1526"/>
      <c r="Z5" s="1526"/>
      <c r="AA5" s="1526"/>
      <c r="AB5" s="1526"/>
      <c r="AC5" s="1526"/>
      <c r="AD5" s="1526"/>
      <c r="AE5" s="1526"/>
      <c r="AF5" s="1526"/>
      <c r="AG5" s="1526"/>
      <c r="AH5" s="1526"/>
      <c r="AI5" s="1526"/>
      <c r="AJ5" s="1526"/>
      <c r="AK5" s="1526"/>
      <c r="AL5" s="1526"/>
      <c r="AM5" s="1526"/>
      <c r="AN5" s="1526"/>
      <c r="AO5" s="1526"/>
      <c r="AP5" s="1526"/>
      <c r="AQ5" s="1526"/>
      <c r="AR5" s="1526"/>
      <c r="AS5" s="1526"/>
      <c r="AT5" s="1526"/>
      <c r="AU5" s="1526"/>
      <c r="AV5" s="1526"/>
      <c r="AW5" s="1526"/>
      <c r="AX5" s="1526"/>
      <c r="AY5" s="1526"/>
      <c r="AZ5" s="1526"/>
      <c r="BA5" s="1526"/>
    </row>
    <row r="6" spans="1:53" x14ac:dyDescent="0.25">
      <c r="A6" s="1526"/>
      <c r="B6" s="1526"/>
      <c r="C6" s="1526"/>
      <c r="D6" s="1526"/>
      <c r="E6" s="1526"/>
      <c r="F6" s="1527" t="s">
        <v>18</v>
      </c>
      <c r="G6" s="2856" t="str" cm="1">
        <f t="array" ref="G6">RT_Документация_H_Спр[пФакултет:]</f>
        <v/>
      </c>
      <c r="H6" s="2856"/>
      <c r="I6" s="2856"/>
      <c r="J6" s="2856"/>
      <c r="K6" s="1526"/>
      <c r="L6" s="1526"/>
      <c r="M6" s="1526"/>
      <c r="N6" s="1526"/>
      <c r="O6" s="1526"/>
      <c r="P6" s="1526"/>
      <c r="Q6" s="1526"/>
      <c r="R6" s="1526"/>
      <c r="S6" s="1526"/>
      <c r="T6" s="1526"/>
      <c r="U6" s="1526"/>
      <c r="V6" s="1526"/>
      <c r="W6" s="1526"/>
      <c r="X6" s="1526"/>
      <c r="Y6" s="1526"/>
      <c r="Z6" s="1526"/>
      <c r="AA6" s="1526"/>
      <c r="AB6" s="1526"/>
      <c r="AC6" s="1526"/>
      <c r="AD6" s="1526"/>
      <c r="AE6" s="1526"/>
      <c r="AF6" s="1526"/>
      <c r="AG6" s="1526"/>
      <c r="AH6" s="1526"/>
      <c r="AI6" s="1526"/>
      <c r="AJ6" s="1526"/>
      <c r="AK6" s="1526"/>
      <c r="AL6" s="1526"/>
      <c r="AM6" s="1526"/>
      <c r="AN6" s="1526"/>
      <c r="AO6" s="1526"/>
      <c r="AP6" s="1526"/>
      <c r="AQ6" s="1526"/>
      <c r="AR6" s="1526"/>
      <c r="AS6" s="1526"/>
      <c r="AT6" s="1526"/>
      <c r="AU6" s="1526"/>
      <c r="AV6" s="1526"/>
      <c r="AW6" s="1526"/>
      <c r="AX6" s="1526"/>
      <c r="AY6" s="1526"/>
      <c r="AZ6" s="1526"/>
      <c r="BA6" s="1526"/>
    </row>
    <row r="7" spans="1:53" x14ac:dyDescent="0.25">
      <c r="A7" s="1526"/>
      <c r="B7" s="1526"/>
      <c r="C7" s="1526"/>
      <c r="D7" s="1526"/>
      <c r="E7" s="1526"/>
      <c r="F7" s="1527" t="s">
        <v>439</v>
      </c>
      <c r="G7" s="2856" t="str" cm="1">
        <f t="array" ref="G7">RT_Документация_H_Спр[пКатедра:]</f>
        <v/>
      </c>
      <c r="H7" s="2856"/>
      <c r="I7" s="2856"/>
      <c r="J7" s="2856"/>
      <c r="K7" s="1526"/>
      <c r="L7" s="1526"/>
      <c r="M7" s="1526"/>
      <c r="N7" s="1526"/>
      <c r="O7" s="1526"/>
      <c r="P7" s="1526"/>
      <c r="Q7" s="1526"/>
      <c r="R7" s="1526"/>
      <c r="S7" s="1526"/>
      <c r="T7" s="1526"/>
      <c r="U7" s="1526"/>
      <c r="V7" s="1526"/>
      <c r="W7" s="1526"/>
      <c r="X7" s="1526"/>
      <c r="Y7" s="1526"/>
      <c r="Z7" s="1526"/>
      <c r="AA7" s="1526"/>
      <c r="AB7" s="1526"/>
      <c r="AC7" s="1526"/>
      <c r="AD7" s="1526"/>
      <c r="AE7" s="1526"/>
      <c r="AF7" s="1526"/>
      <c r="AG7" s="1526"/>
      <c r="AH7" s="1526"/>
      <c r="AI7" s="1526"/>
      <c r="AJ7" s="1526"/>
      <c r="AK7" s="1526"/>
      <c r="AL7" s="1526"/>
      <c r="AM7" s="1526"/>
      <c r="AN7" s="1526"/>
      <c r="AO7" s="1526"/>
      <c r="AP7" s="1526"/>
      <c r="AQ7" s="1526"/>
      <c r="AR7" s="1526"/>
      <c r="AS7" s="1526"/>
      <c r="AT7" s="1526"/>
      <c r="AU7" s="1526"/>
      <c r="AV7" s="1526"/>
      <c r="AW7" s="1526"/>
      <c r="AX7" s="1526"/>
      <c r="AY7" s="1526"/>
      <c r="AZ7" s="1526"/>
      <c r="BA7" s="1526"/>
    </row>
    <row r="8" spans="1:53" x14ac:dyDescent="0.25">
      <c r="A8" s="1526"/>
      <c r="B8" s="1526"/>
      <c r="C8" s="1526"/>
      <c r="D8" s="1526"/>
      <c r="E8" s="1526"/>
      <c r="F8" s="1527" t="s">
        <v>608</v>
      </c>
      <c r="G8" s="2856" t="str" cm="1">
        <f t="array" ref="G8">RT_Документация_H_Спр[пАкад. длъжност:]&amp;IF(RT_Документация_H_Спр[пРък. длъжност:]&lt;&gt;"Не",", "&amp;RT_Документация_H_Спр[пРък. длъжност:]," ")&amp;" "&amp;RT_Документация_H_Спр[пПреподавател:]</f>
        <v xml:space="preserve">  </v>
      </c>
      <c r="H8" s="2856"/>
      <c r="I8" s="2856"/>
      <c r="J8" s="2856"/>
      <c r="K8" s="1526"/>
      <c r="L8" s="1526"/>
      <c r="M8" s="1526"/>
      <c r="N8" s="1526"/>
      <c r="O8" s="1526"/>
      <c r="P8" s="1526"/>
      <c r="Q8" s="1526"/>
      <c r="R8" s="1526"/>
      <c r="S8" s="1526"/>
      <c r="T8" s="1526"/>
      <c r="U8" s="1526"/>
      <c r="V8" s="1526"/>
      <c r="W8" s="1526"/>
      <c r="X8" s="1526"/>
      <c r="Y8" s="1526"/>
      <c r="Z8" s="1526"/>
      <c r="AA8" s="1526"/>
      <c r="AB8" s="1526"/>
      <c r="AC8" s="1526"/>
      <c r="AD8" s="1526"/>
      <c r="AE8" s="1526"/>
      <c r="AF8" s="1526"/>
      <c r="AG8" s="1526"/>
      <c r="AH8" s="1526"/>
      <c r="AI8" s="1526"/>
      <c r="AJ8" s="1526"/>
      <c r="AK8" s="1526"/>
      <c r="AL8" s="1526"/>
      <c r="AM8" s="1526"/>
      <c r="AN8" s="1526"/>
      <c r="AO8" s="1526"/>
      <c r="AP8" s="1526"/>
      <c r="AQ8" s="1526"/>
      <c r="AR8" s="1526"/>
      <c r="AS8" s="1526"/>
      <c r="AT8" s="1526"/>
      <c r="AU8" s="1526"/>
      <c r="AV8" s="1526"/>
      <c r="AW8" s="1526"/>
      <c r="AX8" s="1526"/>
      <c r="AY8" s="1526"/>
      <c r="AZ8" s="1526"/>
      <c r="BA8" s="1526"/>
    </row>
    <row r="9" spans="1:53" x14ac:dyDescent="0.25">
      <c r="A9" s="1526"/>
      <c r="B9" s="1526"/>
      <c r="C9" s="1526"/>
      <c r="D9" s="1526"/>
      <c r="E9" s="1526"/>
      <c r="F9" s="1527" t="s">
        <v>4311</v>
      </c>
      <c r="G9" s="2860" t="str" cm="1">
        <f t="array" ref="G9">RT_Документация_H_Спр[аЕГН:]&amp;""</f>
        <v/>
      </c>
      <c r="H9" s="2861"/>
      <c r="I9" s="2861"/>
      <c r="J9" s="2862"/>
      <c r="K9" s="1526"/>
      <c r="L9" s="1526"/>
      <c r="M9" s="1526"/>
      <c r="N9" s="1526"/>
      <c r="O9" s="1526"/>
      <c r="P9" s="1526"/>
      <c r="Q9" s="1526"/>
      <c r="R9" s="1526"/>
      <c r="S9" s="1526"/>
      <c r="T9" s="1526"/>
      <c r="U9" s="1526"/>
      <c r="V9" s="1526"/>
      <c r="W9" s="1526"/>
      <c r="X9" s="1526"/>
      <c r="Y9" s="1526"/>
      <c r="Z9" s="1526"/>
      <c r="AA9" s="1526"/>
      <c r="AB9" s="1526"/>
      <c r="AC9" s="1526"/>
      <c r="AD9" s="1526"/>
      <c r="AE9" s="1526"/>
      <c r="AF9" s="1526"/>
      <c r="AG9" s="1526"/>
      <c r="AH9" s="1526"/>
      <c r="AI9" s="1526"/>
      <c r="AJ9" s="1526"/>
      <c r="AK9" s="1526"/>
      <c r="AL9" s="1526"/>
      <c r="AM9" s="1526"/>
      <c r="AN9" s="1526"/>
      <c r="AO9" s="1526"/>
      <c r="AP9" s="1526"/>
      <c r="AQ9" s="1526"/>
      <c r="AR9" s="1526"/>
      <c r="AS9" s="1526"/>
      <c r="AT9" s="1526"/>
      <c r="AU9" s="1526"/>
      <c r="AV9" s="1526"/>
      <c r="AW9" s="1526"/>
      <c r="AX9" s="1526"/>
      <c r="AY9" s="1526"/>
      <c r="AZ9" s="1526"/>
      <c r="BA9" s="1526"/>
    </row>
    <row r="10" spans="1:53" ht="15.75" thickBot="1" x14ac:dyDescent="0.3">
      <c r="A10" s="1526"/>
      <c r="B10" s="1526"/>
      <c r="C10" s="1526"/>
      <c r="D10" s="1526"/>
      <c r="E10" s="1526"/>
      <c r="F10" s="1526"/>
      <c r="G10" s="1528" t="s">
        <v>4548</v>
      </c>
      <c r="H10" s="1526"/>
      <c r="I10" s="1526"/>
      <c r="J10" s="1526"/>
      <c r="K10" s="1526"/>
      <c r="L10" s="1526"/>
      <c r="M10" s="1526"/>
      <c r="N10" s="1526"/>
      <c r="O10" s="1526"/>
      <c r="P10" s="1526"/>
      <c r="Q10" s="1526"/>
      <c r="R10" s="1526"/>
      <c r="S10" s="1526"/>
      <c r="T10" s="1526"/>
      <c r="U10" s="1526"/>
      <c r="V10" s="1526"/>
      <c r="W10" s="1526"/>
      <c r="X10" s="1526"/>
      <c r="Y10" s="1526"/>
      <c r="Z10" s="1526"/>
      <c r="AA10" s="1526"/>
      <c r="AB10" s="1526"/>
      <c r="AC10" s="1526"/>
      <c r="AD10" s="1526"/>
      <c r="AE10" s="1526"/>
      <c r="AF10" s="1526"/>
      <c r="AG10" s="1526"/>
      <c r="AH10" s="1526"/>
      <c r="AI10" s="1526"/>
      <c r="AJ10" s="1526"/>
      <c r="AK10" s="1526"/>
      <c r="AL10" s="1526"/>
      <c r="AM10" s="1526"/>
      <c r="AN10" s="1526"/>
      <c r="AO10" s="1526"/>
      <c r="AP10" s="1526"/>
      <c r="AQ10" s="1526"/>
      <c r="AR10" s="1526"/>
      <c r="AS10" s="1526"/>
      <c r="AT10" s="1526"/>
      <c r="AU10" s="1526"/>
      <c r="AV10" s="1526"/>
      <c r="AW10" s="1526"/>
      <c r="AX10" s="1526"/>
      <c r="AY10" s="1526"/>
      <c r="AZ10" s="1526"/>
      <c r="BA10" s="1526"/>
    </row>
    <row r="11" spans="1:53" x14ac:dyDescent="0.25">
      <c r="A11" s="1526"/>
      <c r="B11" s="1526"/>
      <c r="C11" s="1526"/>
      <c r="D11" s="1526"/>
      <c r="E11" s="1526"/>
      <c r="F11" s="1527" t="s">
        <v>4312</v>
      </c>
      <c r="G11" s="1529" cm="1">
        <f t="array" ref="G11">RT_Документация_H_Спр[бмлОЗ:]</f>
        <v>0</v>
      </c>
      <c r="H11" s="2857" t="s">
        <v>4313</v>
      </c>
      <c r="I11" s="2858"/>
      <c r="J11" s="2859"/>
      <c r="K11" s="1526"/>
      <c r="L11" s="1526"/>
      <c r="M11" s="1526"/>
      <c r="N11" s="1526"/>
      <c r="O11" s="1526"/>
      <c r="P11" s="1526"/>
      <c r="Q11" s="1526"/>
      <c r="R11" s="1526"/>
      <c r="S11" s="1526"/>
      <c r="T11" s="1526"/>
      <c r="U11" s="1526"/>
      <c r="V11" s="1526"/>
      <c r="W11" s="1526"/>
      <c r="X11" s="1526"/>
      <c r="Y11" s="1526"/>
      <c r="Z11" s="1526"/>
      <c r="AA11" s="1526"/>
      <c r="AB11" s="1526"/>
      <c r="AC11" s="1526"/>
      <c r="AD11" s="1526"/>
      <c r="AE11" s="1526"/>
      <c r="AF11" s="1526"/>
      <c r="AG11" s="1526"/>
      <c r="AH11" s="1526"/>
      <c r="AI11" s="1526"/>
      <c r="AJ11" s="1526"/>
      <c r="AK11" s="1526"/>
      <c r="AL11" s="1526"/>
      <c r="AM11" s="1526"/>
      <c r="AN11" s="1526"/>
      <c r="AO11" s="1526"/>
      <c r="AP11" s="1526"/>
      <c r="AQ11" s="1526"/>
      <c r="AR11" s="1526"/>
      <c r="AS11" s="1526"/>
      <c r="AT11" s="1526"/>
      <c r="AU11" s="1526"/>
      <c r="AV11" s="1526"/>
      <c r="AW11" s="1526"/>
      <c r="AX11" s="1526"/>
      <c r="AY11" s="1526"/>
      <c r="AZ11" s="1526"/>
      <c r="BA11" s="1526"/>
    </row>
    <row r="12" spans="1:53" ht="15.75" thickBot="1" x14ac:dyDescent="0.3">
      <c r="A12" s="1526"/>
      <c r="B12" s="1526"/>
      <c r="C12" s="1526"/>
      <c r="D12" s="1526"/>
      <c r="E12" s="1526"/>
      <c r="F12" s="1527" t="s">
        <v>4314</v>
      </c>
      <c r="G12" s="1530" cm="1">
        <f t="array" ref="G12">RT_Документация_H_Спр[бмлАЗ:]</f>
        <v>0</v>
      </c>
      <c r="H12" s="2853" t="s">
        <v>4315</v>
      </c>
      <c r="I12" s="2854"/>
      <c r="J12" s="2855"/>
      <c r="K12" s="1526"/>
      <c r="L12" s="1526"/>
      <c r="M12" s="1526"/>
      <c r="N12" s="1526"/>
      <c r="O12" s="1526"/>
      <c r="P12" s="1526"/>
      <c r="Q12" s="1526"/>
      <c r="R12" s="1526"/>
      <c r="S12" s="1526"/>
      <c r="T12" s="1526"/>
      <c r="U12" s="1526"/>
      <c r="V12" s="1526"/>
      <c r="W12" s="1526"/>
      <c r="X12" s="1526"/>
      <c r="Y12" s="1526"/>
      <c r="Z12" s="1526"/>
      <c r="AA12" s="1526"/>
      <c r="AB12" s="1526"/>
      <c r="AC12" s="1526"/>
      <c r="AD12" s="1526"/>
      <c r="AE12" s="1526"/>
      <c r="AF12" s="1526"/>
      <c r="AG12" s="1526"/>
      <c r="AH12" s="1526"/>
      <c r="AI12" s="1526"/>
      <c r="AJ12" s="1526"/>
      <c r="AK12" s="1526"/>
      <c r="AL12" s="1526"/>
      <c r="AM12" s="1526"/>
      <c r="AN12" s="1526"/>
      <c r="AO12" s="1526"/>
      <c r="AP12" s="1526"/>
      <c r="AQ12" s="1526"/>
      <c r="AR12" s="1526"/>
      <c r="AS12" s="1526"/>
      <c r="AT12" s="1526"/>
      <c r="AU12" s="1526"/>
      <c r="AV12" s="1526"/>
      <c r="AW12" s="1526"/>
      <c r="AX12" s="1526"/>
      <c r="AY12" s="1526"/>
      <c r="AZ12" s="1526"/>
      <c r="BA12" s="1526"/>
    </row>
    <row r="13" spans="1:53" x14ac:dyDescent="0.25">
      <c r="A13" s="1526"/>
      <c r="B13" s="1526"/>
      <c r="C13" s="1526"/>
      <c r="D13" s="1526"/>
      <c r="E13" s="1526"/>
      <c r="F13" s="1527" t="s">
        <v>4312</v>
      </c>
      <c r="G13" s="1531" cm="1">
        <f t="array" ref="G13">RT_Документация_H_Спр[бмлдОЗ:]</f>
        <v>0</v>
      </c>
      <c r="H13" s="2850" t="s">
        <v>4316</v>
      </c>
      <c r="I13" s="2851"/>
      <c r="J13" s="2852"/>
      <c r="K13" s="1526"/>
      <c r="L13" s="1526"/>
      <c r="M13" s="1526"/>
      <c r="N13" s="1526"/>
      <c r="O13" s="1526"/>
      <c r="P13" s="1526"/>
      <c r="Q13" s="1526"/>
      <c r="R13" s="1526"/>
      <c r="S13" s="1526"/>
      <c r="T13" s="1526"/>
      <c r="U13" s="1526"/>
      <c r="V13" s="1526"/>
      <c r="W13" s="1526"/>
      <c r="X13" s="1526"/>
      <c r="Y13" s="1526"/>
      <c r="Z13" s="1526"/>
      <c r="AA13" s="1526"/>
      <c r="AB13" s="1526"/>
      <c r="AC13" s="1526"/>
      <c r="AD13" s="1526"/>
      <c r="AE13" s="1526"/>
      <c r="AF13" s="1526"/>
      <c r="AG13" s="1526"/>
      <c r="AH13" s="1526"/>
      <c r="AI13" s="1526"/>
      <c r="AJ13" s="1526"/>
      <c r="AK13" s="1526"/>
      <c r="AL13" s="1526"/>
      <c r="AM13" s="1526"/>
      <c r="AN13" s="1526"/>
      <c r="AO13" s="1526"/>
      <c r="AP13" s="1526"/>
      <c r="AQ13" s="1526"/>
      <c r="AR13" s="1526"/>
      <c r="AS13" s="1526"/>
      <c r="AT13" s="1526"/>
      <c r="AU13" s="1526"/>
      <c r="AV13" s="1526"/>
      <c r="AW13" s="1526"/>
      <c r="AX13" s="1526"/>
      <c r="AY13" s="1526"/>
      <c r="AZ13" s="1526"/>
      <c r="BA13" s="1526"/>
    </row>
    <row r="14" spans="1:53" ht="15.75" thickBot="1" x14ac:dyDescent="0.3">
      <c r="A14" s="1526"/>
      <c r="B14" s="1526"/>
      <c r="C14" s="1526"/>
      <c r="D14" s="1526"/>
      <c r="E14" s="1526"/>
      <c r="F14" s="1527" t="s">
        <v>4314</v>
      </c>
      <c r="G14" s="1530" cm="1">
        <f t="array" ref="G14">RT_Документация_H_Спр[бмлдАЗ:]</f>
        <v>0</v>
      </c>
      <c r="H14" s="2853" t="s">
        <v>4317</v>
      </c>
      <c r="I14" s="2854"/>
      <c r="J14" s="2855"/>
      <c r="K14" s="1526"/>
      <c r="L14" s="1526"/>
      <c r="M14" s="1526"/>
      <c r="N14" s="1526"/>
      <c r="O14" s="1526"/>
      <c r="P14" s="1526"/>
      <c r="Q14" s="1526"/>
      <c r="R14" s="1526"/>
      <c r="S14" s="1526"/>
      <c r="T14" s="1526"/>
      <c r="U14" s="1526"/>
      <c r="V14" s="1526"/>
      <c r="W14" s="1526"/>
      <c r="X14" s="1526"/>
      <c r="Y14" s="1526"/>
      <c r="Z14" s="1526"/>
      <c r="AA14" s="1526"/>
      <c r="AB14" s="1526"/>
      <c r="AC14" s="1526"/>
      <c r="AD14" s="1526"/>
      <c r="AE14" s="1526"/>
      <c r="AF14" s="1526"/>
      <c r="AG14" s="1526"/>
      <c r="AH14" s="1526"/>
      <c r="AI14" s="1526"/>
      <c r="AJ14" s="1526"/>
      <c r="AK14" s="1526"/>
      <c r="AL14" s="1526"/>
      <c r="AM14" s="1526"/>
      <c r="AN14" s="1526"/>
      <c r="AO14" s="1526"/>
      <c r="AP14" s="1526"/>
      <c r="AQ14" s="1526"/>
      <c r="AR14" s="1526"/>
      <c r="AS14" s="1526"/>
      <c r="AT14" s="1526"/>
      <c r="AU14" s="1526"/>
      <c r="AV14" s="1526"/>
      <c r="AW14" s="1526"/>
      <c r="AX14" s="1526"/>
      <c r="AY14" s="1526"/>
      <c r="AZ14" s="1526"/>
      <c r="BA14" s="1526"/>
    </row>
    <row r="15" spans="1:53" x14ac:dyDescent="0.25">
      <c r="A15" s="1526"/>
      <c r="B15" s="1526"/>
      <c r="C15" s="1526"/>
      <c r="D15" s="1526"/>
      <c r="E15" s="1526"/>
      <c r="F15" s="1526"/>
      <c r="G15" s="1526"/>
      <c r="H15" s="1526"/>
      <c r="I15" s="1526"/>
      <c r="J15" s="1526"/>
      <c r="K15" s="1526"/>
      <c r="L15" s="1526"/>
      <c r="M15" s="1526"/>
      <c r="N15" s="1526"/>
      <c r="O15" s="1526"/>
      <c r="P15" s="1526"/>
      <c r="Q15" s="1526"/>
      <c r="R15" s="1526"/>
      <c r="S15" s="1526"/>
      <c r="T15" s="1526"/>
      <c r="U15" s="1526"/>
      <c r="V15" s="1526"/>
      <c r="W15" s="1526"/>
      <c r="X15" s="1526"/>
      <c r="Y15" s="1526"/>
      <c r="Z15" s="1526"/>
      <c r="AA15" s="1526"/>
      <c r="AB15" s="1526"/>
      <c r="AC15" s="1526"/>
      <c r="AD15" s="1526"/>
      <c r="AE15" s="1526"/>
      <c r="AF15" s="1526"/>
      <c r="AG15" s="1526"/>
      <c r="AH15" s="1526"/>
      <c r="AI15" s="1526"/>
      <c r="AJ15" s="1526"/>
      <c r="AK15" s="1526"/>
      <c r="AL15" s="1526"/>
      <c r="AM15" s="1526"/>
      <c r="AN15" s="1526"/>
      <c r="AO15" s="1526"/>
      <c r="AP15" s="1526"/>
      <c r="AQ15" s="1526"/>
      <c r="AR15" s="1526"/>
      <c r="AS15" s="1526"/>
      <c r="AT15" s="1526"/>
      <c r="AU15" s="1526"/>
      <c r="AV15" s="1526"/>
      <c r="AW15" s="1526"/>
      <c r="AX15" s="1526"/>
      <c r="AY15" s="1526"/>
      <c r="AZ15" s="1526"/>
      <c r="BA15" s="1526"/>
    </row>
    <row r="16" spans="1:53" x14ac:dyDescent="0.25">
      <c r="A16" s="1526"/>
      <c r="B16" s="1526"/>
      <c r="C16" s="1526" t="s">
        <v>18</v>
      </c>
      <c r="D16" s="1536" t="s">
        <v>853</v>
      </c>
      <c r="E16" s="1526"/>
      <c r="F16" s="1526" t="s">
        <v>18</v>
      </c>
      <c r="G16" t="s">
        <v>4318</v>
      </c>
      <c r="H16" t="s">
        <v>4552</v>
      </c>
      <c r="I16" s="1526" t="s">
        <v>935</v>
      </c>
      <c r="J16" s="1532" t="s">
        <v>2904</v>
      </c>
      <c r="K16" t="s">
        <v>806</v>
      </c>
      <c r="L16" t="s">
        <v>801</v>
      </c>
      <c r="N16" s="1526" t="s">
        <v>18</v>
      </c>
      <c r="O16" t="s">
        <v>4318</v>
      </c>
      <c r="P16" t="s">
        <v>720</v>
      </c>
      <c r="Q16" s="1537" t="s">
        <v>4319</v>
      </c>
      <c r="R16" s="1532" t="s">
        <v>4320</v>
      </c>
      <c r="S16" s="1532" t="s">
        <v>935</v>
      </c>
      <c r="T16" t="s">
        <v>744</v>
      </c>
      <c r="U16" s="1532" t="s">
        <v>2904</v>
      </c>
      <c r="V16" s="1526"/>
      <c r="AP16" s="1526"/>
      <c r="AQ16" s="1526"/>
    </row>
    <row r="17" spans="1:53" x14ac:dyDescent="0.25">
      <c r="A17" s="1526"/>
      <c r="B17" s="1526"/>
      <c r="C17" s="1536"/>
      <c r="D17" s="1532"/>
      <c r="E17" s="1526"/>
      <c r="F17" s="1526"/>
      <c r="G17"/>
      <c r="H17"/>
      <c r="I17" s="1526"/>
      <c r="J17" s="1532"/>
      <c r="K17"/>
      <c r="L17"/>
      <c r="N17" s="1767"/>
      <c r="O17" s="1533"/>
      <c r="P17"/>
      <c r="Q17" s="1533"/>
      <c r="R17" s="1768"/>
      <c r="S17" s="1769"/>
      <c r="T17"/>
      <c r="U17" s="1769"/>
      <c r="V17" s="1526"/>
      <c r="AP17" s="1526"/>
      <c r="AQ17" s="1526"/>
    </row>
    <row r="18" spans="1:53" x14ac:dyDescent="0.25">
      <c r="A18" s="1526"/>
      <c r="B18" s="1526"/>
      <c r="C18" s="1535" t="s">
        <v>412</v>
      </c>
      <c r="D18" s="1511">
        <f>SUBTOTAL(109,dbеФакултет_ОЗ_Спец_ОбщоОЗ[ОЗ])</f>
        <v>0</v>
      </c>
      <c r="E18" s="1526"/>
      <c r="F18" s="1526"/>
      <c r="G18" s="1526"/>
      <c r="H18" s="1526"/>
      <c r="I18" s="1526"/>
      <c r="J18" s="1526"/>
      <c r="K18" s="1526"/>
      <c r="L18" s="1526"/>
      <c r="M18" s="1526"/>
      <c r="O18" s="1526"/>
      <c r="P18" s="1526"/>
      <c r="Q18" s="1526"/>
      <c r="R18" s="1526"/>
      <c r="S18" s="1526"/>
      <c r="T18" s="1526"/>
      <c r="U18" s="1526"/>
      <c r="V18" s="1526"/>
      <c r="W18" s="1526"/>
      <c r="X18" s="1526"/>
      <c r="Y18" s="1526"/>
      <c r="Z18" s="1526"/>
      <c r="AA18" s="1526"/>
      <c r="AB18" s="1526"/>
      <c r="AC18" s="1526"/>
      <c r="AD18" s="1526"/>
      <c r="AE18" s="1526"/>
      <c r="AF18" s="1526"/>
      <c r="AG18" s="1526"/>
      <c r="AH18" s="1526"/>
      <c r="AI18" s="1526"/>
      <c r="AJ18" s="1526"/>
      <c r="AK18" s="1526"/>
      <c r="AL18" s="1526"/>
      <c r="AM18" s="1526"/>
      <c r="AN18" s="1526"/>
      <c r="AO18" s="1526"/>
      <c r="AP18" s="1526"/>
      <c r="AQ18" s="1526"/>
      <c r="AR18" s="1526"/>
      <c r="AS18" s="1526"/>
    </row>
    <row r="19" spans="1:53" x14ac:dyDescent="0.25">
      <c r="A19" s="1526"/>
      <c r="B19" s="1526"/>
      <c r="C19" s="1526"/>
      <c r="D19" s="1526"/>
      <c r="E19" s="1526"/>
      <c r="F19" s="1526"/>
      <c r="G19" s="1526"/>
      <c r="H19" s="1526"/>
      <c r="I19" s="1526"/>
      <c r="J19" s="1526"/>
      <c r="K19" s="1526"/>
      <c r="L19" s="1526"/>
      <c r="M19" s="1526"/>
      <c r="O19" s="1526"/>
      <c r="P19" s="1526"/>
      <c r="Q19" s="1526"/>
      <c r="R19" s="1526"/>
      <c r="S19" s="1526"/>
      <c r="T19" s="1526"/>
      <c r="U19" s="1526"/>
      <c r="V19" s="1526"/>
      <c r="W19" s="1526"/>
      <c r="X19" s="1526"/>
      <c r="Y19" s="1526"/>
      <c r="Z19" s="1526"/>
      <c r="AA19" s="1526"/>
      <c r="AB19" s="1526"/>
      <c r="AC19" s="1526"/>
      <c r="AD19" s="1526"/>
      <c r="AE19" s="1526"/>
      <c r="AF19" s="1526"/>
      <c r="AG19" s="1526"/>
      <c r="AH19" s="1526"/>
      <c r="AI19" s="1526"/>
      <c r="AJ19" s="1526"/>
      <c r="AK19" s="1526"/>
      <c r="AL19" s="1526"/>
      <c r="AM19" s="1526"/>
      <c r="AN19" s="1526"/>
      <c r="AO19" s="1526"/>
      <c r="AP19" s="1526"/>
      <c r="AQ19" s="1526"/>
      <c r="AR19" s="1526"/>
      <c r="AS19" s="1526"/>
    </row>
    <row r="20" spans="1:53" x14ac:dyDescent="0.25">
      <c r="A20" s="1526"/>
      <c r="B20" s="1526"/>
      <c r="C20" s="1526"/>
      <c r="D20" s="1526"/>
      <c r="E20" s="1526"/>
      <c r="F20" s="1526"/>
      <c r="G20" s="1526"/>
      <c r="H20" s="1526"/>
      <c r="I20" s="1526"/>
      <c r="J20" s="1526"/>
      <c r="K20" s="1526"/>
      <c r="L20" s="1526"/>
      <c r="M20" s="1526"/>
      <c r="O20" s="1526"/>
      <c r="P20" s="1526"/>
      <c r="Q20" s="1526"/>
      <c r="R20" s="1526"/>
      <c r="S20" s="1526"/>
      <c r="T20" s="1526"/>
      <c r="U20" s="1526"/>
      <c r="V20" s="1526"/>
      <c r="W20" s="1526"/>
      <c r="X20" s="1526"/>
      <c r="Y20" s="1526"/>
      <c r="Z20" s="1526"/>
      <c r="AA20" s="1526"/>
      <c r="AB20" s="1526"/>
      <c r="AC20" s="1526"/>
      <c r="AD20" s="1526"/>
      <c r="AE20" s="1526"/>
      <c r="AF20" s="1526"/>
      <c r="AG20" s="1526"/>
      <c r="AH20" s="1526"/>
      <c r="AI20" s="1526"/>
      <c r="AJ20" s="1526"/>
      <c r="AK20" s="1526"/>
      <c r="AL20" s="1526"/>
      <c r="AM20" s="1526"/>
      <c r="AN20" s="1526"/>
      <c r="AO20" s="1526"/>
      <c r="AP20" s="1526"/>
      <c r="AQ20" s="1526"/>
      <c r="AR20" s="1526"/>
      <c r="AS20" s="1526"/>
    </row>
    <row r="21" spans="1:53" x14ac:dyDescent="0.25">
      <c r="A21" s="1526"/>
      <c r="B21" s="1526"/>
      <c r="C21" s="1526"/>
      <c r="D21" s="1526"/>
      <c r="E21" s="1526"/>
      <c r="F21" s="1526"/>
      <c r="G21" s="1526"/>
      <c r="H21" s="1526"/>
      <c r="I21" s="1526"/>
      <c r="J21" s="1526"/>
      <c r="K21" s="1526"/>
      <c r="L21" s="1526"/>
      <c r="M21" s="1526"/>
      <c r="N21" s="1526"/>
      <c r="O21" s="1526"/>
      <c r="P21" s="1526"/>
      <c r="Q21" s="1526"/>
      <c r="R21" s="1526"/>
      <c r="S21" s="1526"/>
      <c r="T21" s="1526"/>
      <c r="U21" s="1526"/>
      <c r="V21" s="1526"/>
      <c r="W21" s="1526"/>
      <c r="X21" s="1526"/>
      <c r="Y21" s="1526"/>
      <c r="Z21" s="1526"/>
      <c r="AA21" s="1526"/>
      <c r="AB21" s="1526"/>
      <c r="AC21" s="1526"/>
      <c r="AD21" s="1526"/>
      <c r="AE21" s="1526"/>
      <c r="AF21" s="1526"/>
      <c r="AG21" s="1526"/>
      <c r="AH21" s="1526"/>
      <c r="AI21" s="1526"/>
      <c r="AJ21" s="1526"/>
      <c r="AK21" s="1526"/>
      <c r="AL21" s="1526"/>
      <c r="AM21" s="1526"/>
      <c r="AN21" s="1526"/>
      <c r="AO21" s="1526"/>
      <c r="AP21" s="1526"/>
      <c r="AQ21" s="1526"/>
      <c r="AR21" s="1526"/>
      <c r="AS21" s="1526"/>
      <c r="AT21" s="1526"/>
      <c r="AU21" s="1526"/>
      <c r="AV21" s="1526"/>
      <c r="AW21" s="1526"/>
      <c r="AX21" s="1526"/>
      <c r="AY21" s="1526"/>
      <c r="AZ21" s="1526"/>
      <c r="BA21" s="1526"/>
    </row>
    <row r="22" spans="1:53" x14ac:dyDescent="0.25">
      <c r="A22" s="1526"/>
      <c r="B22" s="1526"/>
      <c r="C22" s="1526"/>
      <c r="D22" s="1526"/>
      <c r="E22" s="1526"/>
      <c r="F22" s="1526"/>
      <c r="G22" s="1526"/>
      <c r="H22" s="1526"/>
      <c r="I22" s="1526"/>
      <c r="J22" s="1526"/>
      <c r="K22" s="1526"/>
      <c r="L22" s="1526"/>
      <c r="M22" s="1526"/>
      <c r="N22" s="1526"/>
      <c r="O22" s="1526"/>
      <c r="P22" s="1526"/>
      <c r="Q22" s="1526"/>
      <c r="R22" s="1526"/>
      <c r="S22" s="1526"/>
      <c r="T22" s="1526"/>
      <c r="U22" s="1526"/>
      <c r="V22" s="1526"/>
      <c r="W22" s="1526"/>
      <c r="X22" s="1526"/>
      <c r="Y22" s="1526"/>
      <c r="Z22" s="1526"/>
      <c r="AA22" s="1526"/>
      <c r="AB22" s="1526"/>
      <c r="AC22" s="1526"/>
      <c r="AD22" s="1526"/>
      <c r="AE22" s="1526"/>
      <c r="AF22" s="1526"/>
      <c r="AG22" s="1526"/>
      <c r="AH22" s="1526"/>
      <c r="AI22" s="1526"/>
      <c r="AJ22" s="1526"/>
      <c r="AK22" s="1526"/>
      <c r="AL22" s="1526"/>
      <c r="AM22" s="1526"/>
      <c r="AN22" s="1526"/>
      <c r="AO22" s="1526"/>
      <c r="AP22" s="1526"/>
      <c r="AQ22" s="1526"/>
      <c r="AR22" s="1526"/>
      <c r="AS22" s="1526"/>
      <c r="AT22" s="1526"/>
      <c r="AU22" s="1526"/>
      <c r="AV22" s="1526"/>
      <c r="AW22" s="1526"/>
      <c r="AX22" s="1526"/>
      <c r="AY22" s="1526"/>
      <c r="AZ22" s="1526"/>
      <c r="BA22" s="1526"/>
    </row>
    <row r="23" spans="1:53" x14ac:dyDescent="0.25">
      <c r="A23" s="1526"/>
      <c r="B23" s="1526"/>
      <c r="C23" s="1526"/>
      <c r="D23" s="1526"/>
      <c r="E23" s="1526"/>
      <c r="N23" s="1526"/>
      <c r="O23" s="1526"/>
      <c r="P23" s="1526"/>
      <c r="Q23" s="1526"/>
      <c r="R23" s="1526"/>
      <c r="S23" s="1526"/>
      <c r="T23" s="1526"/>
      <c r="U23" s="1526"/>
      <c r="V23" s="1526"/>
      <c r="W23" s="1526"/>
      <c r="X23" s="1526"/>
      <c r="Y23" s="1526"/>
      <c r="Z23" s="1526"/>
      <c r="AA23" s="1526"/>
      <c r="AB23" s="1526"/>
      <c r="AC23" s="1526"/>
      <c r="AD23" s="1526"/>
      <c r="AE23" s="1526"/>
      <c r="AF23" s="1526"/>
      <c r="AG23" s="1526"/>
      <c r="AH23" s="1526"/>
      <c r="AI23" s="1526"/>
      <c r="AJ23" s="1526"/>
      <c r="AK23" s="1526"/>
      <c r="AL23" s="1526"/>
      <c r="AM23" s="1526"/>
      <c r="AN23" s="1526"/>
      <c r="AO23" s="1526"/>
      <c r="AP23" s="1526"/>
      <c r="AQ23" s="1526"/>
      <c r="AR23" s="1526"/>
      <c r="AS23" s="1526"/>
      <c r="AT23" s="1526"/>
      <c r="AU23" s="1526"/>
      <c r="AV23" s="1526"/>
      <c r="AW23" s="1526"/>
      <c r="AX23" s="1526"/>
      <c r="AY23" s="1526"/>
      <c r="AZ23" s="1526"/>
      <c r="BA23" s="1526"/>
    </row>
    <row r="24" spans="1:53" x14ac:dyDescent="0.25">
      <c r="A24" s="1526"/>
      <c r="B24" s="1526"/>
      <c r="C24" s="1526"/>
      <c r="D24" s="1526"/>
      <c r="E24" s="1526"/>
      <c r="N24" s="1526"/>
      <c r="O24" s="1526"/>
      <c r="W24" s="1526"/>
      <c r="X24" s="1526"/>
      <c r="Y24" s="1526"/>
      <c r="Z24" s="1526"/>
      <c r="AA24" s="1526"/>
      <c r="AB24" s="1526"/>
      <c r="AC24" s="1526"/>
      <c r="AD24" s="1526"/>
      <c r="AE24" s="1526"/>
      <c r="AF24" s="1526"/>
      <c r="AG24" s="1526"/>
      <c r="AH24" s="1526"/>
      <c r="AI24" s="1526"/>
      <c r="AJ24" s="1526"/>
      <c r="AK24" s="1526"/>
      <c r="AL24" s="1526"/>
      <c r="AM24" s="1526"/>
      <c r="AN24" s="1526"/>
      <c r="AO24" s="1526"/>
      <c r="AP24" s="1526"/>
      <c r="AQ24" s="1526"/>
      <c r="AR24" s="1526"/>
      <c r="AS24" s="1526"/>
      <c r="AT24" s="1526"/>
      <c r="AU24" s="1526"/>
      <c r="AV24" s="1526"/>
      <c r="AW24" s="1526"/>
      <c r="AX24" s="1526"/>
      <c r="AY24" s="1526"/>
      <c r="AZ24" s="1526"/>
      <c r="BA24" s="1526"/>
    </row>
    <row r="25" spans="1:53" x14ac:dyDescent="0.25">
      <c r="A25" s="1526"/>
      <c r="B25" s="1526"/>
      <c r="C25" s="1526"/>
      <c r="D25" s="1526"/>
      <c r="E25" s="1526"/>
      <c r="N25" s="1526"/>
      <c r="O25" s="1526"/>
      <c r="W25" s="1526"/>
      <c r="X25" s="1526"/>
      <c r="Y25" s="1526"/>
      <c r="Z25" s="1526"/>
      <c r="AA25" s="1526"/>
      <c r="AB25" s="1526"/>
      <c r="AC25" s="1526"/>
      <c r="AD25" s="1526"/>
      <c r="AE25" s="1526"/>
      <c r="AF25" s="1526"/>
      <c r="AG25" s="1526"/>
      <c r="AH25" s="1526"/>
      <c r="AI25" s="1526"/>
      <c r="AJ25" s="1526"/>
      <c r="AK25" s="1526"/>
      <c r="AL25" s="1526"/>
      <c r="AM25" s="1526"/>
      <c r="AN25" s="1526"/>
      <c r="AO25" s="1526"/>
      <c r="AP25" s="1526"/>
      <c r="AQ25" s="1526"/>
      <c r="AR25" s="1526"/>
      <c r="AS25" s="1526"/>
      <c r="AT25" s="1526"/>
      <c r="AU25" s="1526"/>
      <c r="AV25" s="1526"/>
      <c r="AW25" s="1526"/>
      <c r="AX25" s="1526"/>
      <c r="AY25" s="1526"/>
      <c r="AZ25" s="1526"/>
      <c r="BA25" s="1526"/>
    </row>
    <row r="26" spans="1:53" x14ac:dyDescent="0.25">
      <c r="A26" s="1526"/>
      <c r="B26" s="1526"/>
      <c r="C26" s="1526"/>
      <c r="D26" s="1526"/>
      <c r="E26" s="1526"/>
      <c r="N26" s="1526"/>
      <c r="O26" s="1526"/>
      <c r="W26" s="1526"/>
      <c r="X26" s="1526"/>
      <c r="Y26" s="1526"/>
      <c r="Z26" s="1526"/>
      <c r="AA26" s="1526"/>
      <c r="AB26" s="1526"/>
      <c r="AC26" s="1526"/>
      <c r="AD26" s="1526"/>
      <c r="AE26" s="1526"/>
      <c r="AF26" s="1526"/>
      <c r="AG26" s="1526"/>
      <c r="AH26" s="1526"/>
      <c r="AI26" s="1526"/>
      <c r="AJ26" s="1526"/>
      <c r="AK26" s="1526"/>
      <c r="AL26" s="1526"/>
      <c r="AM26" s="1526"/>
      <c r="AN26" s="1526"/>
      <c r="AO26" s="1526"/>
      <c r="AP26" s="1526"/>
      <c r="AQ26" s="1526"/>
      <c r="AR26" s="1526"/>
      <c r="AS26" s="1526"/>
      <c r="AT26" s="1526"/>
      <c r="AU26" s="1526"/>
      <c r="AV26" s="1526"/>
      <c r="AW26" s="1526"/>
      <c r="AX26" s="1526"/>
      <c r="AY26" s="1526"/>
      <c r="AZ26" s="1526"/>
      <c r="BA26" s="1526"/>
    </row>
    <row r="27" spans="1:53" x14ac:dyDescent="0.25">
      <c r="A27" s="1526"/>
      <c r="B27" s="1526"/>
      <c r="C27" s="1526"/>
      <c r="D27" s="1526"/>
      <c r="E27" s="1526"/>
      <c r="N27" s="1526"/>
      <c r="O27" s="1526"/>
      <c r="X27" s="1526"/>
      <c r="Y27" s="1526"/>
      <c r="Z27" s="1526"/>
      <c r="AA27" s="1526"/>
      <c r="AB27" s="1526"/>
      <c r="AC27" s="1526"/>
      <c r="AD27" s="1526"/>
      <c r="AE27" s="1526"/>
      <c r="AF27" s="1526"/>
      <c r="AG27" s="1526"/>
      <c r="AH27" s="1526"/>
      <c r="AI27" s="1526"/>
      <c r="AJ27" s="1526"/>
      <c r="AK27" s="1526"/>
      <c r="AL27" s="1526"/>
      <c r="AM27" s="1526"/>
      <c r="AN27" s="1526"/>
      <c r="AO27" s="1526"/>
      <c r="AP27" s="1526"/>
      <c r="AQ27" s="1526"/>
      <c r="AR27" s="1526"/>
      <c r="AS27" s="1526"/>
      <c r="AT27" s="1526"/>
      <c r="AU27" s="1526"/>
      <c r="AV27" s="1526"/>
      <c r="AW27" s="1526"/>
      <c r="AX27" s="1526"/>
      <c r="AY27" s="1526"/>
      <c r="AZ27" s="1526"/>
      <c r="BA27" s="1526"/>
    </row>
    <row r="28" spans="1:53" x14ac:dyDescent="0.25">
      <c r="A28" s="1526"/>
      <c r="B28" s="1526"/>
      <c r="C28" s="1526"/>
      <c r="D28" s="1526"/>
      <c r="E28" s="1526"/>
      <c r="F28" s="1526"/>
      <c r="G28" s="1526"/>
      <c r="H28" s="1526"/>
      <c r="I28" s="1526"/>
      <c r="J28" s="1526"/>
      <c r="K28" s="1526"/>
      <c r="L28" s="1526"/>
      <c r="M28" s="1526"/>
      <c r="N28" s="1526"/>
      <c r="O28" s="1526"/>
      <c r="X28" s="1526"/>
      <c r="Y28" s="1526"/>
      <c r="Z28" s="1526"/>
      <c r="AA28" s="1526"/>
      <c r="AB28" s="1526"/>
      <c r="AC28" s="1526"/>
      <c r="AD28" s="1526"/>
      <c r="AE28" s="1526"/>
      <c r="AF28" s="1526"/>
      <c r="AG28" s="1526"/>
      <c r="AH28" s="1526"/>
      <c r="AI28" s="1526"/>
      <c r="AJ28" s="1526"/>
      <c r="AK28" s="1526"/>
      <c r="AL28" s="1526"/>
      <c r="AM28" s="1526"/>
      <c r="AN28" s="1526"/>
      <c r="AO28" s="1526"/>
      <c r="AP28" s="1526"/>
      <c r="AQ28" s="1526"/>
      <c r="AR28" s="1526"/>
      <c r="AS28" s="1526"/>
      <c r="AT28" s="1526"/>
      <c r="AU28" s="1526"/>
      <c r="AV28" s="1526"/>
      <c r="AW28" s="1526"/>
      <c r="AX28" s="1526"/>
      <c r="AY28" s="1526"/>
      <c r="AZ28" s="1526"/>
      <c r="BA28" s="1526"/>
    </row>
    <row r="29" spans="1:53" x14ac:dyDescent="0.25">
      <c r="A29" s="1526"/>
      <c r="B29" s="1526"/>
      <c r="C29" s="1526"/>
      <c r="D29" s="1526"/>
      <c r="E29" s="1526"/>
      <c r="F29" s="1526"/>
      <c r="G29" s="1526"/>
      <c r="H29" s="1526"/>
      <c r="I29" s="1526"/>
      <c r="J29" s="1526"/>
      <c r="K29" s="1526"/>
      <c r="L29" s="1526"/>
      <c r="M29" s="1526"/>
      <c r="N29" s="1526"/>
      <c r="O29" s="1526"/>
      <c r="P29" s="1526"/>
      <c r="Q29" s="1526"/>
      <c r="R29" s="1526"/>
      <c r="S29" s="1526"/>
      <c r="T29" s="1526"/>
      <c r="U29" s="1526"/>
      <c r="V29" s="1526"/>
      <c r="X29" s="1526"/>
      <c r="Y29" s="1526"/>
      <c r="Z29" s="1526"/>
      <c r="AA29" s="1526"/>
      <c r="AB29" s="1526"/>
      <c r="AC29" s="1526"/>
      <c r="AD29" s="1526"/>
      <c r="AE29" s="1526"/>
      <c r="AF29" s="1526"/>
      <c r="AG29" s="1526"/>
      <c r="AH29" s="1526"/>
      <c r="AI29" s="1526"/>
      <c r="AJ29" s="1526"/>
      <c r="AK29" s="1526"/>
      <c r="AL29" s="1526"/>
      <c r="AM29" s="1526"/>
      <c r="AN29" s="1526"/>
      <c r="AO29" s="1526"/>
      <c r="AP29" s="1526"/>
      <c r="AQ29" s="1526"/>
      <c r="AR29" s="1526"/>
      <c r="AS29" s="1526"/>
      <c r="AT29" s="1526"/>
      <c r="AU29" s="1526"/>
      <c r="AV29" s="1526"/>
      <c r="AW29" s="1526"/>
      <c r="AX29" s="1526"/>
      <c r="AY29" s="1526"/>
      <c r="AZ29" s="1526"/>
      <c r="BA29" s="1526"/>
    </row>
    <row r="30" spans="1:53" x14ac:dyDescent="0.25">
      <c r="A30" s="1526"/>
      <c r="B30" s="1526"/>
      <c r="C30" s="1526"/>
      <c r="D30" s="1526"/>
      <c r="E30" s="1526"/>
      <c r="F30" s="1526"/>
      <c r="G30" s="1526"/>
      <c r="H30" s="1526"/>
      <c r="I30" s="1526"/>
      <c r="J30" s="1526"/>
      <c r="K30" s="1526"/>
      <c r="L30" s="1526"/>
      <c r="M30" s="1526"/>
      <c r="N30" s="1526"/>
      <c r="O30" s="1526"/>
      <c r="P30" s="1526"/>
      <c r="Q30" s="1526"/>
      <c r="R30" s="1526"/>
      <c r="S30" s="1526"/>
      <c r="T30" s="1526"/>
      <c r="U30" s="1526"/>
      <c r="V30" s="1526"/>
      <c r="X30" s="1526"/>
      <c r="Y30" s="1526"/>
      <c r="Z30" s="1526"/>
      <c r="AA30" s="1526"/>
      <c r="AB30" s="1526"/>
      <c r="AC30" s="1526"/>
      <c r="AD30" s="1526"/>
      <c r="AE30" s="1526"/>
      <c r="AF30" s="1526"/>
      <c r="AG30" s="1526"/>
      <c r="AH30" s="1526"/>
      <c r="AI30" s="1526"/>
      <c r="AJ30" s="1526"/>
      <c r="AK30" s="1526"/>
      <c r="AL30" s="1526"/>
      <c r="AM30" s="1526"/>
      <c r="AN30" s="1526"/>
      <c r="AO30" s="1526"/>
      <c r="AP30" s="1526"/>
      <c r="AQ30" s="1526"/>
      <c r="AR30" s="1526"/>
      <c r="AS30" s="1526"/>
      <c r="AT30" s="1526"/>
      <c r="AU30" s="1526"/>
      <c r="AV30" s="1526"/>
      <c r="AW30" s="1526"/>
      <c r="AX30" s="1526"/>
      <c r="AY30" s="1526"/>
      <c r="AZ30" s="1526"/>
      <c r="BA30" s="1526"/>
    </row>
    <row r="31" spans="1:53" x14ac:dyDescent="0.25">
      <c r="A31" s="1526"/>
      <c r="B31" s="1526"/>
      <c r="C31" s="1526"/>
      <c r="D31" s="1526"/>
      <c r="E31" s="1526"/>
      <c r="F31" s="1526"/>
      <c r="G31" s="1526"/>
      <c r="H31" s="1526"/>
      <c r="I31" s="1526"/>
      <c r="J31" s="1526"/>
      <c r="K31" s="1526"/>
      <c r="L31" s="1526"/>
      <c r="M31" s="1526"/>
      <c r="N31" s="1526"/>
      <c r="O31" s="1526"/>
      <c r="P31" s="1526"/>
      <c r="Q31" s="1526"/>
      <c r="R31" s="1526"/>
      <c r="S31" s="1526"/>
      <c r="T31" s="1526"/>
      <c r="U31" s="1526"/>
      <c r="V31" s="1526"/>
      <c r="X31" s="1526"/>
      <c r="Y31" s="1526"/>
      <c r="Z31" s="1526"/>
      <c r="AA31" s="1526"/>
      <c r="AB31" s="1526"/>
      <c r="AC31" s="1526"/>
      <c r="AD31" s="1526"/>
      <c r="AE31" s="1526"/>
      <c r="AF31" s="1526"/>
      <c r="AG31" s="1526"/>
      <c r="AH31" s="1526"/>
      <c r="AI31" s="1526"/>
      <c r="AJ31" s="1526"/>
      <c r="AK31" s="1526"/>
      <c r="AL31" s="1526"/>
      <c r="AM31" s="1526"/>
      <c r="AN31" s="1526"/>
      <c r="AO31" s="1526"/>
      <c r="AP31" s="1526"/>
      <c r="AQ31" s="1526"/>
      <c r="AR31" s="1526"/>
      <c r="AS31" s="1526"/>
      <c r="AT31" s="1526"/>
      <c r="AU31" s="1526"/>
      <c r="AV31" s="1526"/>
      <c r="AW31" s="1526"/>
      <c r="AX31" s="1526"/>
      <c r="AY31" s="1526"/>
      <c r="AZ31" s="1526"/>
      <c r="BA31" s="1526"/>
    </row>
    <row r="32" spans="1:53" x14ac:dyDescent="0.25">
      <c r="A32" s="1526"/>
      <c r="B32" s="1526"/>
      <c r="C32" s="1526"/>
      <c r="D32" s="1526"/>
      <c r="E32" s="1526"/>
      <c r="F32" s="1526"/>
      <c r="G32" s="1526"/>
      <c r="H32" s="1526"/>
      <c r="I32" s="1526"/>
      <c r="J32" s="1526"/>
      <c r="K32" s="1526"/>
      <c r="L32" s="1526"/>
      <c r="M32" s="1526"/>
      <c r="N32" s="1526"/>
      <c r="O32" s="1526"/>
      <c r="P32" s="1526"/>
      <c r="Q32" s="1526"/>
      <c r="R32" s="1526"/>
      <c r="S32" s="1526"/>
      <c r="T32" s="1526"/>
      <c r="U32" s="1526"/>
      <c r="V32" s="1526"/>
      <c r="W32" s="1526"/>
      <c r="X32" s="1526"/>
      <c r="Y32" s="1526"/>
      <c r="Z32" s="1526"/>
      <c r="AA32" s="1526"/>
      <c r="AB32" s="1526"/>
      <c r="AC32" s="1526"/>
      <c r="AD32" s="1526"/>
      <c r="AE32" s="1526"/>
      <c r="AF32" s="1526"/>
      <c r="AG32" s="1526"/>
      <c r="AH32" s="1526"/>
      <c r="AI32" s="1526"/>
      <c r="AJ32" s="1526"/>
      <c r="AK32" s="1526"/>
      <c r="AL32" s="1526"/>
      <c r="AM32" s="1526"/>
      <c r="AN32" s="1526"/>
      <c r="AO32" s="1526"/>
      <c r="AP32" s="1526"/>
      <c r="AQ32" s="1526"/>
      <c r="AR32" s="1526"/>
      <c r="AS32" s="1526"/>
      <c r="AT32" s="1526"/>
      <c r="AU32" s="1526"/>
      <c r="AV32" s="1526"/>
      <c r="AW32" s="1526"/>
      <c r="AX32" s="1526"/>
      <c r="AY32" s="1526"/>
      <c r="AZ32" s="1526"/>
      <c r="BA32" s="1526"/>
    </row>
    <row r="33" spans="1:53" x14ac:dyDescent="0.25">
      <c r="A33" s="1526"/>
      <c r="B33" s="1526"/>
      <c r="C33" s="1526"/>
      <c r="D33" s="1526"/>
      <c r="E33" s="1526"/>
      <c r="F33" s="1526"/>
      <c r="G33" s="1526"/>
      <c r="H33" s="1526"/>
      <c r="I33" s="1526"/>
      <c r="J33" s="1526"/>
      <c r="K33" s="1526"/>
      <c r="L33" s="1526"/>
      <c r="M33" s="1526"/>
      <c r="N33" s="1526"/>
      <c r="O33" s="1526"/>
      <c r="P33" s="1526"/>
      <c r="Q33" s="1526"/>
      <c r="R33" s="1526"/>
      <c r="S33" s="1526"/>
      <c r="T33" s="1526"/>
      <c r="U33" s="1526"/>
      <c r="V33" s="1526"/>
      <c r="W33" s="1526"/>
      <c r="X33" s="1526"/>
      <c r="Y33" s="1526"/>
      <c r="Z33" s="1526"/>
      <c r="AA33" s="1526"/>
      <c r="AB33" s="1526"/>
      <c r="AC33" s="1526"/>
      <c r="AD33" s="1526"/>
      <c r="AE33" s="1526"/>
      <c r="AF33" s="1526"/>
      <c r="AG33" s="1526"/>
      <c r="AH33" s="1526"/>
      <c r="AI33" s="1526"/>
      <c r="AJ33" s="1526"/>
      <c r="AK33" s="1526"/>
      <c r="AL33" s="1526"/>
      <c r="AM33" s="1526"/>
      <c r="AN33" s="1526"/>
      <c r="AO33" s="1526"/>
      <c r="AP33" s="1526"/>
      <c r="AQ33" s="1526"/>
      <c r="AR33" s="1526"/>
      <c r="AS33" s="1526"/>
      <c r="AT33" s="1526"/>
      <c r="AU33" s="1526"/>
      <c r="AV33" s="1526"/>
      <c r="AW33" s="1526"/>
      <c r="AX33" s="1526"/>
      <c r="AY33" s="1526"/>
      <c r="AZ33" s="1526"/>
      <c r="BA33" s="1526"/>
    </row>
    <row r="34" spans="1:53" x14ac:dyDescent="0.25">
      <c r="A34" s="1526"/>
      <c r="B34" s="1526"/>
      <c r="C34" s="1526"/>
      <c r="D34" s="1526"/>
      <c r="E34" s="1526"/>
      <c r="F34" s="1526"/>
      <c r="G34" s="1526"/>
      <c r="H34" s="1526"/>
      <c r="I34" s="1526"/>
      <c r="J34" s="1526"/>
      <c r="K34" s="1526"/>
      <c r="L34" s="1526"/>
      <c r="M34" s="1526"/>
      <c r="N34" s="1526"/>
      <c r="O34" s="1526"/>
      <c r="P34" s="1526"/>
      <c r="Q34" s="1526"/>
      <c r="R34" s="1526"/>
      <c r="S34" s="1526"/>
      <c r="T34" s="1526"/>
      <c r="U34" s="1526"/>
      <c r="V34" s="1526"/>
      <c r="W34" s="1526"/>
      <c r="X34" s="1526"/>
      <c r="Y34" s="1526"/>
      <c r="Z34" s="1526"/>
      <c r="AA34" s="1526"/>
      <c r="AB34" s="1526"/>
      <c r="AC34" s="1526"/>
      <c r="AD34" s="1526"/>
      <c r="AE34" s="1526"/>
      <c r="AF34" s="1526"/>
      <c r="AG34" s="1526"/>
      <c r="AH34" s="1526"/>
      <c r="AI34" s="1526"/>
      <c r="AJ34" s="1526"/>
      <c r="AK34" s="1526"/>
      <c r="AL34" s="1526"/>
      <c r="AM34" s="1526"/>
      <c r="AN34" s="1526"/>
      <c r="AO34" s="1526"/>
      <c r="AP34" s="1526"/>
      <c r="AQ34" s="1526"/>
      <c r="AR34" s="1526"/>
      <c r="AS34" s="1526"/>
      <c r="AT34" s="1526"/>
      <c r="AU34" s="1526"/>
      <c r="AV34" s="1526"/>
      <c r="AW34" s="1526"/>
      <c r="AX34" s="1526"/>
      <c r="AY34" s="1526"/>
      <c r="AZ34" s="1526"/>
      <c r="BA34" s="1526"/>
    </row>
    <row r="35" spans="1:53" x14ac:dyDescent="0.25">
      <c r="A35" s="1526"/>
      <c r="B35" s="1526"/>
      <c r="C35" s="1526"/>
      <c r="D35" s="1526"/>
      <c r="E35" s="1526"/>
      <c r="F35" s="1526"/>
      <c r="G35" s="1526"/>
      <c r="H35" s="1526"/>
      <c r="I35" s="1526"/>
      <c r="J35" s="1526"/>
      <c r="K35" s="1526"/>
      <c r="L35" s="1526"/>
      <c r="M35" s="1526"/>
      <c r="N35" s="1526"/>
      <c r="O35" s="1526"/>
      <c r="P35" s="1526"/>
      <c r="Q35" s="1526"/>
      <c r="R35" s="1526"/>
      <c r="S35" s="1526"/>
      <c r="T35" s="1526"/>
      <c r="U35" s="1526"/>
      <c r="V35" s="1526"/>
      <c r="W35" s="1526"/>
      <c r="X35" s="1526"/>
      <c r="Y35" s="1526"/>
      <c r="Z35" s="1526"/>
      <c r="AA35" s="1526"/>
      <c r="AB35" s="1526"/>
      <c r="AC35" s="1526"/>
      <c r="AD35" s="1526"/>
      <c r="AE35" s="1526"/>
      <c r="AF35" s="1526"/>
      <c r="AG35" s="1526"/>
      <c r="AH35" s="1526"/>
      <c r="AI35" s="1526"/>
      <c r="AJ35" s="1526"/>
      <c r="AK35" s="1526"/>
      <c r="AL35" s="1526"/>
      <c r="AM35" s="1526"/>
      <c r="AN35" s="1526"/>
      <c r="AO35" s="1526"/>
      <c r="AP35" s="1526"/>
      <c r="AQ35" s="1526"/>
      <c r="AR35" s="1526"/>
      <c r="AS35" s="1526"/>
      <c r="AT35" s="1526"/>
      <c r="AU35" s="1526"/>
      <c r="AV35" s="1526"/>
      <c r="AW35" s="1526"/>
      <c r="AX35" s="1526"/>
      <c r="AY35" s="1526"/>
      <c r="AZ35" s="1526"/>
      <c r="BA35" s="1526"/>
    </row>
    <row r="36" spans="1:53" x14ac:dyDescent="0.25">
      <c r="A36" s="1526"/>
      <c r="B36" s="1526"/>
      <c r="C36" s="1526"/>
      <c r="D36" s="1526"/>
      <c r="E36" s="1526"/>
      <c r="F36" s="1526"/>
      <c r="G36" s="1526"/>
      <c r="H36" s="1526"/>
      <c r="I36" s="1526"/>
      <c r="J36" s="1526"/>
      <c r="K36" s="1526"/>
      <c r="L36" s="1526"/>
      <c r="M36" s="1526"/>
      <c r="N36" s="1526"/>
      <c r="O36" s="1526"/>
      <c r="P36" s="1526"/>
      <c r="Q36" s="1526"/>
      <c r="R36" s="1526"/>
      <c r="S36" s="1526"/>
      <c r="T36" s="1526"/>
      <c r="U36" s="1526"/>
      <c r="V36" s="1526"/>
      <c r="W36" s="1526"/>
      <c r="X36" s="1526"/>
      <c r="Y36" s="1526"/>
      <c r="Z36" s="1526"/>
      <c r="AA36" s="1526"/>
      <c r="AB36" s="1526"/>
      <c r="AC36" s="1526"/>
      <c r="AD36" s="1526"/>
      <c r="AE36" s="1526"/>
      <c r="AF36" s="1526"/>
      <c r="AG36" s="1526"/>
      <c r="AH36" s="1526"/>
      <c r="AI36" s="1526"/>
      <c r="AJ36" s="1526"/>
      <c r="AK36" s="1526"/>
      <c r="AL36" s="1526"/>
      <c r="AM36" s="1526"/>
      <c r="AN36" s="1526"/>
      <c r="AO36" s="1526"/>
      <c r="AP36" s="1526"/>
      <c r="AQ36" s="1526"/>
      <c r="AR36" s="1526"/>
      <c r="AS36" s="1526"/>
      <c r="AT36" s="1526"/>
      <c r="AU36" s="1526"/>
      <c r="AV36" s="1526"/>
      <c r="AW36" s="1526"/>
      <c r="AX36" s="1526"/>
      <c r="AY36" s="1526"/>
      <c r="AZ36" s="1526"/>
      <c r="BA36" s="1526"/>
    </row>
    <row r="37" spans="1:53" x14ac:dyDescent="0.25">
      <c r="A37" s="1526"/>
      <c r="B37" s="1526"/>
      <c r="C37" s="1526"/>
      <c r="D37" s="1526"/>
      <c r="E37" s="1526"/>
      <c r="F37" s="1526"/>
      <c r="G37" s="1526"/>
      <c r="H37" s="1526"/>
      <c r="I37" s="1526"/>
      <c r="J37" s="1526"/>
      <c r="K37" s="1526"/>
      <c r="L37" s="1526"/>
      <c r="M37" s="1526"/>
      <c r="N37" s="1526"/>
      <c r="O37" s="1526"/>
      <c r="P37" s="1526"/>
      <c r="Q37" s="1526"/>
      <c r="R37" s="1526"/>
      <c r="S37" s="1526"/>
      <c r="T37" s="1526"/>
      <c r="U37" s="1526"/>
      <c r="V37" s="1526"/>
      <c r="W37" s="1526"/>
      <c r="X37" s="1526"/>
      <c r="Y37" s="1526"/>
      <c r="Z37" s="1526"/>
      <c r="AA37" s="1526"/>
      <c r="AB37" s="1526"/>
      <c r="AC37" s="1526"/>
      <c r="AD37" s="1526"/>
      <c r="AE37" s="1526"/>
      <c r="AF37" s="1526"/>
      <c r="AG37" s="1526"/>
      <c r="AH37" s="1526"/>
      <c r="AI37" s="1526"/>
      <c r="AJ37" s="1526"/>
      <c r="AK37" s="1526"/>
      <c r="AL37" s="1526"/>
      <c r="AM37" s="1526"/>
      <c r="AN37" s="1526"/>
      <c r="AO37" s="1526"/>
      <c r="AP37" s="1526"/>
      <c r="AQ37" s="1526"/>
      <c r="AR37" s="1526"/>
      <c r="AS37" s="1526"/>
      <c r="AT37" s="1526"/>
      <c r="AU37" s="1526"/>
      <c r="AV37" s="1526"/>
      <c r="AW37" s="1526"/>
      <c r="AX37" s="1526"/>
      <c r="AY37" s="1526"/>
      <c r="AZ37" s="1526"/>
      <c r="BA37" s="1526"/>
    </row>
    <row r="38" spans="1:53" x14ac:dyDescent="0.25">
      <c r="A38" s="1526"/>
      <c r="B38" s="1526"/>
      <c r="C38" s="1526"/>
      <c r="D38" s="1526"/>
      <c r="E38" s="1526"/>
      <c r="F38" s="1526"/>
      <c r="G38" s="1526"/>
      <c r="H38" s="1526"/>
      <c r="I38" s="1526"/>
      <c r="J38" s="1526"/>
      <c r="K38" s="1526"/>
      <c r="L38" s="1526"/>
      <c r="M38" s="1526"/>
      <c r="N38" s="1526"/>
      <c r="O38" s="1526"/>
      <c r="P38" s="1526"/>
      <c r="Q38" s="1526"/>
      <c r="R38" s="1526"/>
      <c r="S38" s="1526"/>
      <c r="T38" s="1526"/>
      <c r="U38" s="1526"/>
      <c r="V38" s="1526"/>
      <c r="W38" s="1526"/>
      <c r="X38" s="1526"/>
      <c r="Y38" s="1526"/>
      <c r="Z38" s="1526"/>
      <c r="AA38" s="1526"/>
      <c r="AB38" s="1526"/>
      <c r="AC38" s="1526"/>
      <c r="AD38" s="1526"/>
      <c r="AE38" s="1526"/>
      <c r="AF38" s="1526"/>
      <c r="AG38" s="1526"/>
      <c r="AH38" s="1526"/>
      <c r="AI38" s="1526"/>
      <c r="AJ38" s="1526"/>
      <c r="AK38" s="1526"/>
      <c r="AL38" s="1526"/>
      <c r="AM38" s="1526"/>
      <c r="AN38" s="1526"/>
      <c r="AO38" s="1526"/>
      <c r="AP38" s="1526"/>
      <c r="AQ38" s="1526"/>
      <c r="AR38" s="1526"/>
      <c r="AS38" s="1526"/>
      <c r="AT38" s="1526"/>
      <c r="AU38" s="1526"/>
      <c r="AV38" s="1526"/>
      <c r="AW38" s="1526"/>
      <c r="AX38" s="1526"/>
      <c r="AY38" s="1526"/>
      <c r="AZ38" s="1526"/>
      <c r="BA38" s="1526"/>
    </row>
    <row r="39" spans="1:53" x14ac:dyDescent="0.25">
      <c r="A39" s="1526"/>
      <c r="B39" s="1526"/>
      <c r="C39" s="1526"/>
      <c r="D39" s="1526"/>
      <c r="E39" s="1526"/>
      <c r="F39" s="1526"/>
      <c r="G39" s="1526"/>
      <c r="H39" s="1526"/>
      <c r="I39" s="1526"/>
      <c r="J39" s="1526"/>
      <c r="K39" s="1526"/>
      <c r="L39" s="1526"/>
      <c r="M39" s="1526"/>
      <c r="N39" s="1526"/>
      <c r="O39" s="1526"/>
      <c r="P39" s="1526"/>
      <c r="Q39" s="1526"/>
      <c r="R39" s="1526"/>
      <c r="S39" s="1526"/>
      <c r="T39" s="1526"/>
      <c r="U39" s="1526"/>
      <c r="V39" s="1526"/>
      <c r="W39" s="1526"/>
      <c r="X39" s="1526"/>
      <c r="Y39" s="1526"/>
      <c r="Z39" s="1526"/>
      <c r="AA39" s="1526"/>
      <c r="AB39" s="1526"/>
      <c r="AC39" s="1526"/>
      <c r="AD39" s="1526"/>
      <c r="AE39" s="1526"/>
      <c r="AF39" s="1526"/>
      <c r="AG39" s="1526"/>
      <c r="AH39" s="1526"/>
      <c r="AI39" s="1526"/>
      <c r="AJ39" s="1526"/>
      <c r="AK39" s="1526"/>
      <c r="AL39" s="1526"/>
      <c r="AM39" s="1526"/>
      <c r="AN39" s="1526"/>
      <c r="AO39" s="1526"/>
      <c r="AP39" s="1526"/>
      <c r="AQ39" s="1526"/>
      <c r="AR39" s="1526"/>
      <c r="AS39" s="1526"/>
      <c r="AT39" s="1526"/>
      <c r="AU39" s="1526"/>
      <c r="AV39" s="1526"/>
      <c r="AW39" s="1526"/>
      <c r="AX39" s="1526"/>
      <c r="AY39" s="1526"/>
      <c r="AZ39" s="1526"/>
      <c r="BA39" s="1526"/>
    </row>
    <row r="40" spans="1:53" x14ac:dyDescent="0.25">
      <c r="A40" s="1526"/>
      <c r="B40" s="1526"/>
      <c r="C40" s="1526"/>
      <c r="D40" s="1526"/>
      <c r="E40" s="1526"/>
      <c r="F40" s="1526"/>
      <c r="G40" s="1526"/>
      <c r="H40" s="1526"/>
      <c r="I40" s="1526"/>
      <c r="J40" s="1526"/>
      <c r="K40" s="1526"/>
      <c r="L40" s="1526"/>
      <c r="M40" s="1526"/>
      <c r="N40" s="1526"/>
      <c r="O40" s="1526"/>
      <c r="P40" s="1526"/>
      <c r="Q40" s="1526"/>
      <c r="R40" s="1526"/>
      <c r="S40" s="1526"/>
      <c r="T40" s="1526"/>
      <c r="U40" s="1526"/>
      <c r="V40" s="1526"/>
      <c r="W40" s="1526"/>
      <c r="X40" s="1526"/>
      <c r="Y40" s="1526"/>
      <c r="Z40" s="1526"/>
      <c r="AA40" s="1526"/>
      <c r="AB40" s="1526"/>
      <c r="AC40" s="1526"/>
      <c r="AD40" s="1526"/>
      <c r="AE40" s="1526"/>
      <c r="AF40" s="1526"/>
      <c r="AG40" s="1526"/>
      <c r="AH40" s="1526"/>
      <c r="AI40" s="1526"/>
      <c r="AJ40" s="1526"/>
      <c r="AK40" s="1526"/>
      <c r="AL40" s="1526"/>
      <c r="AM40" s="1526"/>
      <c r="AN40" s="1526"/>
      <c r="AO40" s="1526"/>
      <c r="AP40" s="1526"/>
      <c r="AQ40" s="1526"/>
      <c r="AR40" s="1526"/>
      <c r="AS40" s="1526"/>
      <c r="AT40" s="1526"/>
      <c r="AU40" s="1526"/>
      <c r="AV40" s="1526"/>
      <c r="AW40" s="1526"/>
      <c r="AX40" s="1526"/>
      <c r="AY40" s="1526"/>
      <c r="AZ40" s="1526"/>
      <c r="BA40" s="1526"/>
    </row>
    <row r="41" spans="1:53" x14ac:dyDescent="0.25">
      <c r="A41" s="1526"/>
      <c r="B41" s="1526"/>
      <c r="C41" s="1526"/>
      <c r="D41" s="1526"/>
      <c r="E41" s="1526"/>
      <c r="F41" s="1526"/>
      <c r="G41" s="1526"/>
      <c r="H41" s="1526"/>
      <c r="I41" s="1526"/>
      <c r="J41" s="1526"/>
      <c r="K41" s="1526"/>
      <c r="L41" s="1526"/>
      <c r="M41" s="1526"/>
      <c r="N41" s="1526"/>
      <c r="O41" s="1526"/>
      <c r="P41" s="1526"/>
      <c r="Q41" s="1526"/>
      <c r="R41" s="1526"/>
      <c r="S41" s="1526"/>
      <c r="T41" s="1526"/>
      <c r="U41" s="1526"/>
      <c r="V41" s="1526"/>
      <c r="W41" s="1526"/>
      <c r="X41" s="1526"/>
      <c r="Y41" s="1526"/>
      <c r="Z41" s="1526"/>
      <c r="AA41" s="1526"/>
      <c r="AB41" s="1526"/>
      <c r="AC41" s="1526"/>
      <c r="AD41" s="1526"/>
      <c r="AE41" s="1526"/>
      <c r="AF41" s="1526"/>
      <c r="AG41" s="1526"/>
      <c r="AH41" s="1526"/>
      <c r="AI41" s="1526"/>
      <c r="AJ41" s="1526"/>
      <c r="AK41" s="1526"/>
      <c r="AL41" s="1526"/>
      <c r="AM41" s="1526"/>
      <c r="AN41" s="1526"/>
      <c r="AO41" s="1526"/>
      <c r="AP41" s="1526"/>
      <c r="AQ41" s="1526"/>
      <c r="AR41" s="1526"/>
      <c r="AS41" s="1526"/>
      <c r="AT41" s="1526"/>
      <c r="AU41" s="1526"/>
      <c r="AV41" s="1526"/>
      <c r="AW41" s="1526"/>
      <c r="AX41" s="1526"/>
      <c r="AY41" s="1526"/>
      <c r="AZ41" s="1526"/>
      <c r="BA41" s="1526"/>
    </row>
    <row r="42" spans="1:53" x14ac:dyDescent="0.25">
      <c r="A42" s="1526"/>
      <c r="B42" s="1526"/>
      <c r="C42" s="1526"/>
      <c r="D42" s="1526"/>
      <c r="E42" s="1526"/>
      <c r="F42" s="1526"/>
      <c r="G42" s="1526"/>
      <c r="H42" s="1526"/>
      <c r="I42" s="1526"/>
      <c r="J42" s="1526"/>
      <c r="K42" s="1526"/>
      <c r="L42" s="1526"/>
      <c r="M42" s="1526"/>
      <c r="N42" s="1526"/>
      <c r="O42" s="1526"/>
      <c r="P42" s="1526"/>
      <c r="Q42" s="1526"/>
      <c r="R42" s="1526"/>
      <c r="S42" s="1526"/>
      <c r="T42" s="1526"/>
      <c r="U42" s="1526"/>
      <c r="V42" s="1526"/>
      <c r="W42" s="1526"/>
      <c r="X42" s="1526"/>
      <c r="Y42" s="1526"/>
      <c r="Z42" s="1526"/>
      <c r="AA42" s="1526"/>
      <c r="AB42" s="1526"/>
      <c r="AC42" s="1526"/>
      <c r="AD42" s="1526"/>
      <c r="AE42" s="1526"/>
      <c r="AF42" s="1526"/>
      <c r="AG42" s="1526"/>
      <c r="AH42" s="1526"/>
      <c r="AI42" s="1526"/>
      <c r="AJ42" s="1526"/>
      <c r="AK42" s="1526"/>
      <c r="AL42" s="1526"/>
      <c r="AM42" s="1526"/>
      <c r="AN42" s="1526"/>
      <c r="AO42" s="1526"/>
      <c r="AP42" s="1526"/>
      <c r="AQ42" s="1526"/>
      <c r="AR42" s="1526"/>
      <c r="AS42" s="1526"/>
      <c r="AT42" s="1526"/>
      <c r="AU42" s="1526"/>
      <c r="AV42" s="1526"/>
      <c r="AW42" s="1526"/>
      <c r="AX42" s="1526"/>
      <c r="AY42" s="1526"/>
      <c r="AZ42" s="1526"/>
      <c r="BA42" s="1526"/>
    </row>
    <row r="43" spans="1:53" x14ac:dyDescent="0.25">
      <c r="A43" s="1526"/>
      <c r="B43" s="1526"/>
      <c r="C43" s="1526"/>
      <c r="D43" s="1526"/>
      <c r="E43" s="1526"/>
      <c r="F43" s="1526"/>
      <c r="G43" s="1526"/>
      <c r="H43" s="1526"/>
      <c r="I43" s="1526"/>
      <c r="J43" s="1526"/>
      <c r="K43" s="1526"/>
      <c r="L43" s="1526"/>
      <c r="M43" s="1526"/>
      <c r="N43" s="1526"/>
      <c r="O43" s="1526"/>
      <c r="P43" s="1526"/>
      <c r="Q43" s="1526"/>
      <c r="R43" s="1526"/>
      <c r="S43" s="1526"/>
      <c r="T43" s="1526"/>
      <c r="U43" s="1526"/>
      <c r="V43" s="1526"/>
      <c r="W43" s="1526"/>
      <c r="X43" s="1526"/>
      <c r="Y43" s="1526"/>
      <c r="Z43" s="1526"/>
      <c r="AA43" s="1526"/>
      <c r="AB43" s="1526"/>
      <c r="AC43" s="1526"/>
      <c r="AD43" s="1526"/>
      <c r="AE43" s="1526"/>
      <c r="AF43" s="1526"/>
      <c r="AG43" s="1526"/>
      <c r="AH43" s="1526"/>
      <c r="AI43" s="1526"/>
      <c r="AJ43" s="1526"/>
      <c r="AK43" s="1526"/>
      <c r="AL43" s="1526"/>
      <c r="AM43" s="1526"/>
      <c r="AN43" s="1526"/>
      <c r="AO43" s="1526"/>
      <c r="AP43" s="1526"/>
      <c r="AQ43" s="1526"/>
      <c r="AR43" s="1526"/>
      <c r="AS43" s="1526"/>
      <c r="AT43" s="1526"/>
      <c r="AU43" s="1526"/>
      <c r="AV43" s="1526"/>
      <c r="AW43" s="1526"/>
      <c r="AX43" s="1526"/>
      <c r="AY43" s="1526"/>
      <c r="AZ43" s="1526"/>
      <c r="BA43" s="1526"/>
    </row>
    <row r="44" spans="1:53" x14ac:dyDescent="0.25">
      <c r="A44" s="1526"/>
      <c r="B44" s="1526"/>
      <c r="C44" s="1526"/>
      <c r="D44" s="1526"/>
      <c r="E44" s="1526"/>
      <c r="F44" s="1526"/>
      <c r="G44" s="1526"/>
      <c r="H44" s="1526"/>
      <c r="I44" s="1526"/>
      <c r="J44" s="1526"/>
      <c r="K44" s="1526"/>
      <c r="L44" s="1526"/>
      <c r="M44" s="1526"/>
      <c r="N44" s="1526"/>
      <c r="O44" s="1526"/>
      <c r="P44" s="1526"/>
      <c r="Q44" s="1526"/>
      <c r="R44" s="1526"/>
      <c r="S44" s="1526"/>
      <c r="T44" s="1526"/>
      <c r="U44" s="1526"/>
      <c r="V44" s="1526"/>
      <c r="W44" s="1526"/>
      <c r="X44" s="1526"/>
      <c r="Y44" s="1526"/>
      <c r="Z44" s="1526"/>
      <c r="AA44" s="1526"/>
      <c r="AB44" s="1526"/>
      <c r="AC44" s="1526"/>
      <c r="AD44" s="1526"/>
      <c r="AE44" s="1526"/>
      <c r="AF44" s="1526"/>
      <c r="AG44" s="1526"/>
      <c r="AH44" s="1526"/>
      <c r="AI44" s="1526"/>
      <c r="AJ44" s="1526"/>
      <c r="AK44" s="1526"/>
      <c r="AL44" s="1526"/>
      <c r="AM44" s="1526"/>
      <c r="AN44" s="1526"/>
      <c r="AO44" s="1526"/>
      <c r="AP44" s="1526"/>
      <c r="AQ44" s="1526"/>
      <c r="AR44" s="1526"/>
      <c r="AS44" s="1526"/>
      <c r="AT44" s="1526"/>
      <c r="AU44" s="1526"/>
      <c r="AV44" s="1526"/>
      <c r="AW44" s="1526"/>
      <c r="AX44" s="1526"/>
      <c r="AY44" s="1526"/>
      <c r="AZ44" s="1526"/>
      <c r="BA44" s="1526"/>
    </row>
    <row r="45" spans="1:53" x14ac:dyDescent="0.25">
      <c r="A45" s="1526"/>
      <c r="B45" s="1526"/>
      <c r="C45" s="1526"/>
      <c r="D45" s="1526"/>
      <c r="E45" s="1526"/>
      <c r="F45" s="1526"/>
      <c r="G45" s="1526"/>
      <c r="H45" s="1526"/>
      <c r="I45" s="1526"/>
      <c r="J45" s="1526"/>
      <c r="K45" s="1526"/>
      <c r="L45" s="1526"/>
      <c r="M45" s="1526"/>
      <c r="N45" s="1526"/>
      <c r="O45" s="1526"/>
      <c r="P45" s="1526"/>
      <c r="Q45" s="1526"/>
      <c r="R45" s="1526"/>
      <c r="S45" s="1526"/>
      <c r="T45" s="1526"/>
      <c r="U45" s="1526"/>
      <c r="V45" s="1526"/>
      <c r="W45" s="1526"/>
      <c r="X45" s="1526"/>
      <c r="Y45" s="1526"/>
      <c r="Z45" s="1526"/>
      <c r="AA45" s="1526"/>
      <c r="AB45" s="1526"/>
      <c r="AC45" s="1526"/>
      <c r="AD45" s="1526"/>
      <c r="AE45" s="1526"/>
      <c r="AF45" s="1526"/>
      <c r="AG45" s="1526"/>
      <c r="AH45" s="1526"/>
      <c r="AI45" s="1526"/>
      <c r="AJ45" s="1526"/>
      <c r="AK45" s="1526"/>
      <c r="AL45" s="1526"/>
      <c r="AM45" s="1526"/>
      <c r="AN45" s="1526"/>
      <c r="AO45" s="1526"/>
      <c r="AP45" s="1526"/>
      <c r="AQ45" s="1526"/>
      <c r="AR45" s="1526"/>
      <c r="AS45" s="1526"/>
      <c r="AT45" s="1526"/>
      <c r="AU45" s="1526"/>
      <c r="AV45" s="1526"/>
      <c r="AW45" s="1526"/>
      <c r="AX45" s="1526"/>
      <c r="AY45" s="1526"/>
      <c r="AZ45" s="1526"/>
      <c r="BA45" s="1526"/>
    </row>
    <row r="46" spans="1:53" x14ac:dyDescent="0.25">
      <c r="A46" s="1526"/>
      <c r="B46" s="1526"/>
      <c r="C46" s="1526"/>
      <c r="D46" s="1526"/>
      <c r="E46" s="1526"/>
      <c r="F46" s="1526"/>
      <c r="G46" s="1526"/>
      <c r="H46" s="1526"/>
      <c r="I46" s="1526"/>
      <c r="J46" s="1526"/>
      <c r="K46" s="1526"/>
      <c r="L46" s="1526"/>
      <c r="M46" s="1526"/>
      <c r="N46" s="1526"/>
      <c r="O46" s="1526"/>
      <c r="P46" s="1526"/>
      <c r="Q46" s="1526"/>
      <c r="R46" s="1526"/>
      <c r="S46" s="1526"/>
      <c r="T46" s="1526"/>
      <c r="U46" s="1526"/>
      <c r="V46" s="1526"/>
      <c r="W46" s="1526"/>
      <c r="X46" s="1526"/>
      <c r="Y46" s="1526"/>
      <c r="Z46" s="1526"/>
      <c r="AA46" s="1526"/>
      <c r="AB46" s="1526"/>
      <c r="AC46" s="1526"/>
      <c r="AD46" s="1526"/>
      <c r="AE46" s="1526"/>
      <c r="AF46" s="1526"/>
      <c r="AG46" s="1526"/>
      <c r="AH46" s="1526"/>
      <c r="AI46" s="1526"/>
      <c r="AJ46" s="1526"/>
      <c r="AK46" s="1526"/>
      <c r="AL46" s="1526"/>
      <c r="AM46" s="1526"/>
      <c r="AN46" s="1526"/>
      <c r="AO46" s="1526"/>
      <c r="AP46" s="1526"/>
      <c r="AQ46" s="1526"/>
      <c r="AR46" s="1526"/>
      <c r="AS46" s="1526"/>
      <c r="AT46" s="1526"/>
      <c r="AU46" s="1526"/>
      <c r="AV46" s="1526"/>
      <c r="AW46" s="1526"/>
      <c r="AX46" s="1526"/>
      <c r="AY46" s="1526"/>
      <c r="AZ46" s="1526"/>
      <c r="BA46" s="1526"/>
    </row>
    <row r="47" spans="1:53" x14ac:dyDescent="0.25">
      <c r="A47" s="1526"/>
      <c r="B47" s="1526"/>
      <c r="C47" s="1526"/>
      <c r="D47" s="1526"/>
      <c r="E47" s="1526"/>
      <c r="F47" s="1526"/>
      <c r="G47" s="1526"/>
      <c r="H47" s="1526"/>
      <c r="I47" s="1526"/>
      <c r="J47" s="1526"/>
      <c r="K47" s="1526"/>
      <c r="L47" s="1526"/>
      <c r="M47" s="1526"/>
      <c r="N47" s="1526"/>
      <c r="O47" s="1526"/>
      <c r="P47" s="1526"/>
      <c r="Q47" s="1526"/>
      <c r="R47" s="1526"/>
      <c r="S47" s="1526"/>
      <c r="T47" s="1526"/>
      <c r="U47" s="1526"/>
      <c r="V47" s="1526"/>
      <c r="W47" s="1526"/>
      <c r="X47" s="1526"/>
      <c r="Y47" s="1526"/>
      <c r="Z47" s="1526"/>
      <c r="AA47" s="1526"/>
      <c r="AB47" s="1526"/>
      <c r="AC47" s="1526"/>
      <c r="AD47" s="1526"/>
      <c r="AE47" s="1526"/>
      <c r="AF47" s="1526"/>
      <c r="AG47" s="1526"/>
      <c r="AH47" s="1526"/>
      <c r="AI47" s="1526"/>
      <c r="AJ47" s="1526"/>
      <c r="AK47" s="1526"/>
      <c r="AL47" s="1526"/>
      <c r="AM47" s="1526"/>
      <c r="AN47" s="1526"/>
      <c r="AO47" s="1526"/>
      <c r="AP47" s="1526"/>
      <c r="AQ47" s="1526"/>
      <c r="AR47" s="1526"/>
      <c r="AS47" s="1526"/>
      <c r="AT47" s="1526"/>
      <c r="AU47" s="1526"/>
      <c r="AV47" s="1526"/>
      <c r="AW47" s="1526"/>
      <c r="AX47" s="1526"/>
      <c r="AY47" s="1526"/>
      <c r="AZ47" s="1526"/>
      <c r="BA47" s="1526"/>
    </row>
    <row r="48" spans="1:53" x14ac:dyDescent="0.25">
      <c r="A48" s="1526"/>
      <c r="B48" s="1526"/>
      <c r="C48" s="1526"/>
      <c r="D48" s="1526"/>
      <c r="E48" s="1526"/>
      <c r="F48" s="1526"/>
      <c r="G48" s="1526"/>
      <c r="H48" s="1526"/>
      <c r="I48" s="1526"/>
      <c r="J48" s="1526"/>
      <c r="K48" s="1526"/>
      <c r="L48" s="1526"/>
      <c r="M48" s="1526"/>
      <c r="N48" s="1526"/>
      <c r="O48" s="1526"/>
      <c r="P48" s="1526"/>
      <c r="Q48" s="1526"/>
      <c r="R48" s="1526"/>
      <c r="S48" s="1526"/>
      <c r="T48" s="1526"/>
      <c r="U48" s="1526"/>
      <c r="V48" s="1526"/>
      <c r="W48" s="1526"/>
      <c r="X48" s="1526"/>
      <c r="Y48" s="1526"/>
      <c r="Z48" s="1526"/>
      <c r="AA48" s="1526"/>
      <c r="AB48" s="1526"/>
      <c r="AC48" s="1526"/>
      <c r="AD48" s="1526"/>
      <c r="AE48" s="1526"/>
      <c r="AF48" s="1526"/>
      <c r="AG48" s="1526"/>
      <c r="AH48" s="1526"/>
      <c r="AI48" s="1526"/>
      <c r="AJ48" s="1526"/>
      <c r="AK48" s="1526"/>
      <c r="AL48" s="1526"/>
      <c r="AM48" s="1526"/>
      <c r="AN48" s="1526"/>
      <c r="AO48" s="1526"/>
      <c r="AP48" s="1526"/>
      <c r="AQ48" s="1526"/>
      <c r="AR48" s="1526"/>
      <c r="AS48" s="1526"/>
      <c r="AT48" s="1526"/>
      <c r="AU48" s="1526"/>
      <c r="AV48" s="1526"/>
      <c r="AW48" s="1526"/>
      <c r="AX48" s="1526"/>
      <c r="AY48" s="1526"/>
      <c r="AZ48" s="1526"/>
      <c r="BA48" s="1526"/>
    </row>
    <row r="49" spans="1:53" x14ac:dyDescent="0.25">
      <c r="A49" s="1526"/>
      <c r="B49" s="1526"/>
      <c r="C49" s="1526"/>
      <c r="D49" s="1526"/>
      <c r="E49" s="1526"/>
      <c r="F49" s="1526"/>
      <c r="G49" s="1526"/>
      <c r="H49" s="1526"/>
      <c r="I49" s="1526"/>
      <c r="J49" s="1526"/>
      <c r="K49" s="1526"/>
      <c r="L49" s="1526"/>
      <c r="M49" s="1526"/>
      <c r="N49" s="1526"/>
      <c r="O49" s="1526"/>
      <c r="P49" s="1526"/>
      <c r="Q49" s="1526"/>
      <c r="R49" s="1526"/>
      <c r="S49" s="1526"/>
      <c r="T49" s="1526"/>
      <c r="U49" s="1526"/>
      <c r="V49" s="1526"/>
      <c r="W49" s="1526"/>
      <c r="X49" s="1526"/>
      <c r="Y49" s="1526"/>
      <c r="Z49" s="1526"/>
      <c r="AA49" s="1526"/>
      <c r="AB49" s="1526"/>
      <c r="AC49" s="1526"/>
      <c r="AD49" s="1526"/>
      <c r="AE49" s="1526"/>
      <c r="AF49" s="1526"/>
      <c r="AG49" s="1526"/>
      <c r="AH49" s="1526"/>
      <c r="AI49" s="1526"/>
      <c r="AJ49" s="1526"/>
      <c r="AK49" s="1526"/>
      <c r="AL49" s="1526"/>
      <c r="AM49" s="1526"/>
      <c r="AN49" s="1526"/>
      <c r="AO49" s="1526"/>
      <c r="AP49" s="1526"/>
      <c r="AQ49" s="1526"/>
      <c r="AR49" s="1526"/>
      <c r="AS49" s="1526"/>
      <c r="AT49" s="1526"/>
      <c r="AU49" s="1526"/>
      <c r="AV49" s="1526"/>
      <c r="AW49" s="1526"/>
      <c r="AX49" s="1526"/>
      <c r="AY49" s="1526"/>
      <c r="AZ49" s="1526"/>
      <c r="BA49" s="1526"/>
    </row>
    <row r="50" spans="1:53" x14ac:dyDescent="0.25">
      <c r="A50" s="1526"/>
      <c r="B50" s="1526"/>
      <c r="C50" s="1526"/>
      <c r="D50" s="1526"/>
      <c r="E50" s="1526"/>
      <c r="F50" s="1526"/>
      <c r="G50" s="1526"/>
      <c r="H50" s="1526"/>
      <c r="I50" s="1526"/>
      <c r="J50" s="1526"/>
      <c r="K50" s="1526"/>
      <c r="L50" s="1526"/>
      <c r="M50" s="1526"/>
      <c r="N50" s="1526"/>
      <c r="O50" s="1526"/>
      <c r="P50" s="1526"/>
      <c r="Q50" s="1526"/>
      <c r="R50" s="1526"/>
      <c r="S50" s="1526"/>
      <c r="T50" s="1526"/>
      <c r="U50" s="1526"/>
      <c r="V50" s="1526"/>
      <c r="W50" s="1526"/>
      <c r="X50" s="1526"/>
      <c r="Y50" s="1526"/>
      <c r="Z50" s="1526"/>
      <c r="AA50" s="1526"/>
      <c r="AB50" s="1526"/>
      <c r="AC50" s="1526"/>
      <c r="AD50" s="1526"/>
      <c r="AE50" s="1526"/>
      <c r="AF50" s="1526"/>
      <c r="AG50" s="1526"/>
      <c r="AH50" s="1526"/>
      <c r="AI50" s="1526"/>
      <c r="AJ50" s="1526"/>
      <c r="AK50" s="1526"/>
      <c r="AL50" s="1526"/>
      <c r="AM50" s="1526"/>
      <c r="AN50" s="1526"/>
      <c r="AO50" s="1526"/>
      <c r="AP50" s="1526"/>
      <c r="AQ50" s="1526"/>
      <c r="AR50" s="1526"/>
      <c r="AS50" s="1526"/>
      <c r="AT50" s="1526"/>
      <c r="AU50" s="1526"/>
      <c r="AV50" s="1526"/>
      <c r="AW50" s="1526"/>
      <c r="AX50" s="1526"/>
      <c r="AY50" s="1526"/>
      <c r="AZ50" s="1526"/>
      <c r="BA50" s="1526"/>
    </row>
    <row r="51" spans="1:53" x14ac:dyDescent="0.25">
      <c r="A51" s="1526"/>
      <c r="B51" s="1526"/>
      <c r="C51" s="1526"/>
      <c r="D51" s="1526"/>
      <c r="E51" s="1526"/>
      <c r="F51" s="1526"/>
      <c r="G51" s="1526"/>
      <c r="H51" s="1526"/>
      <c r="I51" s="1526"/>
      <c r="J51" s="1526"/>
      <c r="K51" s="1526"/>
      <c r="L51" s="1526"/>
      <c r="M51" s="1526"/>
      <c r="N51" s="1526"/>
      <c r="O51" s="1526"/>
      <c r="P51" s="1526"/>
      <c r="Q51" s="1526"/>
      <c r="R51" s="1526"/>
      <c r="S51" s="1526"/>
      <c r="T51" s="1526"/>
      <c r="U51" s="1526"/>
      <c r="V51" s="1526"/>
      <c r="W51" s="1526"/>
      <c r="X51" s="1526"/>
      <c r="Y51" s="1526"/>
      <c r="Z51" s="1526"/>
      <c r="AA51" s="1526"/>
      <c r="AB51" s="1526"/>
      <c r="AC51" s="1526"/>
      <c r="AD51" s="1526"/>
      <c r="AE51" s="1526"/>
      <c r="AF51" s="1526"/>
      <c r="AG51" s="1526"/>
      <c r="AH51" s="1526"/>
      <c r="AI51" s="1526"/>
      <c r="AJ51" s="1526"/>
      <c r="AK51" s="1526"/>
      <c r="AL51" s="1526"/>
      <c r="AM51" s="1526"/>
      <c r="AN51" s="1526"/>
      <c r="AO51" s="1526"/>
      <c r="AP51" s="1526"/>
      <c r="AQ51" s="1526"/>
      <c r="AR51" s="1526"/>
      <c r="AS51" s="1526"/>
      <c r="AT51" s="1526"/>
      <c r="AU51" s="1526"/>
      <c r="AV51" s="1526"/>
      <c r="AW51" s="1526"/>
      <c r="AX51" s="1526"/>
      <c r="AY51" s="1526"/>
      <c r="AZ51" s="1526"/>
      <c r="BA51" s="1526"/>
    </row>
    <row r="52" spans="1:53" x14ac:dyDescent="0.25">
      <c r="A52" s="1526"/>
      <c r="B52" s="1526"/>
      <c r="C52" s="1526"/>
      <c r="D52" s="1526"/>
      <c r="E52" s="1526"/>
      <c r="F52" s="1526"/>
      <c r="G52" s="1526"/>
      <c r="H52" s="1526"/>
      <c r="I52" s="1526"/>
      <c r="J52" s="1526"/>
      <c r="K52" s="1526"/>
      <c r="L52" s="1526"/>
      <c r="M52" s="1526"/>
      <c r="N52" s="1526"/>
      <c r="O52" s="1526"/>
      <c r="P52" s="1526"/>
      <c r="Q52" s="1526"/>
      <c r="R52" s="1526"/>
      <c r="S52" s="1526"/>
      <c r="T52" s="1526"/>
      <c r="U52" s="1526"/>
      <c r="V52" s="1526"/>
      <c r="W52" s="1526"/>
      <c r="X52" s="1526"/>
      <c r="Y52" s="1526"/>
      <c r="Z52" s="1526"/>
      <c r="AA52" s="1526"/>
      <c r="AB52" s="1526"/>
      <c r="AC52" s="1526"/>
      <c r="AD52" s="1526"/>
      <c r="AE52" s="1526"/>
      <c r="AF52" s="1526"/>
      <c r="AG52" s="1526"/>
      <c r="AH52" s="1526"/>
      <c r="AI52" s="1526"/>
      <c r="AJ52" s="1526"/>
      <c r="AK52" s="1526"/>
      <c r="AL52" s="1526"/>
      <c r="AM52" s="1526"/>
      <c r="AN52" s="1526"/>
      <c r="AO52" s="1526"/>
      <c r="AP52" s="1526"/>
      <c r="AQ52" s="1526"/>
      <c r="AR52" s="1526"/>
      <c r="AS52" s="1526"/>
      <c r="AT52" s="1526"/>
      <c r="AU52" s="1526"/>
      <c r="AV52" s="1526"/>
      <c r="AW52" s="1526"/>
      <c r="AX52" s="1526"/>
      <c r="AY52" s="1526"/>
      <c r="AZ52" s="1526"/>
      <c r="BA52" s="1526"/>
    </row>
    <row r="53" spans="1:53" x14ac:dyDescent="0.25">
      <c r="A53" s="1526"/>
      <c r="B53" s="1526"/>
      <c r="C53" s="1526"/>
      <c r="D53" s="1526"/>
      <c r="E53" s="1526"/>
      <c r="F53" s="1526"/>
      <c r="G53" s="1526"/>
      <c r="H53" s="1526"/>
      <c r="I53" s="1526"/>
      <c r="J53" s="1526"/>
      <c r="K53" s="1526"/>
      <c r="L53" s="1526"/>
      <c r="M53" s="1526"/>
      <c r="N53" s="1526"/>
      <c r="O53" s="1526"/>
      <c r="P53" s="1526"/>
      <c r="Q53" s="1526"/>
      <c r="R53" s="1526"/>
      <c r="S53" s="1526"/>
      <c r="T53" s="1526"/>
      <c r="U53" s="1526"/>
      <c r="V53" s="1526"/>
      <c r="W53" s="1526"/>
      <c r="X53" s="1526"/>
      <c r="Y53" s="1526"/>
      <c r="Z53" s="1526"/>
      <c r="AA53" s="1526"/>
      <c r="AB53" s="1526"/>
      <c r="AC53" s="1526"/>
      <c r="AD53" s="1526"/>
      <c r="AE53" s="1526"/>
      <c r="AF53" s="1526"/>
      <c r="AG53" s="1526"/>
      <c r="AH53" s="1526"/>
      <c r="AI53" s="1526"/>
      <c r="AJ53" s="1526"/>
      <c r="AK53" s="1526"/>
      <c r="AL53" s="1526"/>
      <c r="AM53" s="1526"/>
      <c r="AN53" s="1526"/>
      <c r="AO53" s="1526"/>
      <c r="AP53" s="1526"/>
      <c r="AQ53" s="1526"/>
      <c r="AR53" s="1526"/>
      <c r="AS53" s="1526"/>
      <c r="AT53" s="1526"/>
      <c r="AU53" s="1526"/>
      <c r="AV53" s="1526"/>
      <c r="AW53" s="1526"/>
      <c r="AX53" s="1526"/>
      <c r="AY53" s="1526"/>
      <c r="AZ53" s="1526"/>
      <c r="BA53" s="1526"/>
    </row>
    <row r="54" spans="1:53" x14ac:dyDescent="0.25">
      <c r="A54" s="1526"/>
      <c r="B54" s="1526"/>
      <c r="C54" s="1526"/>
      <c r="D54" s="1526"/>
      <c r="E54" s="1526"/>
      <c r="F54" s="1526"/>
      <c r="G54" s="1526"/>
      <c r="H54" s="1526"/>
      <c r="I54" s="1526"/>
      <c r="J54" s="1526"/>
      <c r="K54" s="1526"/>
      <c r="L54" s="1526"/>
      <c r="M54" s="1526"/>
      <c r="N54" s="1526"/>
      <c r="O54" s="1526"/>
      <c r="P54" s="1526"/>
      <c r="Q54" s="1526"/>
      <c r="R54" s="1526"/>
      <c r="S54" s="1526"/>
      <c r="T54" s="1526"/>
      <c r="U54" s="1526"/>
      <c r="V54" s="1526"/>
      <c r="W54" s="1526"/>
      <c r="X54" s="1526"/>
      <c r="Y54" s="1526"/>
      <c r="Z54" s="1526"/>
      <c r="AA54" s="1526"/>
      <c r="AB54" s="1526"/>
      <c r="AC54" s="1526"/>
      <c r="AD54" s="1526"/>
      <c r="AE54" s="1526"/>
      <c r="AF54" s="1526"/>
      <c r="AG54" s="1526"/>
      <c r="AH54" s="1526"/>
      <c r="AI54" s="1526"/>
      <c r="AJ54" s="1526"/>
      <c r="AK54" s="1526"/>
      <c r="AL54" s="1526"/>
      <c r="AM54" s="1526"/>
      <c r="AN54" s="1526"/>
      <c r="AO54" s="1526"/>
      <c r="AP54" s="1526"/>
      <c r="AQ54" s="1526"/>
      <c r="AR54" s="1526"/>
      <c r="AS54" s="1526"/>
      <c r="AT54" s="1526"/>
      <c r="AU54" s="1526"/>
      <c r="AV54" s="1526"/>
      <c r="AW54" s="1526"/>
      <c r="AX54" s="1526"/>
      <c r="AY54" s="1526"/>
      <c r="AZ54" s="1526"/>
      <c r="BA54" s="1526"/>
    </row>
    <row r="55" spans="1:53" x14ac:dyDescent="0.25">
      <c r="A55" s="1526"/>
      <c r="B55" s="1526"/>
      <c r="C55" s="1526"/>
      <c r="D55" s="1526"/>
      <c r="E55" s="1526"/>
      <c r="F55" s="1526"/>
      <c r="G55" s="1526"/>
      <c r="H55" s="1526"/>
      <c r="I55" s="1526"/>
      <c r="J55" s="1526"/>
      <c r="K55" s="1526"/>
      <c r="L55" s="1526"/>
      <c r="M55" s="1526"/>
      <c r="N55" s="1526"/>
      <c r="O55" s="1526"/>
      <c r="P55" s="1526"/>
      <c r="Q55" s="1526"/>
      <c r="R55" s="1526"/>
      <c r="S55" s="1526"/>
      <c r="T55" s="1526"/>
      <c r="U55" s="1526"/>
      <c r="V55" s="1526"/>
      <c r="W55" s="1526"/>
      <c r="X55" s="1526"/>
      <c r="Y55" s="1526"/>
      <c r="Z55" s="1526"/>
      <c r="AA55" s="1526"/>
      <c r="AB55" s="1526"/>
      <c r="AC55" s="1526"/>
      <c r="AD55" s="1526"/>
      <c r="AE55" s="1526"/>
      <c r="AF55" s="1526"/>
      <c r="AG55" s="1526"/>
      <c r="AH55" s="1526"/>
      <c r="AI55" s="1526"/>
      <c r="AJ55" s="1526"/>
      <c r="AK55" s="1526"/>
      <c r="AL55" s="1526"/>
      <c r="AM55" s="1526"/>
      <c r="AN55" s="1526"/>
      <c r="AO55" s="1526"/>
      <c r="AP55" s="1526"/>
      <c r="AQ55" s="1526"/>
      <c r="AR55" s="1526"/>
      <c r="AS55" s="1526"/>
      <c r="AT55" s="1526"/>
      <c r="AU55" s="1526"/>
      <c r="AV55" s="1526"/>
      <c r="AW55" s="1526"/>
      <c r="AX55" s="1526"/>
      <c r="AY55" s="1526"/>
      <c r="AZ55" s="1526"/>
      <c r="BA55" s="1526"/>
    </row>
    <row r="56" spans="1:53" x14ac:dyDescent="0.25">
      <c r="A56" s="1526"/>
      <c r="B56" s="1526"/>
      <c r="C56" s="1526"/>
      <c r="D56" s="1526"/>
      <c r="E56" s="1526"/>
      <c r="F56" s="1526"/>
      <c r="G56" s="1526"/>
      <c r="H56" s="1526"/>
      <c r="I56" s="1526"/>
      <c r="J56" s="1526"/>
      <c r="K56" s="1526"/>
      <c r="L56" s="1526"/>
      <c r="M56" s="1526"/>
      <c r="N56" s="1526"/>
      <c r="O56" s="1526"/>
      <c r="P56" s="1526"/>
      <c r="Q56" s="1526"/>
      <c r="R56" s="1526"/>
      <c r="S56" s="1526"/>
      <c r="T56" s="1526"/>
      <c r="U56" s="1526"/>
      <c r="V56" s="1526"/>
      <c r="W56" s="1526"/>
      <c r="X56" s="1526"/>
      <c r="Y56" s="1526"/>
      <c r="Z56" s="1526"/>
      <c r="AA56" s="1526"/>
      <c r="AB56" s="1526"/>
      <c r="AC56" s="1526"/>
      <c r="AD56" s="1526"/>
      <c r="AE56" s="1526"/>
      <c r="AF56" s="1526"/>
      <c r="AG56" s="1526"/>
      <c r="AH56" s="1526"/>
      <c r="AI56" s="1526"/>
      <c r="AJ56" s="1526"/>
      <c r="AK56" s="1526"/>
      <c r="AL56" s="1526"/>
      <c r="AM56" s="1526"/>
      <c r="AN56" s="1526"/>
      <c r="AO56" s="1526"/>
      <c r="AP56" s="1526"/>
      <c r="AQ56" s="1526"/>
      <c r="AR56" s="1526"/>
      <c r="AS56" s="1526"/>
      <c r="AT56" s="1526"/>
      <c r="AU56" s="1526"/>
      <c r="AV56" s="1526"/>
      <c r="AW56" s="1526"/>
      <c r="AX56" s="1526"/>
      <c r="AY56" s="1526"/>
      <c r="AZ56" s="1526"/>
      <c r="BA56" s="1526"/>
    </row>
    <row r="57" spans="1:53" x14ac:dyDescent="0.25">
      <c r="A57" s="1526"/>
      <c r="B57" s="1526"/>
      <c r="C57" s="1526"/>
      <c r="D57" s="1526"/>
      <c r="E57" s="1526"/>
      <c r="F57" s="1526"/>
      <c r="G57" s="1526"/>
      <c r="H57" s="1526"/>
      <c r="I57" s="1526"/>
      <c r="J57" s="1526"/>
      <c r="K57" s="1526"/>
      <c r="L57" s="1526"/>
      <c r="M57" s="1526"/>
      <c r="N57" s="1526"/>
      <c r="O57" s="1526"/>
      <c r="P57" s="1526"/>
      <c r="Q57" s="1526"/>
      <c r="R57" s="1526"/>
      <c r="S57" s="1526"/>
      <c r="T57" s="1526"/>
      <c r="U57" s="1526"/>
      <c r="V57" s="1526"/>
      <c r="W57" s="1526"/>
      <c r="X57" s="1526"/>
      <c r="Y57" s="1526"/>
      <c r="Z57" s="1526"/>
      <c r="AA57" s="1526"/>
      <c r="AB57" s="1526"/>
      <c r="AC57" s="1526"/>
      <c r="AD57" s="1526"/>
      <c r="AE57" s="1526"/>
      <c r="AF57" s="1526"/>
      <c r="AG57" s="1526"/>
      <c r="AH57" s="1526"/>
      <c r="AI57" s="1526"/>
      <c r="AJ57" s="1526"/>
      <c r="AK57" s="1526"/>
      <c r="AL57" s="1526"/>
      <c r="AM57" s="1526"/>
      <c r="AN57" s="1526"/>
      <c r="AO57" s="1526"/>
      <c r="AP57" s="1526"/>
      <c r="AQ57" s="1526"/>
      <c r="AR57" s="1526"/>
      <c r="AS57" s="1526"/>
      <c r="AT57" s="1526"/>
      <c r="AU57" s="1526"/>
      <c r="AV57" s="1526"/>
      <c r="AW57" s="1526"/>
      <c r="AX57" s="1526"/>
      <c r="AY57" s="1526"/>
      <c r="AZ57" s="1526"/>
      <c r="BA57" s="1526"/>
    </row>
    <row r="58" spans="1:53" x14ac:dyDescent="0.25">
      <c r="A58" s="1526"/>
      <c r="B58" s="1526"/>
      <c r="C58" s="1526"/>
      <c r="D58" s="1526"/>
      <c r="E58" s="1526"/>
      <c r="F58" s="1526"/>
      <c r="G58" s="1526"/>
      <c r="H58" s="1526"/>
      <c r="I58" s="1526"/>
      <c r="J58" s="1526"/>
      <c r="K58" s="1526"/>
      <c r="L58" s="1526"/>
      <c r="M58" s="1526"/>
      <c r="N58" s="1526"/>
      <c r="O58" s="1526"/>
      <c r="P58" s="1526"/>
      <c r="Q58" s="1526"/>
      <c r="R58" s="1526"/>
      <c r="S58" s="1526"/>
      <c r="T58" s="1526"/>
      <c r="U58" s="1526"/>
      <c r="V58" s="1526"/>
      <c r="W58" s="1526"/>
      <c r="X58" s="1526"/>
      <c r="Y58" s="1526"/>
      <c r="Z58" s="1526"/>
      <c r="AA58" s="1526"/>
      <c r="AB58" s="1526"/>
      <c r="AC58" s="1526"/>
      <c r="AD58" s="1526"/>
      <c r="AE58" s="1526"/>
      <c r="AF58" s="1526"/>
      <c r="AG58" s="1526"/>
      <c r="AH58" s="1526"/>
      <c r="AI58" s="1526"/>
      <c r="AJ58" s="1526"/>
      <c r="AK58" s="1526"/>
      <c r="AL58" s="1526"/>
      <c r="AM58" s="1526"/>
      <c r="AN58" s="1526"/>
      <c r="AO58" s="1526"/>
      <c r="AP58" s="1526"/>
      <c r="AQ58" s="1526"/>
      <c r="AR58" s="1526"/>
      <c r="AS58" s="1526"/>
      <c r="AT58" s="1526"/>
      <c r="AU58" s="1526"/>
      <c r="AV58" s="1526"/>
      <c r="AW58" s="1526"/>
      <c r="AX58" s="1526"/>
      <c r="AY58" s="1526"/>
      <c r="AZ58" s="1526"/>
      <c r="BA58" s="1526"/>
    </row>
    <row r="59" spans="1:53" x14ac:dyDescent="0.25">
      <c r="A59" s="1526"/>
      <c r="B59" s="1526"/>
      <c r="C59" s="1526"/>
      <c r="D59" s="1526"/>
      <c r="E59" s="1526"/>
      <c r="F59" s="1526"/>
      <c r="G59" s="1526"/>
      <c r="H59" s="1526"/>
      <c r="I59" s="1526"/>
      <c r="J59" s="1526"/>
      <c r="K59" s="1526"/>
      <c r="L59" s="1526"/>
      <c r="M59" s="1526"/>
      <c r="N59" s="1526"/>
      <c r="O59" s="1526"/>
      <c r="P59" s="1526"/>
      <c r="Q59" s="1526"/>
      <c r="R59" s="1526"/>
      <c r="S59" s="1526"/>
      <c r="T59" s="1526"/>
      <c r="U59" s="1526"/>
      <c r="V59" s="1526"/>
      <c r="W59" s="1526"/>
      <c r="X59" s="1526"/>
      <c r="Y59" s="1526"/>
      <c r="Z59" s="1526"/>
      <c r="AA59" s="1526"/>
      <c r="AB59" s="1526"/>
      <c r="AC59" s="1526"/>
      <c r="AD59" s="1526"/>
      <c r="AE59" s="1526"/>
      <c r="AF59" s="1526"/>
      <c r="AG59" s="1526"/>
      <c r="AH59" s="1526"/>
      <c r="AI59" s="1526"/>
      <c r="AJ59" s="1526"/>
      <c r="AK59" s="1526"/>
      <c r="AL59" s="1526"/>
      <c r="AM59" s="1526"/>
      <c r="AN59" s="1526"/>
      <c r="AO59" s="1526"/>
      <c r="AP59" s="1526"/>
      <c r="AQ59" s="1526"/>
      <c r="AR59" s="1526"/>
      <c r="AS59" s="1526"/>
      <c r="AT59" s="1526"/>
      <c r="AU59" s="1526"/>
      <c r="AV59" s="1526"/>
      <c r="AW59" s="1526"/>
      <c r="AX59" s="1526"/>
      <c r="AY59" s="1526"/>
      <c r="AZ59" s="1526"/>
      <c r="BA59" s="1526"/>
    </row>
    <row r="60" spans="1:53" x14ac:dyDescent="0.25">
      <c r="A60" s="1526"/>
      <c r="B60" s="1526"/>
      <c r="C60" s="1526"/>
      <c r="D60" s="1526"/>
      <c r="E60" s="1526"/>
      <c r="F60" s="1526"/>
      <c r="G60" s="1526"/>
      <c r="H60" s="1526"/>
      <c r="I60" s="1526"/>
      <c r="J60" s="1526"/>
      <c r="K60" s="1526"/>
      <c r="L60" s="1526"/>
      <c r="M60" s="1526"/>
      <c r="N60" s="1526"/>
      <c r="O60" s="1526"/>
      <c r="P60" s="1526"/>
      <c r="Q60" s="1526"/>
      <c r="R60" s="1526"/>
      <c r="S60" s="1526"/>
      <c r="T60" s="1526"/>
      <c r="U60" s="1526"/>
      <c r="V60" s="1526"/>
      <c r="W60" s="1526"/>
      <c r="X60" s="1526"/>
      <c r="Y60" s="1526"/>
      <c r="Z60" s="1526"/>
      <c r="AA60" s="1526"/>
      <c r="AB60" s="1526"/>
      <c r="AC60" s="1526"/>
      <c r="AD60" s="1526"/>
      <c r="AE60" s="1526"/>
      <c r="AF60" s="1526"/>
      <c r="AG60" s="1526"/>
      <c r="AH60" s="1526"/>
      <c r="AI60" s="1526"/>
      <c r="AJ60" s="1526"/>
      <c r="AK60" s="1526"/>
      <c r="AL60" s="1526"/>
      <c r="AM60" s="1526"/>
      <c r="AN60" s="1526"/>
      <c r="AO60" s="1526"/>
      <c r="AP60" s="1526"/>
      <c r="AQ60" s="1526"/>
      <c r="AR60" s="1526"/>
      <c r="AS60" s="1526"/>
      <c r="AT60" s="1526"/>
      <c r="AU60" s="1526"/>
      <c r="AV60" s="1526"/>
      <c r="AW60" s="1526"/>
      <c r="AX60" s="1526"/>
      <c r="AY60" s="1526"/>
      <c r="AZ60" s="1526"/>
      <c r="BA60" s="1526"/>
    </row>
    <row r="61" spans="1:53" x14ac:dyDescent="0.25">
      <c r="A61" s="1526"/>
      <c r="B61" s="1526"/>
      <c r="C61" s="1526"/>
      <c r="D61" s="1526"/>
      <c r="E61" s="1526"/>
      <c r="F61" s="1526"/>
      <c r="G61" s="1526"/>
      <c r="H61" s="1526"/>
      <c r="I61" s="1526"/>
      <c r="J61" s="1526"/>
      <c r="K61" s="1526"/>
      <c r="L61" s="1526"/>
      <c r="M61" s="1526"/>
      <c r="N61" s="1526"/>
      <c r="O61" s="1526"/>
      <c r="P61" s="1526"/>
      <c r="Q61" s="1526"/>
      <c r="R61" s="1526"/>
      <c r="S61" s="1526"/>
      <c r="T61" s="1526"/>
      <c r="U61" s="1526"/>
      <c r="V61" s="1526"/>
      <c r="W61" s="1526"/>
      <c r="X61" s="1526"/>
      <c r="Y61" s="1526"/>
      <c r="Z61" s="1526"/>
      <c r="AA61" s="1526"/>
      <c r="AB61" s="1526"/>
      <c r="AC61" s="1526"/>
      <c r="AD61" s="1526"/>
      <c r="AE61" s="1526"/>
      <c r="AF61" s="1526"/>
      <c r="AG61" s="1526"/>
      <c r="AH61" s="1526"/>
      <c r="AI61" s="1526"/>
      <c r="AJ61" s="1526"/>
      <c r="AK61" s="1526"/>
      <c r="AL61" s="1526"/>
      <c r="AM61" s="1526"/>
      <c r="AN61" s="1526"/>
      <c r="AO61" s="1526"/>
      <c r="AP61" s="1526"/>
      <c r="AQ61" s="1526"/>
      <c r="AR61" s="1526"/>
      <c r="AS61" s="1526"/>
      <c r="AT61" s="1526"/>
      <c r="AU61" s="1526"/>
      <c r="AV61" s="1526"/>
      <c r="AW61" s="1526"/>
      <c r="AX61" s="1526"/>
      <c r="AY61" s="1526"/>
      <c r="AZ61" s="1526"/>
      <c r="BA61" s="1526"/>
    </row>
    <row r="62" spans="1:53" x14ac:dyDescent="0.25">
      <c r="A62" s="1526"/>
      <c r="B62" s="1526"/>
      <c r="C62" s="1526"/>
      <c r="D62" s="1526"/>
      <c r="E62" s="1526"/>
      <c r="F62" s="1526"/>
      <c r="G62" s="1526"/>
      <c r="H62" s="1526"/>
      <c r="I62" s="1526"/>
      <c r="J62" s="1526"/>
      <c r="K62" s="1526"/>
      <c r="L62" s="1526"/>
      <c r="M62" s="1526"/>
      <c r="N62" s="1526"/>
      <c r="O62" s="1526"/>
      <c r="P62" s="1526"/>
      <c r="Q62" s="1526"/>
      <c r="R62" s="1526"/>
      <c r="S62" s="1526"/>
      <c r="T62" s="1526"/>
      <c r="U62" s="1526"/>
      <c r="V62" s="1526"/>
      <c r="W62" s="1526"/>
      <c r="X62" s="1526"/>
      <c r="Y62" s="1526"/>
      <c r="Z62" s="1526"/>
      <c r="AA62" s="1526"/>
      <c r="AB62" s="1526"/>
      <c r="AC62" s="1526"/>
      <c r="AD62" s="1526"/>
      <c r="AE62" s="1526"/>
      <c r="AF62" s="1526"/>
      <c r="AG62" s="1526"/>
      <c r="AH62" s="1526"/>
      <c r="AI62" s="1526"/>
      <c r="AJ62" s="1526"/>
      <c r="AK62" s="1526"/>
      <c r="AL62" s="1526"/>
      <c r="AM62" s="1526"/>
      <c r="AN62" s="1526"/>
      <c r="AO62" s="1526"/>
      <c r="AP62" s="1526"/>
      <c r="AQ62" s="1526"/>
      <c r="AR62" s="1526"/>
      <c r="AS62" s="1526"/>
      <c r="AT62" s="1526"/>
      <c r="AU62" s="1526"/>
      <c r="AV62" s="1526"/>
      <c r="AW62" s="1526"/>
      <c r="AX62" s="1526"/>
      <c r="AY62" s="1526"/>
      <c r="AZ62" s="1526"/>
      <c r="BA62" s="1526"/>
    </row>
    <row r="63" spans="1:53" x14ac:dyDescent="0.25">
      <c r="A63" s="1526"/>
      <c r="B63" s="1526"/>
      <c r="C63" s="1526"/>
      <c r="D63" s="1526"/>
      <c r="E63" s="1526"/>
      <c r="F63" s="1526"/>
      <c r="G63" s="1526"/>
      <c r="H63" s="1526"/>
      <c r="I63" s="1526"/>
      <c r="J63" s="1526"/>
      <c r="K63" s="1526"/>
      <c r="L63" s="1526"/>
      <c r="M63" s="1526"/>
      <c r="N63" s="1526"/>
      <c r="O63" s="1526"/>
      <c r="P63" s="1526"/>
      <c r="Q63" s="1526"/>
      <c r="R63" s="1526"/>
      <c r="S63" s="1526"/>
      <c r="T63" s="1526"/>
      <c r="U63" s="1526"/>
      <c r="V63" s="1526"/>
      <c r="W63" s="1526"/>
      <c r="X63" s="1526"/>
      <c r="Y63" s="1526"/>
      <c r="Z63" s="1526"/>
      <c r="AA63" s="1526"/>
      <c r="AB63" s="1526"/>
      <c r="AC63" s="1526"/>
      <c r="AD63" s="1526"/>
      <c r="AE63" s="1526"/>
      <c r="AF63" s="1526"/>
      <c r="AG63" s="1526"/>
      <c r="AH63" s="1526"/>
      <c r="AI63" s="1526"/>
      <c r="AJ63" s="1526"/>
      <c r="AK63" s="1526"/>
      <c r="AL63" s="1526"/>
      <c r="AM63" s="1526"/>
      <c r="AN63" s="1526"/>
      <c r="AO63" s="1526"/>
      <c r="AP63" s="1526"/>
      <c r="AQ63" s="1526"/>
      <c r="AR63" s="1526"/>
      <c r="AS63" s="1526"/>
      <c r="AT63" s="1526"/>
      <c r="AU63" s="1526"/>
      <c r="AV63" s="1526"/>
      <c r="AW63" s="1526"/>
      <c r="AX63" s="1526"/>
      <c r="AY63" s="1526"/>
      <c r="AZ63" s="1526"/>
      <c r="BA63" s="1526"/>
    </row>
    <row r="64" spans="1:53" x14ac:dyDescent="0.25">
      <c r="A64" s="1526"/>
      <c r="B64" s="1526"/>
      <c r="C64" s="1526"/>
      <c r="D64" s="1526"/>
      <c r="E64" s="1526"/>
      <c r="F64" s="1526"/>
      <c r="G64" s="1526"/>
      <c r="H64" s="1526"/>
      <c r="I64" s="1526"/>
      <c r="J64" s="1526"/>
      <c r="K64" s="1526"/>
      <c r="L64" s="1526"/>
      <c r="M64" s="1526"/>
      <c r="N64" s="1526"/>
      <c r="O64" s="1526"/>
      <c r="P64" s="1526"/>
      <c r="Q64" s="1526"/>
      <c r="R64" s="1526"/>
      <c r="S64" s="1526"/>
      <c r="T64" s="1526"/>
      <c r="U64" s="1526"/>
      <c r="V64" s="1526"/>
      <c r="W64" s="1526"/>
      <c r="X64" s="1526"/>
      <c r="Y64" s="1526"/>
      <c r="Z64" s="1526"/>
      <c r="AA64" s="1526"/>
      <c r="AB64" s="1526"/>
      <c r="AC64" s="1526"/>
      <c r="AD64" s="1526"/>
      <c r="AE64" s="1526"/>
      <c r="AF64" s="1526"/>
      <c r="AG64" s="1526"/>
      <c r="AH64" s="1526"/>
      <c r="AI64" s="1526"/>
      <c r="AJ64" s="1526"/>
      <c r="AK64" s="1526"/>
      <c r="AL64" s="1526"/>
      <c r="AM64" s="1526"/>
      <c r="AN64" s="1526"/>
      <c r="AO64" s="1526"/>
      <c r="AP64" s="1526"/>
      <c r="AQ64" s="1526"/>
      <c r="AR64" s="1526"/>
      <c r="AS64" s="1526"/>
      <c r="AT64" s="1526"/>
      <c r="AU64" s="1526"/>
      <c r="AV64" s="1526"/>
      <c r="AW64" s="1526"/>
      <c r="AX64" s="1526"/>
      <c r="AY64" s="1526"/>
      <c r="AZ64" s="1526"/>
      <c r="BA64" s="1526"/>
    </row>
    <row r="65" spans="1:53" x14ac:dyDescent="0.25">
      <c r="A65" s="1526"/>
      <c r="B65" s="1526"/>
      <c r="C65" s="1526"/>
      <c r="D65" s="1526"/>
      <c r="E65" s="1526"/>
      <c r="F65" s="1526"/>
      <c r="G65" s="1526"/>
      <c r="H65" s="1526"/>
      <c r="I65" s="1526"/>
      <c r="J65" s="1526"/>
      <c r="K65" s="1526"/>
      <c r="L65" s="1526"/>
      <c r="M65" s="1526"/>
      <c r="N65" s="1526"/>
      <c r="O65" s="1526"/>
      <c r="P65" s="1526"/>
      <c r="Q65" s="1526"/>
      <c r="R65" s="1526"/>
      <c r="S65" s="1526"/>
      <c r="T65" s="1526"/>
      <c r="U65" s="1526"/>
      <c r="V65" s="1526"/>
      <c r="W65" s="1526"/>
      <c r="X65" s="1526"/>
      <c r="Y65" s="1526"/>
      <c r="Z65" s="1526"/>
      <c r="AA65" s="1526"/>
      <c r="AB65" s="1526"/>
      <c r="AC65" s="1526"/>
      <c r="AD65" s="1526"/>
      <c r="AE65" s="1526"/>
      <c r="AF65" s="1526"/>
      <c r="AG65" s="1526"/>
      <c r="AH65" s="1526"/>
      <c r="AI65" s="1526"/>
      <c r="AJ65" s="1526"/>
      <c r="AK65" s="1526"/>
      <c r="AL65" s="1526"/>
      <c r="AM65" s="1526"/>
      <c r="AN65" s="1526"/>
      <c r="AO65" s="1526"/>
      <c r="AP65" s="1526"/>
      <c r="AQ65" s="1526"/>
      <c r="AR65" s="1526"/>
      <c r="AS65" s="1526"/>
      <c r="AT65" s="1526"/>
      <c r="AU65" s="1526"/>
      <c r="AV65" s="1526"/>
      <c r="AW65" s="1526"/>
      <c r="AX65" s="1526"/>
      <c r="AY65" s="1526"/>
      <c r="AZ65" s="1526"/>
      <c r="BA65" s="1526"/>
    </row>
    <row r="66" spans="1:53" x14ac:dyDescent="0.25">
      <c r="A66" s="1526"/>
      <c r="B66" s="1526"/>
      <c r="C66" s="1526"/>
      <c r="D66" s="1526"/>
      <c r="E66" s="1526"/>
      <c r="F66" s="1526"/>
      <c r="G66" s="1526"/>
      <c r="H66" s="1526"/>
      <c r="I66" s="1526"/>
      <c r="J66" s="1526"/>
      <c r="K66" s="1526"/>
      <c r="L66" s="1526"/>
      <c r="M66" s="1526"/>
      <c r="N66" s="1526"/>
      <c r="O66" s="1526"/>
      <c r="P66" s="1526"/>
      <c r="Q66" s="1526"/>
      <c r="R66" s="1526"/>
      <c r="S66" s="1526"/>
      <c r="T66" s="1526"/>
      <c r="U66" s="1526"/>
      <c r="V66" s="1526"/>
      <c r="W66" s="1526"/>
      <c r="X66" s="1526"/>
      <c r="Y66" s="1526"/>
      <c r="Z66" s="1526"/>
      <c r="AA66" s="1526"/>
      <c r="AB66" s="1526"/>
      <c r="AC66" s="1526"/>
      <c r="AD66" s="1526"/>
      <c r="AE66" s="1526"/>
      <c r="AF66" s="1526"/>
      <c r="AG66" s="1526"/>
      <c r="AH66" s="1526"/>
      <c r="AI66" s="1526"/>
      <c r="AJ66" s="1526"/>
      <c r="AK66" s="1526"/>
      <c r="AL66" s="1526"/>
      <c r="AM66" s="1526"/>
      <c r="AN66" s="1526"/>
      <c r="AO66" s="1526"/>
      <c r="AP66" s="1526"/>
      <c r="AQ66" s="1526"/>
      <c r="AR66" s="1526"/>
      <c r="AS66" s="1526"/>
      <c r="AT66" s="1526"/>
      <c r="AU66" s="1526"/>
      <c r="AV66" s="1526"/>
      <c r="AW66" s="1526"/>
      <c r="AX66" s="1526"/>
      <c r="AY66" s="1526"/>
      <c r="AZ66" s="1526"/>
      <c r="BA66" s="1526"/>
    </row>
    <row r="67" spans="1:53" x14ac:dyDescent="0.25">
      <c r="A67" s="1526"/>
      <c r="B67" s="1526"/>
      <c r="C67" s="1526"/>
      <c r="D67" s="1526"/>
      <c r="E67" s="1526"/>
      <c r="F67" s="1526"/>
      <c r="G67" s="1526"/>
      <c r="H67" s="1526"/>
      <c r="I67" s="1526"/>
      <c r="J67" s="1526"/>
      <c r="K67" s="1526"/>
      <c r="L67" s="1526"/>
      <c r="M67" s="1526"/>
      <c r="N67" s="1526"/>
      <c r="O67" s="1526"/>
      <c r="P67" s="1526"/>
      <c r="Q67" s="1526"/>
      <c r="R67" s="1526"/>
      <c r="S67" s="1526"/>
      <c r="T67" s="1526"/>
      <c r="U67" s="1526"/>
      <c r="V67" s="1526"/>
      <c r="W67" s="1526"/>
      <c r="X67" s="1526"/>
      <c r="Y67" s="1526"/>
      <c r="Z67" s="1526"/>
      <c r="AA67" s="1526"/>
      <c r="AB67" s="1526"/>
      <c r="AC67" s="1526"/>
      <c r="AD67" s="1526"/>
      <c r="AE67" s="1526"/>
      <c r="AF67" s="1526"/>
      <c r="AG67" s="1526"/>
      <c r="AH67" s="1526"/>
      <c r="AI67" s="1526"/>
      <c r="AJ67" s="1526"/>
      <c r="AK67" s="1526"/>
      <c r="AL67" s="1526"/>
      <c r="AM67" s="1526"/>
      <c r="AN67" s="1526"/>
      <c r="AO67" s="1526"/>
      <c r="AP67" s="1526"/>
      <c r="AQ67" s="1526"/>
      <c r="AR67" s="1526"/>
      <c r="AS67" s="1526"/>
      <c r="AT67" s="1526"/>
      <c r="AU67" s="1526"/>
      <c r="AV67" s="1526"/>
      <c r="AW67" s="1526"/>
      <c r="AX67" s="1526"/>
      <c r="AY67" s="1526"/>
      <c r="AZ67" s="1526"/>
      <c r="BA67" s="1526"/>
    </row>
    <row r="68" spans="1:53" x14ac:dyDescent="0.25">
      <c r="A68" s="1526"/>
      <c r="B68" s="1526"/>
      <c r="C68" s="1526"/>
      <c r="D68" s="1526"/>
      <c r="E68" s="1526"/>
      <c r="F68" s="1526"/>
      <c r="G68" s="1526"/>
      <c r="H68" s="1526"/>
      <c r="I68" s="1526"/>
      <c r="J68" s="1526"/>
      <c r="K68" s="1526"/>
      <c r="L68" s="1526"/>
      <c r="M68" s="1526"/>
      <c r="N68" s="1526"/>
      <c r="O68" s="1526"/>
      <c r="P68" s="1526"/>
      <c r="Q68" s="1526"/>
      <c r="R68" s="1526"/>
      <c r="S68" s="1526"/>
      <c r="T68" s="1526"/>
      <c r="U68" s="1526"/>
      <c r="V68" s="1526"/>
      <c r="W68" s="1526"/>
      <c r="X68" s="1526"/>
      <c r="Y68" s="1526"/>
      <c r="Z68" s="1526"/>
      <c r="AA68" s="1526"/>
      <c r="AB68" s="1526"/>
      <c r="AC68" s="1526"/>
      <c r="AD68" s="1526"/>
      <c r="AE68" s="1526"/>
      <c r="AF68" s="1526"/>
      <c r="AG68" s="1526"/>
      <c r="AH68" s="1526"/>
      <c r="AI68" s="1526"/>
      <c r="AJ68" s="1526"/>
      <c r="AK68" s="1526"/>
      <c r="AL68" s="1526"/>
      <c r="AM68" s="1526"/>
      <c r="AN68" s="1526"/>
      <c r="AO68" s="1526"/>
      <c r="AP68" s="1526"/>
      <c r="AQ68" s="1526"/>
      <c r="AR68" s="1526"/>
      <c r="AS68" s="1526"/>
      <c r="AT68" s="1526"/>
      <c r="AU68" s="1526"/>
      <c r="AV68" s="1526"/>
      <c r="AW68" s="1526"/>
      <c r="AX68" s="1526"/>
      <c r="AY68" s="1526"/>
      <c r="AZ68" s="1526"/>
      <c r="BA68" s="1526"/>
    </row>
    <row r="69" spans="1:53" x14ac:dyDescent="0.25">
      <c r="A69" s="1526"/>
      <c r="B69" s="1526"/>
      <c r="C69" s="1526"/>
      <c r="D69" s="1526"/>
      <c r="E69" s="1526"/>
      <c r="F69" s="1526"/>
      <c r="G69" s="1526"/>
      <c r="H69" s="1526"/>
      <c r="I69" s="1526"/>
      <c r="J69" s="1526"/>
      <c r="K69" s="1526"/>
      <c r="L69" s="1526"/>
      <c r="M69" s="1526"/>
      <c r="N69" s="1526"/>
      <c r="O69" s="1526"/>
      <c r="P69" s="1526"/>
      <c r="Q69" s="1526"/>
      <c r="R69" s="1526"/>
      <c r="S69" s="1526"/>
      <c r="T69" s="1526"/>
      <c r="U69" s="1526"/>
      <c r="V69" s="1526"/>
      <c r="W69" s="1526"/>
      <c r="X69" s="1526"/>
      <c r="Y69" s="1526"/>
      <c r="Z69" s="1526"/>
      <c r="AA69" s="1526"/>
      <c r="AB69" s="1526"/>
      <c r="AC69" s="1526"/>
      <c r="AD69" s="1526"/>
      <c r="AE69" s="1526"/>
      <c r="AF69" s="1526"/>
      <c r="AG69" s="1526"/>
      <c r="AH69" s="1526"/>
      <c r="AI69" s="1526"/>
      <c r="AJ69" s="1526"/>
      <c r="AK69" s="1526"/>
      <c r="AL69" s="1526"/>
      <c r="AM69" s="1526"/>
      <c r="AN69" s="1526"/>
      <c r="AO69" s="1526"/>
      <c r="AP69" s="1526"/>
      <c r="AQ69" s="1526"/>
      <c r="AR69" s="1526"/>
      <c r="AS69" s="1526"/>
      <c r="AT69" s="1526"/>
      <c r="AU69" s="1526"/>
      <c r="AV69" s="1526"/>
      <c r="AW69" s="1526"/>
      <c r="AX69" s="1526"/>
      <c r="AY69" s="1526"/>
      <c r="AZ69" s="1526"/>
      <c r="BA69" s="1526"/>
    </row>
    <row r="70" spans="1:53" x14ac:dyDescent="0.25">
      <c r="A70" s="1526"/>
      <c r="B70" s="1526"/>
      <c r="C70" s="1526"/>
      <c r="D70" s="1526"/>
      <c r="E70" s="1526"/>
      <c r="F70" s="1526"/>
      <c r="G70" s="1526"/>
      <c r="H70" s="1526"/>
      <c r="I70" s="1526"/>
      <c r="J70" s="1526"/>
      <c r="K70" s="1526"/>
      <c r="L70" s="1526"/>
      <c r="M70" s="1526"/>
      <c r="N70" s="1526"/>
      <c r="O70" s="1526"/>
      <c r="P70" s="1526"/>
      <c r="Q70" s="1526"/>
      <c r="R70" s="1526"/>
      <c r="S70" s="1526"/>
      <c r="T70" s="1526"/>
      <c r="U70" s="1526"/>
      <c r="V70" s="1526"/>
      <c r="W70" s="1526"/>
      <c r="X70" s="1526"/>
      <c r="Y70" s="1526"/>
      <c r="Z70" s="1526"/>
      <c r="AA70" s="1526"/>
      <c r="AB70" s="1526"/>
      <c r="AC70" s="1526"/>
      <c r="AD70" s="1526"/>
      <c r="AE70" s="1526"/>
      <c r="AF70" s="1526"/>
      <c r="AG70" s="1526"/>
      <c r="AH70" s="1526"/>
      <c r="AI70" s="1526"/>
      <c r="AJ70" s="1526"/>
      <c r="AK70" s="1526"/>
      <c r="AL70" s="1526"/>
      <c r="AM70" s="1526"/>
      <c r="AN70" s="1526"/>
      <c r="AO70" s="1526"/>
      <c r="AP70" s="1526"/>
      <c r="AQ70" s="1526"/>
      <c r="AR70" s="1526"/>
      <c r="AS70" s="1526"/>
      <c r="AT70" s="1526"/>
      <c r="AU70" s="1526"/>
      <c r="AV70" s="1526"/>
      <c r="AW70" s="1526"/>
      <c r="AX70" s="1526"/>
      <c r="AY70" s="1526"/>
      <c r="AZ70" s="1526"/>
      <c r="BA70" s="1526"/>
    </row>
    <row r="71" spans="1:53" x14ac:dyDescent="0.25">
      <c r="A71" s="1526"/>
      <c r="B71" s="1526"/>
      <c r="C71" s="1526"/>
      <c r="D71" s="1526"/>
      <c r="E71" s="1526"/>
      <c r="F71" s="1526"/>
      <c r="G71" s="1526"/>
      <c r="H71" s="1526"/>
      <c r="I71" s="1526"/>
      <c r="J71" s="1526"/>
      <c r="K71" s="1526"/>
      <c r="L71" s="1526"/>
      <c r="M71" s="1526"/>
      <c r="N71" s="1526"/>
      <c r="O71" s="1526"/>
      <c r="P71" s="1526"/>
      <c r="Q71" s="1526"/>
      <c r="R71" s="1526"/>
      <c r="S71" s="1526"/>
      <c r="T71" s="1526"/>
      <c r="U71" s="1526"/>
      <c r="V71" s="1526"/>
      <c r="W71" s="1526"/>
      <c r="X71" s="1526"/>
      <c r="Y71" s="1526"/>
      <c r="Z71" s="1526"/>
      <c r="AA71" s="1526"/>
      <c r="AB71" s="1526"/>
      <c r="AC71" s="1526"/>
      <c r="AD71" s="1526"/>
      <c r="AE71" s="1526"/>
      <c r="AF71" s="1526"/>
      <c r="AG71" s="1526"/>
      <c r="AH71" s="1526"/>
      <c r="AI71" s="1526"/>
      <c r="AJ71" s="1526"/>
      <c r="AK71" s="1526"/>
      <c r="AL71" s="1526"/>
      <c r="AM71" s="1526"/>
      <c r="AN71" s="1526"/>
      <c r="AO71" s="1526"/>
      <c r="AP71" s="1526"/>
      <c r="AQ71" s="1526"/>
      <c r="AR71" s="1526"/>
      <c r="AS71" s="1526"/>
      <c r="AT71" s="1526"/>
      <c r="AU71" s="1526"/>
      <c r="AV71" s="1526"/>
      <c r="AW71" s="1526"/>
      <c r="AX71" s="1526"/>
      <c r="AY71" s="1526"/>
      <c r="AZ71" s="1526"/>
      <c r="BA71" s="1526"/>
    </row>
    <row r="72" spans="1:53" x14ac:dyDescent="0.25">
      <c r="A72" s="1526"/>
      <c r="B72" s="1526"/>
      <c r="C72" s="1526"/>
      <c r="D72" s="1526"/>
      <c r="E72" s="1526"/>
      <c r="F72" s="1526"/>
      <c r="G72" s="1526"/>
      <c r="H72" s="1526"/>
      <c r="I72" s="1526"/>
      <c r="J72" s="1526"/>
      <c r="K72" s="1526"/>
      <c r="L72" s="1526"/>
      <c r="M72" s="1526"/>
      <c r="N72" s="1526"/>
      <c r="O72" s="1526"/>
      <c r="P72" s="1526"/>
      <c r="Q72" s="1526"/>
      <c r="R72" s="1526"/>
      <c r="S72" s="1526"/>
      <c r="T72" s="1526"/>
      <c r="U72" s="1526"/>
      <c r="V72" s="1526"/>
      <c r="W72" s="1526"/>
      <c r="X72" s="1526"/>
      <c r="Y72" s="1526"/>
      <c r="Z72" s="1526"/>
      <c r="AA72" s="1526"/>
      <c r="AB72" s="1526"/>
      <c r="AC72" s="1526"/>
      <c r="AD72" s="1526"/>
      <c r="AE72" s="1526"/>
      <c r="AF72" s="1526"/>
      <c r="AG72" s="1526"/>
      <c r="AH72" s="1526"/>
      <c r="AI72" s="1526"/>
      <c r="AJ72" s="1526"/>
      <c r="AK72" s="1526"/>
      <c r="AL72" s="1526"/>
      <c r="AM72" s="1526"/>
      <c r="AN72" s="1526"/>
      <c r="AO72" s="1526"/>
      <c r="AP72" s="1526"/>
      <c r="AQ72" s="1526"/>
      <c r="AR72" s="1526"/>
      <c r="AS72" s="1526"/>
      <c r="AT72" s="1526"/>
      <c r="AU72" s="1526"/>
      <c r="AV72" s="1526"/>
      <c r="AW72" s="1526"/>
      <c r="AX72" s="1526"/>
      <c r="AY72" s="1526"/>
      <c r="AZ72" s="1526"/>
      <c r="BA72" s="1526"/>
    </row>
    <row r="73" spans="1:53" x14ac:dyDescent="0.25">
      <c r="N73" s="1526"/>
      <c r="W73" s="1526"/>
      <c r="X73" s="1526"/>
      <c r="Z73" s="1526"/>
      <c r="AA73" s="1526"/>
      <c r="AB73" s="1526"/>
      <c r="AC73" s="1526"/>
      <c r="AD73" s="1526"/>
    </row>
    <row r="74" spans="1:53" x14ac:dyDescent="0.25">
      <c r="N74" s="1526"/>
      <c r="W74" s="1526"/>
      <c r="X74" s="1526"/>
      <c r="Z74" s="1526"/>
      <c r="AA74" s="1526"/>
      <c r="AB74" s="1526"/>
      <c r="AC74" s="1526"/>
      <c r="AD74" s="1526"/>
    </row>
    <row r="75" spans="1:53" x14ac:dyDescent="0.25">
      <c r="N75" s="1526"/>
      <c r="W75" s="1526"/>
      <c r="X75" s="1526"/>
      <c r="Z75" s="1526"/>
      <c r="AA75" s="1526"/>
      <c r="AB75" s="1526"/>
      <c r="AC75" s="1526"/>
      <c r="AD75" s="1526"/>
    </row>
  </sheetData>
  <mergeCells count="9">
    <mergeCell ref="H13:J13"/>
    <mergeCell ref="H14:J14"/>
    <mergeCell ref="G5:J5"/>
    <mergeCell ref="G6:J6"/>
    <mergeCell ref="G7:J7"/>
    <mergeCell ref="G8:J8"/>
    <mergeCell ref="H11:J11"/>
    <mergeCell ref="H12:J12"/>
    <mergeCell ref="G9:J9"/>
  </mergeCells>
  <phoneticPr fontId="129" type="noConversion"/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68F54-1677-484C-97D7-E51C44F7C4D0}">
  <sheetPr codeName="Sheet20">
    <tabColor rgb="FFC00000"/>
  </sheetPr>
  <dimension ref="C3:P1930"/>
  <sheetViews>
    <sheetView workbookViewId="0">
      <selection activeCell="J31" sqref="J31"/>
    </sheetView>
  </sheetViews>
  <sheetFormatPr defaultRowHeight="15" x14ac:dyDescent="0.25"/>
  <cols>
    <col min="1" max="2" width="1.42578125" customWidth="1"/>
    <col min="3" max="3" width="5.5703125" bestFit="1" customWidth="1"/>
    <col min="4" max="4" width="13.7109375" bestFit="1" customWidth="1"/>
    <col min="5" max="5" width="81.140625" bestFit="1" customWidth="1"/>
    <col min="6" max="6" width="63.85546875" bestFit="1" customWidth="1"/>
    <col min="7" max="7" width="12.85546875" bestFit="1" customWidth="1"/>
    <col min="8" max="8" width="10.5703125" bestFit="1" customWidth="1"/>
    <col min="9" max="9" width="14" bestFit="1" customWidth="1"/>
    <col min="10" max="10" width="36.28515625" style="394" bestFit="1" customWidth="1"/>
    <col min="11" max="11" width="22.42578125" style="394" bestFit="1" customWidth="1"/>
    <col min="12" max="12" width="40.7109375" style="394" customWidth="1"/>
    <col min="13" max="13" width="81.140625" style="394" bestFit="1" customWidth="1"/>
    <col min="14" max="14" width="44.28515625" style="394" bestFit="1" customWidth="1"/>
    <col min="15" max="15" width="63.85546875" style="394" bestFit="1" customWidth="1"/>
    <col min="16" max="16" width="11.140625" bestFit="1" customWidth="1"/>
  </cols>
  <sheetData>
    <row r="3" spans="3:16" x14ac:dyDescent="0.25">
      <c r="E3" t="s">
        <v>9529</v>
      </c>
    </row>
    <row r="6" spans="3:16" x14ac:dyDescent="0.25">
      <c r="C6" t="s">
        <v>573</v>
      </c>
      <c r="D6" t="s">
        <v>4325</v>
      </c>
      <c r="E6" t="s">
        <v>17</v>
      </c>
      <c r="F6" t="s">
        <v>744</v>
      </c>
      <c r="G6" t="s">
        <v>837</v>
      </c>
      <c r="H6" t="s">
        <v>133</v>
      </c>
      <c r="I6" t="s">
        <v>4583</v>
      </c>
      <c r="J6" t="s">
        <v>935</v>
      </c>
      <c r="K6" s="15" t="s">
        <v>895</v>
      </c>
      <c r="L6" t="s">
        <v>7829</v>
      </c>
      <c r="M6" t="s">
        <v>9543</v>
      </c>
      <c r="N6" t="s">
        <v>9544</v>
      </c>
      <c r="O6" t="s">
        <v>11243</v>
      </c>
      <c r="P6" t="s">
        <v>130</v>
      </c>
    </row>
    <row r="7" spans="3:16" x14ac:dyDescent="0.25">
      <c r="C7" s="614">
        <v>1</v>
      </c>
      <c r="D7" s="614">
        <v>12213</v>
      </c>
      <c r="E7" s="64" t="s">
        <v>2198</v>
      </c>
      <c r="F7" s="64" t="s">
        <v>4584</v>
      </c>
      <c r="G7" s="614" t="s">
        <v>31</v>
      </c>
      <c r="H7" s="614" t="s">
        <v>681</v>
      </c>
      <c r="I7" s="614" t="s">
        <v>1153</v>
      </c>
      <c r="J7" s="64" t="s">
        <v>2905</v>
      </c>
      <c r="K7" s="1940" t="s">
        <v>4585</v>
      </c>
      <c r="L7" s="1940" t="s">
        <v>7830</v>
      </c>
      <c r="M7" t="s">
        <v>11244</v>
      </c>
      <c r="N7" t="s">
        <v>9545</v>
      </c>
      <c r="O7" t="s">
        <v>4584</v>
      </c>
      <c r="P7" s="614">
        <f>COUNTIF(EducPlans_кодНАЦИД_Спец[аФакСец],EducPlans_кодНАЦИД_Спец[[#This Row],[аФакСец]])</f>
        <v>1</v>
      </c>
    </row>
    <row r="8" spans="3:16" x14ac:dyDescent="0.25">
      <c r="C8" s="614">
        <v>2</v>
      </c>
      <c r="D8" s="614">
        <v>11004</v>
      </c>
      <c r="E8" s="64" t="s">
        <v>1715</v>
      </c>
      <c r="F8" s="64" t="s">
        <v>4586</v>
      </c>
      <c r="G8" s="614" t="s">
        <v>35</v>
      </c>
      <c r="H8" s="614" t="s">
        <v>682</v>
      </c>
      <c r="I8" s="614" t="s">
        <v>1149</v>
      </c>
      <c r="J8" s="64" t="s">
        <v>3972</v>
      </c>
      <c r="K8" s="1940" t="s">
        <v>4587</v>
      </c>
      <c r="L8" s="1940" t="s">
        <v>7831</v>
      </c>
      <c r="M8" t="s">
        <v>11245</v>
      </c>
      <c r="N8" t="s">
        <v>9546</v>
      </c>
      <c r="O8" t="s">
        <v>4586</v>
      </c>
      <c r="P8" s="614">
        <f>COUNTIF(EducPlans_кодНАЦИД_Спец[аФакСец],EducPlans_кодНАЦИД_Спец[[#This Row],[аФакСец]])</f>
        <v>1</v>
      </c>
    </row>
    <row r="9" spans="3:16" x14ac:dyDescent="0.25">
      <c r="C9" s="614">
        <v>3</v>
      </c>
      <c r="D9" s="614">
        <v>11004</v>
      </c>
      <c r="E9" s="64" t="s">
        <v>1715</v>
      </c>
      <c r="F9" s="64" t="s">
        <v>4588</v>
      </c>
      <c r="G9" s="614" t="s">
        <v>35</v>
      </c>
      <c r="H9" s="614" t="s">
        <v>682</v>
      </c>
      <c r="I9" s="614" t="s">
        <v>1149</v>
      </c>
      <c r="J9" s="64" t="s">
        <v>3971</v>
      </c>
      <c r="K9" s="1940" t="s">
        <v>4587</v>
      </c>
      <c r="L9" s="1940" t="s">
        <v>7832</v>
      </c>
      <c r="M9" t="s">
        <v>11246</v>
      </c>
      <c r="N9" t="s">
        <v>9547</v>
      </c>
      <c r="O9" t="s">
        <v>4588</v>
      </c>
      <c r="P9" s="614">
        <f>COUNTIF(EducPlans_кодНАЦИД_Спец[аФакСец],EducPlans_кодНАЦИД_Спец[[#This Row],[аФакСец]])</f>
        <v>1</v>
      </c>
    </row>
    <row r="10" spans="3:16" x14ac:dyDescent="0.25">
      <c r="C10" s="614">
        <v>4</v>
      </c>
      <c r="D10" s="614">
        <v>12784</v>
      </c>
      <c r="E10" s="64" t="s">
        <v>232</v>
      </c>
      <c r="F10" s="64" t="s">
        <v>4589</v>
      </c>
      <c r="G10" s="614" t="s">
        <v>626</v>
      </c>
      <c r="H10" s="614" t="s">
        <v>682</v>
      </c>
      <c r="I10" s="614" t="s">
        <v>1153</v>
      </c>
      <c r="J10" s="64" t="s">
        <v>3194</v>
      </c>
      <c r="K10" s="1940" t="s">
        <v>4590</v>
      </c>
      <c r="L10" s="1940" t="s">
        <v>7833</v>
      </c>
      <c r="M10" t="s">
        <v>11247</v>
      </c>
      <c r="N10" t="s">
        <v>9548</v>
      </c>
      <c r="O10" t="s">
        <v>4589</v>
      </c>
      <c r="P10" s="614">
        <f>COUNTIF(EducPlans_кодНАЦИД_Спец[аФакСец],EducPlans_кодНАЦИД_Спец[[#This Row],[аФакСец]])</f>
        <v>1</v>
      </c>
    </row>
    <row r="11" spans="3:16" x14ac:dyDescent="0.25">
      <c r="C11" s="614">
        <v>5</v>
      </c>
      <c r="D11" s="614">
        <v>11971</v>
      </c>
      <c r="E11" s="64" t="s">
        <v>2101</v>
      </c>
      <c r="F11" s="64" t="s">
        <v>4591</v>
      </c>
      <c r="G11" s="614" t="s">
        <v>628</v>
      </c>
      <c r="H11" s="614" t="s">
        <v>682</v>
      </c>
      <c r="I11" s="614" t="s">
        <v>1153</v>
      </c>
      <c r="J11" s="64" t="s">
        <v>4592</v>
      </c>
      <c r="K11" s="1940" t="s">
        <v>4593</v>
      </c>
      <c r="L11" s="1940" t="s">
        <v>7834</v>
      </c>
      <c r="M11" t="s">
        <v>11248</v>
      </c>
      <c r="N11" t="s">
        <v>9549</v>
      </c>
      <c r="O11" t="s">
        <v>4591</v>
      </c>
      <c r="P11" s="614">
        <f>COUNTIF(EducPlans_кодНАЦИД_Спец[аФакСец],EducPlans_кодНАЦИД_Спец[[#This Row],[аФакСец]])</f>
        <v>2</v>
      </c>
    </row>
    <row r="12" spans="3:16" x14ac:dyDescent="0.25">
      <c r="C12" s="614">
        <v>6</v>
      </c>
      <c r="D12" s="614">
        <v>12034</v>
      </c>
      <c r="E12" s="64" t="s">
        <v>2454</v>
      </c>
      <c r="F12" s="64" t="s">
        <v>4594</v>
      </c>
      <c r="G12" s="614" t="s">
        <v>628</v>
      </c>
      <c r="H12" s="614" t="s">
        <v>682</v>
      </c>
      <c r="I12" s="614" t="s">
        <v>1153</v>
      </c>
      <c r="J12" s="64" t="s">
        <v>4187</v>
      </c>
      <c r="K12" s="1940" t="s">
        <v>4595</v>
      </c>
      <c r="L12" s="1940" t="s">
        <v>7835</v>
      </c>
      <c r="M12" t="s">
        <v>11249</v>
      </c>
      <c r="N12" t="s">
        <v>9550</v>
      </c>
      <c r="O12" t="s">
        <v>4594</v>
      </c>
      <c r="P12" s="614">
        <f>COUNTIF(EducPlans_кодНАЦИД_Спец[аФакСец],EducPlans_кодНАЦИД_Спец[[#This Row],[аФакСец]])</f>
        <v>1</v>
      </c>
    </row>
    <row r="13" spans="3:16" x14ac:dyDescent="0.25">
      <c r="C13" s="614">
        <v>7</v>
      </c>
      <c r="D13" s="614">
        <v>12035</v>
      </c>
      <c r="E13" s="64" t="s">
        <v>2454</v>
      </c>
      <c r="F13" s="64" t="s">
        <v>13112</v>
      </c>
      <c r="G13" s="614" t="s">
        <v>628</v>
      </c>
      <c r="H13" s="614" t="s">
        <v>682</v>
      </c>
      <c r="I13" s="614" t="s">
        <v>1153</v>
      </c>
      <c r="J13" s="64" t="s">
        <v>4592</v>
      </c>
      <c r="K13" s="1940" t="s">
        <v>4595</v>
      </c>
      <c r="L13" s="1940" t="s">
        <v>7834</v>
      </c>
      <c r="M13" t="s">
        <v>13113</v>
      </c>
      <c r="N13" t="s">
        <v>9549</v>
      </c>
      <c r="O13" t="s">
        <v>13112</v>
      </c>
      <c r="P13" s="614">
        <f>COUNTIF(EducPlans_кодНАЦИД_Спец[аФакСец],EducPlans_кодНАЦИД_Спец[[#This Row],[аФакСец]])</f>
        <v>2</v>
      </c>
    </row>
    <row r="14" spans="3:16" x14ac:dyDescent="0.25">
      <c r="C14" s="614">
        <v>8</v>
      </c>
      <c r="D14" s="614">
        <v>12829</v>
      </c>
      <c r="E14" s="64" t="s">
        <v>1942</v>
      </c>
      <c r="F14" s="64" t="s">
        <v>4596</v>
      </c>
      <c r="G14" s="614" t="s">
        <v>626</v>
      </c>
      <c r="H14" s="614" t="s">
        <v>682</v>
      </c>
      <c r="I14" s="614" t="s">
        <v>1153</v>
      </c>
      <c r="J14" s="64" t="s">
        <v>4597</v>
      </c>
      <c r="K14" s="1940" t="s">
        <v>4598</v>
      </c>
      <c r="L14" s="1940" t="s">
        <v>7836</v>
      </c>
      <c r="M14" t="s">
        <v>11250</v>
      </c>
      <c r="N14" t="s">
        <v>9551</v>
      </c>
      <c r="O14" t="s">
        <v>4596</v>
      </c>
      <c r="P14" s="614">
        <f>COUNTIF(EducPlans_кодНАЦИД_Спец[аФакСец],EducPlans_кодНАЦИД_Спец[[#This Row],[аФакСец]])</f>
        <v>1</v>
      </c>
    </row>
    <row r="15" spans="3:16" x14ac:dyDescent="0.25">
      <c r="C15" s="614">
        <v>9</v>
      </c>
      <c r="D15" s="614">
        <v>12830</v>
      </c>
      <c r="E15" s="64" t="s">
        <v>1942</v>
      </c>
      <c r="F15" s="64" t="s">
        <v>4599</v>
      </c>
      <c r="G15" s="614" t="s">
        <v>626</v>
      </c>
      <c r="H15" s="614" t="s">
        <v>682</v>
      </c>
      <c r="I15" s="614" t="s">
        <v>1153</v>
      </c>
      <c r="J15" s="64" t="s">
        <v>4600</v>
      </c>
      <c r="K15" s="1940" t="s">
        <v>4601</v>
      </c>
      <c r="L15" s="1940" t="s">
        <v>7837</v>
      </c>
      <c r="M15" t="s">
        <v>11251</v>
      </c>
      <c r="N15" t="s">
        <v>9552</v>
      </c>
      <c r="O15" t="s">
        <v>4599</v>
      </c>
      <c r="P15" s="614">
        <f>COUNTIF(EducPlans_кодНАЦИД_Спец[аФакСец],EducPlans_кодНАЦИД_Спец[[#This Row],[аФакСец]])</f>
        <v>1</v>
      </c>
    </row>
    <row r="16" spans="3:16" x14ac:dyDescent="0.25">
      <c r="C16" s="614">
        <v>10</v>
      </c>
      <c r="D16" s="614">
        <v>725250</v>
      </c>
      <c r="E16" s="64" t="s">
        <v>13114</v>
      </c>
      <c r="F16" s="64" t="s">
        <v>13115</v>
      </c>
      <c r="G16" s="614" t="s">
        <v>26</v>
      </c>
      <c r="H16" s="614" t="s">
        <v>682</v>
      </c>
      <c r="I16" s="614" t="s">
        <v>1153</v>
      </c>
      <c r="J16" s="64" t="s">
        <v>13116</v>
      </c>
      <c r="K16" s="1940" t="s">
        <v>13117</v>
      </c>
      <c r="L16" s="1940" t="s">
        <v>13118</v>
      </c>
      <c r="M16" t="s">
        <v>13119</v>
      </c>
      <c r="N16" t="s">
        <v>13120</v>
      </c>
      <c r="O16" t="s">
        <v>13115</v>
      </c>
      <c r="P16" s="614">
        <f>COUNTIF(EducPlans_кодНАЦИД_Спец[аФакСец],EducPlans_кодНАЦИД_Спец[[#This Row],[аФакСец]])</f>
        <v>1</v>
      </c>
    </row>
    <row r="17" spans="3:16" x14ac:dyDescent="0.25">
      <c r="C17" s="614">
        <v>11</v>
      </c>
      <c r="D17" s="614">
        <v>11791</v>
      </c>
      <c r="E17" s="64" t="s">
        <v>2293</v>
      </c>
      <c r="F17" s="64" t="s">
        <v>4602</v>
      </c>
      <c r="G17" s="614" t="s">
        <v>26</v>
      </c>
      <c r="H17" s="614" t="s">
        <v>682</v>
      </c>
      <c r="I17" s="614" t="s">
        <v>1153</v>
      </c>
      <c r="J17" s="64" t="s">
        <v>3649</v>
      </c>
      <c r="K17" s="1940" t="s">
        <v>4603</v>
      </c>
      <c r="L17" s="1940" t="s">
        <v>7838</v>
      </c>
      <c r="M17" t="s">
        <v>11252</v>
      </c>
      <c r="N17" t="s">
        <v>9553</v>
      </c>
      <c r="O17" t="s">
        <v>4602</v>
      </c>
      <c r="P17" s="614">
        <f>COUNTIF(EducPlans_кодНАЦИД_Спец[аФакСец],EducPlans_кодНАЦИД_Спец[[#This Row],[аФакСец]])</f>
        <v>1</v>
      </c>
    </row>
    <row r="18" spans="3:16" x14ac:dyDescent="0.25">
      <c r="C18" s="614">
        <v>12</v>
      </c>
      <c r="D18" s="614">
        <v>12230</v>
      </c>
      <c r="E18" s="64" t="s">
        <v>2199</v>
      </c>
      <c r="F18" s="64" t="s">
        <v>4604</v>
      </c>
      <c r="G18" s="614" t="s">
        <v>31</v>
      </c>
      <c r="H18" s="614" t="s">
        <v>682</v>
      </c>
      <c r="I18" s="614" t="s">
        <v>1153</v>
      </c>
      <c r="J18" s="64" t="s">
        <v>2906</v>
      </c>
      <c r="K18" s="1940" t="s">
        <v>4605</v>
      </c>
      <c r="L18" s="1940" t="s">
        <v>7839</v>
      </c>
      <c r="M18" t="s">
        <v>11253</v>
      </c>
      <c r="N18" t="s">
        <v>9554</v>
      </c>
      <c r="O18" t="s">
        <v>4604</v>
      </c>
      <c r="P18" s="614">
        <f>COUNTIF(EducPlans_кодНАЦИД_Спец[аФакСец],EducPlans_кодНАЦИД_Спец[[#This Row],[аФакСец]])</f>
        <v>1</v>
      </c>
    </row>
    <row r="19" spans="3:16" x14ac:dyDescent="0.25">
      <c r="C19" s="614">
        <v>13</v>
      </c>
      <c r="D19" s="614">
        <v>11087</v>
      </c>
      <c r="E19" s="64" t="s">
        <v>1511</v>
      </c>
      <c r="F19" s="64" t="s">
        <v>4606</v>
      </c>
      <c r="G19" s="614" t="s">
        <v>48</v>
      </c>
      <c r="H19" s="614" t="s">
        <v>682</v>
      </c>
      <c r="I19" s="614" t="s">
        <v>1153</v>
      </c>
      <c r="J19" s="64" t="s">
        <v>3072</v>
      </c>
      <c r="K19" s="1940" t="s">
        <v>4607</v>
      </c>
      <c r="L19" s="1940" t="s">
        <v>7840</v>
      </c>
      <c r="M19" t="s">
        <v>11254</v>
      </c>
      <c r="N19" t="s">
        <v>9555</v>
      </c>
      <c r="O19" t="s">
        <v>4606</v>
      </c>
      <c r="P19" s="614">
        <f>COUNTIF(EducPlans_кодНАЦИД_Спец[аФакСец],EducPlans_кодНАЦИД_Спец[[#This Row],[аФакСец]])</f>
        <v>1</v>
      </c>
    </row>
    <row r="20" spans="3:16" x14ac:dyDescent="0.25">
      <c r="C20" s="614">
        <v>14</v>
      </c>
      <c r="D20" s="614">
        <v>11088</v>
      </c>
      <c r="E20" s="64" t="s">
        <v>1511</v>
      </c>
      <c r="F20" s="64" t="s">
        <v>4608</v>
      </c>
      <c r="G20" s="614" t="s">
        <v>48</v>
      </c>
      <c r="H20" s="614" t="s">
        <v>682</v>
      </c>
      <c r="I20" s="614" t="s">
        <v>1153</v>
      </c>
      <c r="J20" s="64" t="s">
        <v>4609</v>
      </c>
      <c r="K20" s="1940" t="s">
        <v>4610</v>
      </c>
      <c r="L20" s="1940" t="s">
        <v>7841</v>
      </c>
      <c r="M20" t="s">
        <v>11255</v>
      </c>
      <c r="N20" t="s">
        <v>9556</v>
      </c>
      <c r="O20" t="s">
        <v>4608</v>
      </c>
      <c r="P20" s="614">
        <f>COUNTIF(EducPlans_кодНАЦИД_Спец[аФакСец],EducPlans_кодНАЦИД_Спец[[#This Row],[аФакСец]])</f>
        <v>1</v>
      </c>
    </row>
    <row r="21" spans="3:16" x14ac:dyDescent="0.25">
      <c r="C21" s="614">
        <v>15</v>
      </c>
      <c r="D21" s="614">
        <v>441088</v>
      </c>
      <c r="E21" s="64" t="s">
        <v>4503</v>
      </c>
      <c r="F21" s="64" t="s">
        <v>13121</v>
      </c>
      <c r="G21" s="614" t="s">
        <v>26</v>
      </c>
      <c r="H21" s="614" t="s">
        <v>681</v>
      </c>
      <c r="I21" s="614" t="s">
        <v>1153</v>
      </c>
      <c r="J21" s="64" t="s">
        <v>13122</v>
      </c>
      <c r="K21" s="1940" t="s">
        <v>4611</v>
      </c>
      <c r="L21" s="1940" t="s">
        <v>13123</v>
      </c>
      <c r="M21" t="s">
        <v>13124</v>
      </c>
      <c r="N21" t="s">
        <v>13125</v>
      </c>
      <c r="O21" t="s">
        <v>13121</v>
      </c>
      <c r="P21" s="614">
        <f>COUNTIF(EducPlans_кодНАЦИД_Спец[аФакСец],EducPlans_кодНАЦИД_Спец[[#This Row],[аФакСец]])</f>
        <v>1</v>
      </c>
    </row>
    <row r="22" spans="3:16" x14ac:dyDescent="0.25">
      <c r="C22" s="614">
        <v>16</v>
      </c>
      <c r="D22" s="614">
        <v>858896</v>
      </c>
      <c r="E22" s="64" t="s">
        <v>4503</v>
      </c>
      <c r="F22" s="64" t="s">
        <v>13126</v>
      </c>
      <c r="G22" s="614" t="s">
        <v>26</v>
      </c>
      <c r="H22" s="614" t="s">
        <v>681</v>
      </c>
      <c r="I22" s="614" t="s">
        <v>1153</v>
      </c>
      <c r="J22" s="64" t="s">
        <v>4502</v>
      </c>
      <c r="K22" s="1940" t="s">
        <v>4611</v>
      </c>
      <c r="L22" s="1940" t="s">
        <v>7842</v>
      </c>
      <c r="M22" t="s">
        <v>11256</v>
      </c>
      <c r="N22" t="s">
        <v>9557</v>
      </c>
      <c r="O22" t="s">
        <v>13126</v>
      </c>
      <c r="P22" s="614">
        <f>COUNTIF(EducPlans_кодНАЦИД_Спец[аФакСец],EducPlans_кодНАЦИД_Спец[[#This Row],[аФакСец]])</f>
        <v>1</v>
      </c>
    </row>
    <row r="23" spans="3:16" x14ac:dyDescent="0.25">
      <c r="C23" s="614">
        <v>17</v>
      </c>
      <c r="D23" s="614">
        <v>11506</v>
      </c>
      <c r="E23" s="64" t="s">
        <v>1354</v>
      </c>
      <c r="F23" s="64" t="s">
        <v>4612</v>
      </c>
      <c r="G23" s="614" t="s">
        <v>33</v>
      </c>
      <c r="H23" s="614" t="s">
        <v>681</v>
      </c>
      <c r="I23" s="614" t="s">
        <v>1153</v>
      </c>
      <c r="J23" s="64" t="s">
        <v>3504</v>
      </c>
      <c r="K23" s="1940" t="s">
        <v>4613</v>
      </c>
      <c r="L23" s="1940" t="s">
        <v>7843</v>
      </c>
      <c r="M23" t="s">
        <v>11257</v>
      </c>
      <c r="N23" t="s">
        <v>9558</v>
      </c>
      <c r="O23" t="s">
        <v>4612</v>
      </c>
      <c r="P23" s="614">
        <f>COUNTIF(EducPlans_кодНАЦИД_Спец[аФакСец],EducPlans_кодНАЦИД_Спец[[#This Row],[аФакСец]])</f>
        <v>1</v>
      </c>
    </row>
    <row r="24" spans="3:16" x14ac:dyDescent="0.25">
      <c r="C24" s="614">
        <v>18</v>
      </c>
      <c r="D24" s="614">
        <v>11605</v>
      </c>
      <c r="E24" s="64" t="s">
        <v>1355</v>
      </c>
      <c r="F24" s="64" t="s">
        <v>4614</v>
      </c>
      <c r="G24" s="614" t="s">
        <v>33</v>
      </c>
      <c r="H24" s="614" t="s">
        <v>682</v>
      </c>
      <c r="I24" s="614" t="s">
        <v>1153</v>
      </c>
      <c r="J24" s="64" t="s">
        <v>4615</v>
      </c>
      <c r="K24" s="1940" t="s">
        <v>4616</v>
      </c>
      <c r="L24" s="1940" t="s">
        <v>7844</v>
      </c>
      <c r="M24" t="s">
        <v>11258</v>
      </c>
      <c r="N24" t="s">
        <v>9559</v>
      </c>
      <c r="O24" t="s">
        <v>4614</v>
      </c>
      <c r="P24" s="614">
        <f>COUNTIF(EducPlans_кодНАЦИД_Спец[аФакСец],EducPlans_кодНАЦИД_Спец[[#This Row],[аФакСец]])</f>
        <v>1</v>
      </c>
    </row>
    <row r="25" spans="3:16" x14ac:dyDescent="0.25">
      <c r="C25" s="614">
        <v>19</v>
      </c>
      <c r="D25" s="614">
        <v>11125</v>
      </c>
      <c r="E25" s="64" t="s">
        <v>1513</v>
      </c>
      <c r="F25" s="64" t="s">
        <v>4617</v>
      </c>
      <c r="G25" s="614" t="s">
        <v>48</v>
      </c>
      <c r="H25" s="614" t="s">
        <v>682</v>
      </c>
      <c r="I25" s="614" t="s">
        <v>1153</v>
      </c>
      <c r="J25" s="64" t="s">
        <v>4618</v>
      </c>
      <c r="K25" s="1940" t="s">
        <v>4619</v>
      </c>
      <c r="L25" s="1940" t="s">
        <v>7845</v>
      </c>
      <c r="M25" t="s">
        <v>11259</v>
      </c>
      <c r="N25" t="s">
        <v>9560</v>
      </c>
      <c r="O25" t="s">
        <v>4617</v>
      </c>
      <c r="P25" s="614">
        <f>COUNTIF(EducPlans_кодНАЦИД_Спец[аФакСец],EducPlans_кодНАЦИД_Спец[[#This Row],[аФакСец]])</f>
        <v>1</v>
      </c>
    </row>
    <row r="26" spans="3:16" x14ac:dyDescent="0.25">
      <c r="C26" s="614">
        <v>20</v>
      </c>
      <c r="D26" s="614">
        <v>11127</v>
      </c>
      <c r="E26" s="64" t="s">
        <v>1514</v>
      </c>
      <c r="F26" s="64" t="s">
        <v>4620</v>
      </c>
      <c r="G26" s="614" t="s">
        <v>48</v>
      </c>
      <c r="H26" s="614" t="s">
        <v>682</v>
      </c>
      <c r="I26" s="614" t="s">
        <v>1153</v>
      </c>
      <c r="J26" s="64" t="s">
        <v>3073</v>
      </c>
      <c r="K26" s="1940" t="s">
        <v>4621</v>
      </c>
      <c r="L26" s="1940" t="s">
        <v>7846</v>
      </c>
      <c r="M26" t="s">
        <v>11260</v>
      </c>
      <c r="N26" t="s">
        <v>9561</v>
      </c>
      <c r="O26" t="s">
        <v>4620</v>
      </c>
      <c r="P26" s="614">
        <f>COUNTIF(EducPlans_кодНАЦИД_Спец[аФакСец],EducPlans_кодНАЦИД_Спец[[#This Row],[аФакСец]])</f>
        <v>1</v>
      </c>
    </row>
    <row r="27" spans="3:16" x14ac:dyDescent="0.25">
      <c r="C27" s="614">
        <v>21</v>
      </c>
      <c r="D27" s="614">
        <v>11657</v>
      </c>
      <c r="E27" s="64" t="s">
        <v>1356</v>
      </c>
      <c r="F27" s="64" t="s">
        <v>4622</v>
      </c>
      <c r="G27" s="614" t="s">
        <v>33</v>
      </c>
      <c r="H27" s="614" t="s">
        <v>682</v>
      </c>
      <c r="I27" s="614" t="s">
        <v>1153</v>
      </c>
      <c r="J27" s="64" t="s">
        <v>3505</v>
      </c>
      <c r="K27" s="1940" t="s">
        <v>4623</v>
      </c>
      <c r="L27" s="1940" t="s">
        <v>7847</v>
      </c>
      <c r="M27" t="s">
        <v>11261</v>
      </c>
      <c r="N27" t="s">
        <v>9562</v>
      </c>
      <c r="O27" t="s">
        <v>4622</v>
      </c>
      <c r="P27" s="614">
        <f>COUNTIF(EducPlans_кодНАЦИД_Спец[аФакСец],EducPlans_кодНАЦИД_Спец[[#This Row],[аФакСец]])</f>
        <v>1</v>
      </c>
    </row>
    <row r="28" spans="3:16" x14ac:dyDescent="0.25">
      <c r="C28" s="614">
        <v>22</v>
      </c>
      <c r="D28" s="614">
        <v>11657</v>
      </c>
      <c r="E28" s="64" t="s">
        <v>1356</v>
      </c>
      <c r="F28" s="64" t="s">
        <v>4624</v>
      </c>
      <c r="G28" s="614" t="s">
        <v>33</v>
      </c>
      <c r="H28" s="614" t="s">
        <v>682</v>
      </c>
      <c r="I28" s="614" t="s">
        <v>1153</v>
      </c>
      <c r="J28" s="64" t="s">
        <v>3506</v>
      </c>
      <c r="K28" s="1940" t="s">
        <v>4623</v>
      </c>
      <c r="L28" s="1940" t="s">
        <v>7848</v>
      </c>
      <c r="M28" t="s">
        <v>11262</v>
      </c>
      <c r="N28" t="s">
        <v>9563</v>
      </c>
      <c r="O28" t="s">
        <v>4624</v>
      </c>
      <c r="P28" s="614">
        <f>COUNTIF(EducPlans_кодНАЦИД_Спец[аФакСец],EducPlans_кодНАЦИД_Спец[[#This Row],[аФакСец]])</f>
        <v>1</v>
      </c>
    </row>
    <row r="29" spans="3:16" x14ac:dyDescent="0.25">
      <c r="C29" s="614">
        <v>23</v>
      </c>
      <c r="D29" s="614">
        <v>11655</v>
      </c>
      <c r="E29" s="64" t="s">
        <v>1357</v>
      </c>
      <c r="F29" s="64" t="s">
        <v>4625</v>
      </c>
      <c r="G29" s="614" t="s">
        <v>33</v>
      </c>
      <c r="H29" s="614" t="s">
        <v>682</v>
      </c>
      <c r="I29" s="614" t="s">
        <v>1153</v>
      </c>
      <c r="J29" s="64" t="s">
        <v>3509</v>
      </c>
      <c r="K29" s="1940" t="s">
        <v>4626</v>
      </c>
      <c r="L29" s="1940" t="s">
        <v>7849</v>
      </c>
      <c r="M29" t="s">
        <v>11263</v>
      </c>
      <c r="N29" t="s">
        <v>9564</v>
      </c>
      <c r="O29" t="s">
        <v>4625</v>
      </c>
      <c r="P29" s="614">
        <f>COUNTIF(EducPlans_кодНАЦИД_Спец[аФакСец],EducPlans_кодНАЦИД_Спец[[#This Row],[аФакСец]])</f>
        <v>1</v>
      </c>
    </row>
    <row r="30" spans="3:16" x14ac:dyDescent="0.25">
      <c r="C30" s="614">
        <v>24</v>
      </c>
      <c r="D30" s="614">
        <v>11655</v>
      </c>
      <c r="E30" s="64" t="s">
        <v>1357</v>
      </c>
      <c r="F30" s="64" t="s">
        <v>4627</v>
      </c>
      <c r="G30" s="614" t="s">
        <v>33</v>
      </c>
      <c r="H30" s="614" t="s">
        <v>682</v>
      </c>
      <c r="I30" s="614" t="s">
        <v>1153</v>
      </c>
      <c r="J30" s="64" t="s">
        <v>3507</v>
      </c>
      <c r="K30" s="1940" t="s">
        <v>4626</v>
      </c>
      <c r="L30" s="1940" t="s">
        <v>7850</v>
      </c>
      <c r="M30" t="s">
        <v>11264</v>
      </c>
      <c r="N30" t="s">
        <v>9565</v>
      </c>
      <c r="O30" t="s">
        <v>4627</v>
      </c>
      <c r="P30" s="614">
        <f>COUNTIF(EducPlans_кодНАЦИД_Спец[аФакСец],EducPlans_кодНАЦИД_Спец[[#This Row],[аФакСец]])</f>
        <v>1</v>
      </c>
    </row>
    <row r="31" spans="3:16" x14ac:dyDescent="0.25">
      <c r="C31" s="614">
        <v>25</v>
      </c>
      <c r="D31" s="614">
        <v>11655</v>
      </c>
      <c r="E31" s="64" t="s">
        <v>1357</v>
      </c>
      <c r="F31" s="64" t="s">
        <v>4628</v>
      </c>
      <c r="G31" s="614" t="s">
        <v>33</v>
      </c>
      <c r="H31" s="614" t="s">
        <v>682</v>
      </c>
      <c r="I31" s="614" t="s">
        <v>1153</v>
      </c>
      <c r="J31" s="64" t="s">
        <v>3508</v>
      </c>
      <c r="K31" s="1940" t="s">
        <v>4626</v>
      </c>
      <c r="L31" s="1940" t="s">
        <v>7851</v>
      </c>
      <c r="M31" t="s">
        <v>11265</v>
      </c>
      <c r="N31" t="s">
        <v>9566</v>
      </c>
      <c r="O31" t="s">
        <v>4628</v>
      </c>
      <c r="P31" s="614">
        <f>COUNTIF(EducPlans_кодНАЦИД_Спец[аФакСец],EducPlans_кодНАЦИД_Спец[[#This Row],[аФакСец]])</f>
        <v>1</v>
      </c>
    </row>
    <row r="32" spans="3:16" x14ac:dyDescent="0.25">
      <c r="C32" s="614">
        <v>26</v>
      </c>
      <c r="D32" s="614">
        <v>11055</v>
      </c>
      <c r="E32" s="64" t="s">
        <v>1515</v>
      </c>
      <c r="F32" s="64" t="s">
        <v>4629</v>
      </c>
      <c r="G32" s="614" t="s">
        <v>48</v>
      </c>
      <c r="H32" s="614" t="s">
        <v>682</v>
      </c>
      <c r="I32" s="614" t="s">
        <v>1153</v>
      </c>
      <c r="J32" s="64" t="s">
        <v>3074</v>
      </c>
      <c r="K32" s="1940" t="s">
        <v>4630</v>
      </c>
      <c r="L32" s="1940" t="s">
        <v>7852</v>
      </c>
      <c r="M32" t="s">
        <v>11266</v>
      </c>
      <c r="N32" t="s">
        <v>9567</v>
      </c>
      <c r="O32" t="s">
        <v>4629</v>
      </c>
      <c r="P32" s="614">
        <f>COUNTIF(EducPlans_кодНАЦИД_Спец[аФакСец],EducPlans_кодНАЦИД_Спец[[#This Row],[аФакСец]])</f>
        <v>1</v>
      </c>
    </row>
    <row r="33" spans="3:16" x14ac:dyDescent="0.25">
      <c r="C33" s="614">
        <v>27</v>
      </c>
      <c r="D33" s="614">
        <v>733207</v>
      </c>
      <c r="E33" s="64" t="s">
        <v>1515</v>
      </c>
      <c r="F33" s="64" t="s">
        <v>12908</v>
      </c>
      <c r="G33" s="614" t="s">
        <v>48</v>
      </c>
      <c r="H33" s="614" t="s">
        <v>682</v>
      </c>
      <c r="I33" s="614" t="s">
        <v>1149</v>
      </c>
      <c r="J33" s="64" t="s">
        <v>12909</v>
      </c>
      <c r="K33" s="1940" t="s">
        <v>12910</v>
      </c>
      <c r="L33" s="1940" t="s">
        <v>12911</v>
      </c>
      <c r="M33" t="s">
        <v>12912</v>
      </c>
      <c r="N33" t="s">
        <v>12913</v>
      </c>
      <c r="O33" t="s">
        <v>12908</v>
      </c>
      <c r="P33" s="614">
        <f>COUNTIF(EducPlans_кодНАЦИД_Спец[аФакСец],EducPlans_кодНАЦИД_Спец[[#This Row],[аФакСец]])</f>
        <v>1</v>
      </c>
    </row>
    <row r="34" spans="3:16" x14ac:dyDescent="0.25">
      <c r="C34" s="614">
        <v>28</v>
      </c>
      <c r="D34" s="614">
        <v>11169</v>
      </c>
      <c r="E34" s="64" t="s">
        <v>1516</v>
      </c>
      <c r="F34" s="64" t="s">
        <v>4631</v>
      </c>
      <c r="G34" s="614" t="s">
        <v>48</v>
      </c>
      <c r="H34" s="614" t="s">
        <v>682</v>
      </c>
      <c r="I34" s="614" t="s">
        <v>1153</v>
      </c>
      <c r="J34" s="64" t="s">
        <v>3075</v>
      </c>
      <c r="K34" s="1940" t="s">
        <v>4632</v>
      </c>
      <c r="L34" s="1940" t="s">
        <v>7853</v>
      </c>
      <c r="M34" t="s">
        <v>11267</v>
      </c>
      <c r="N34" t="s">
        <v>9568</v>
      </c>
      <c r="O34" t="s">
        <v>4631</v>
      </c>
      <c r="P34" s="614">
        <f>COUNTIF(EducPlans_кодНАЦИД_Спец[аФакСец],EducPlans_кодНАЦИД_Спец[[#This Row],[аФакСец]])</f>
        <v>1</v>
      </c>
    </row>
    <row r="35" spans="3:16" x14ac:dyDescent="0.25">
      <c r="C35" s="614">
        <v>29</v>
      </c>
      <c r="D35" s="614">
        <v>11053</v>
      </c>
      <c r="E35" s="64" t="s">
        <v>1517</v>
      </c>
      <c r="F35" s="64" t="s">
        <v>4633</v>
      </c>
      <c r="G35" s="614" t="s">
        <v>48</v>
      </c>
      <c r="H35" s="614" t="s">
        <v>682</v>
      </c>
      <c r="I35" s="614" t="s">
        <v>1153</v>
      </c>
      <c r="J35" s="64" t="s">
        <v>3076</v>
      </c>
      <c r="K35" s="1940" t="s">
        <v>4634</v>
      </c>
      <c r="L35" s="1940" t="s">
        <v>7854</v>
      </c>
      <c r="M35" t="s">
        <v>11268</v>
      </c>
      <c r="N35" t="s">
        <v>9569</v>
      </c>
      <c r="O35" t="s">
        <v>4633</v>
      </c>
      <c r="P35" s="614">
        <f>COUNTIF(EducPlans_кодНАЦИД_Спец[аФакСец],EducPlans_кодНАЦИД_Спец[[#This Row],[аФакСец]])</f>
        <v>1</v>
      </c>
    </row>
    <row r="36" spans="3:16" x14ac:dyDescent="0.25">
      <c r="C36" s="614">
        <v>30</v>
      </c>
      <c r="D36" s="614">
        <v>733206</v>
      </c>
      <c r="E36" s="64" t="s">
        <v>1517</v>
      </c>
      <c r="F36" s="64" t="s">
        <v>12914</v>
      </c>
      <c r="G36" s="614" t="s">
        <v>48</v>
      </c>
      <c r="H36" s="614" t="s">
        <v>682</v>
      </c>
      <c r="I36" s="614" t="s">
        <v>1149</v>
      </c>
      <c r="J36" s="64" t="s">
        <v>12915</v>
      </c>
      <c r="K36" s="1940" t="s">
        <v>12916</v>
      </c>
      <c r="L36" s="1940" t="s">
        <v>12917</v>
      </c>
      <c r="M36" t="s">
        <v>12918</v>
      </c>
      <c r="N36" t="s">
        <v>12919</v>
      </c>
      <c r="O36" t="s">
        <v>12914</v>
      </c>
      <c r="P36" s="614">
        <f>COUNTIF(EducPlans_кодНАЦИД_Спец[аФакСец],EducPlans_кодНАЦИД_Спец[[#This Row],[аФакСец]])</f>
        <v>1</v>
      </c>
    </row>
    <row r="37" spans="3:16" x14ac:dyDescent="0.25">
      <c r="C37" s="614">
        <v>31</v>
      </c>
      <c r="D37" s="614">
        <v>11175</v>
      </c>
      <c r="E37" s="64" t="s">
        <v>1518</v>
      </c>
      <c r="F37" s="64" t="s">
        <v>4635</v>
      </c>
      <c r="G37" s="614" t="s">
        <v>48</v>
      </c>
      <c r="H37" s="614" t="s">
        <v>682</v>
      </c>
      <c r="I37" s="614" t="s">
        <v>1153</v>
      </c>
      <c r="J37" s="64" t="s">
        <v>3077</v>
      </c>
      <c r="K37" s="1940" t="s">
        <v>4636</v>
      </c>
      <c r="L37" s="1940" t="s">
        <v>7855</v>
      </c>
      <c r="M37" t="s">
        <v>11269</v>
      </c>
      <c r="N37" t="s">
        <v>9570</v>
      </c>
      <c r="O37" t="s">
        <v>4635</v>
      </c>
      <c r="P37" s="614">
        <f>COUNTIF(EducPlans_кодНАЦИД_Спец[аФакСец],EducPlans_кодНАЦИД_Спец[[#This Row],[аФакСец]])</f>
        <v>1</v>
      </c>
    </row>
    <row r="38" spans="3:16" x14ac:dyDescent="0.25">
      <c r="C38" s="614">
        <v>32</v>
      </c>
      <c r="D38" s="614">
        <v>11650</v>
      </c>
      <c r="E38" s="64" t="s">
        <v>1358</v>
      </c>
      <c r="F38" s="64" t="s">
        <v>4637</v>
      </c>
      <c r="G38" s="614" t="s">
        <v>33</v>
      </c>
      <c r="H38" s="614" t="s">
        <v>682</v>
      </c>
      <c r="I38" s="614" t="s">
        <v>1153</v>
      </c>
      <c r="J38" s="64" t="s">
        <v>3510</v>
      </c>
      <c r="K38" s="1940" t="s">
        <v>4638</v>
      </c>
      <c r="L38" s="1940" t="s">
        <v>7856</v>
      </c>
      <c r="M38" t="s">
        <v>11270</v>
      </c>
      <c r="N38" t="s">
        <v>9571</v>
      </c>
      <c r="O38" t="s">
        <v>4637</v>
      </c>
      <c r="P38" s="614">
        <f>COUNTIF(EducPlans_кодНАЦИД_Спец[аФакСец],EducPlans_кодНАЦИД_Спец[[#This Row],[аФакСец]])</f>
        <v>1</v>
      </c>
    </row>
    <row r="39" spans="3:16" x14ac:dyDescent="0.25">
      <c r="C39" s="614">
        <v>33</v>
      </c>
      <c r="D39" s="614">
        <v>11512</v>
      </c>
      <c r="E39" s="64" t="s">
        <v>898</v>
      </c>
      <c r="F39" s="64" t="s">
        <v>4639</v>
      </c>
      <c r="G39" s="614" t="s">
        <v>33</v>
      </c>
      <c r="H39" s="614" t="s">
        <v>681</v>
      </c>
      <c r="I39" s="614" t="s">
        <v>1153</v>
      </c>
      <c r="J39" s="64" t="s">
        <v>899</v>
      </c>
      <c r="K39" s="1940" t="s">
        <v>4640</v>
      </c>
      <c r="L39" s="1940" t="s">
        <v>7857</v>
      </c>
      <c r="M39" t="s">
        <v>11271</v>
      </c>
      <c r="N39" t="s">
        <v>9572</v>
      </c>
      <c r="O39" t="s">
        <v>4639</v>
      </c>
      <c r="P39" s="614">
        <f>COUNTIF(EducPlans_кодНАЦИД_Спец[аФакСец],EducPlans_кодНАЦИД_Спец[[#This Row],[аФакСец]])</f>
        <v>1</v>
      </c>
    </row>
    <row r="40" spans="3:16" x14ac:dyDescent="0.25">
      <c r="C40" s="614">
        <v>34</v>
      </c>
      <c r="D40" s="614">
        <v>11625</v>
      </c>
      <c r="E40" s="64" t="s">
        <v>1361</v>
      </c>
      <c r="F40" s="64" t="s">
        <v>4641</v>
      </c>
      <c r="G40" s="614" t="s">
        <v>33</v>
      </c>
      <c r="H40" s="614" t="s">
        <v>682</v>
      </c>
      <c r="I40" s="614" t="s">
        <v>1153</v>
      </c>
      <c r="J40" s="64" t="s">
        <v>4642</v>
      </c>
      <c r="K40" s="1940" t="s">
        <v>4643</v>
      </c>
      <c r="L40" s="1940" t="s">
        <v>7858</v>
      </c>
      <c r="M40" t="s">
        <v>11272</v>
      </c>
      <c r="N40" t="s">
        <v>9573</v>
      </c>
      <c r="O40" t="s">
        <v>4641</v>
      </c>
      <c r="P40" s="614">
        <f>COUNTIF(EducPlans_кодНАЦИД_Спец[аФакСец],EducPlans_кодНАЦИД_Спец[[#This Row],[аФакСец]])</f>
        <v>1</v>
      </c>
    </row>
    <row r="41" spans="3:16" x14ac:dyDescent="0.25">
      <c r="C41" s="614">
        <v>35</v>
      </c>
      <c r="D41" s="614">
        <v>11542</v>
      </c>
      <c r="E41" s="64" t="s">
        <v>946</v>
      </c>
      <c r="F41" s="64" t="s">
        <v>4644</v>
      </c>
      <c r="G41" s="614" t="s">
        <v>33</v>
      </c>
      <c r="H41" s="614" t="s">
        <v>681</v>
      </c>
      <c r="I41" s="614" t="s">
        <v>1153</v>
      </c>
      <c r="J41" s="64" t="s">
        <v>951</v>
      </c>
      <c r="K41" s="1940" t="s">
        <v>4645</v>
      </c>
      <c r="L41" s="1940" t="s">
        <v>7859</v>
      </c>
      <c r="M41" t="s">
        <v>11273</v>
      </c>
      <c r="N41" t="s">
        <v>9574</v>
      </c>
      <c r="O41" t="s">
        <v>4644</v>
      </c>
      <c r="P41" s="614">
        <f>COUNTIF(EducPlans_кодНАЦИД_Спец[аФакСец],EducPlans_кодНАЦИД_Спец[[#This Row],[аФакСец]])</f>
        <v>1</v>
      </c>
    </row>
    <row r="42" spans="3:16" x14ac:dyDescent="0.25">
      <c r="C42" s="614">
        <v>36</v>
      </c>
      <c r="D42" s="614">
        <v>733662</v>
      </c>
      <c r="E42" s="64" t="s">
        <v>13127</v>
      </c>
      <c r="F42" s="64" t="s">
        <v>13128</v>
      </c>
      <c r="G42" s="614" t="s">
        <v>39</v>
      </c>
      <c r="H42" s="614" t="s">
        <v>682</v>
      </c>
      <c r="I42" s="614" t="s">
        <v>1149</v>
      </c>
      <c r="J42" s="64" t="s">
        <v>13129</v>
      </c>
      <c r="K42" s="1940" t="s">
        <v>13130</v>
      </c>
      <c r="L42" s="1940" t="s">
        <v>13131</v>
      </c>
      <c r="M42" t="s">
        <v>13132</v>
      </c>
      <c r="N42" t="s">
        <v>13133</v>
      </c>
      <c r="O42" t="s">
        <v>13128</v>
      </c>
      <c r="P42" s="614">
        <f>COUNTIF(EducPlans_кодНАЦИД_Спец[аФакСец],EducPlans_кодНАЦИД_Спец[[#This Row],[аФакСец]])</f>
        <v>1</v>
      </c>
    </row>
    <row r="43" spans="3:16" x14ac:dyDescent="0.25">
      <c r="C43" s="614">
        <v>37</v>
      </c>
      <c r="D43" s="614">
        <v>733662</v>
      </c>
      <c r="E43" s="64" t="s">
        <v>13127</v>
      </c>
      <c r="F43" s="64" t="s">
        <v>13134</v>
      </c>
      <c r="G43" s="614" t="s">
        <v>39</v>
      </c>
      <c r="H43" s="614" t="s">
        <v>682</v>
      </c>
      <c r="I43" s="614" t="s">
        <v>1149</v>
      </c>
      <c r="J43" s="64" t="s">
        <v>13135</v>
      </c>
      <c r="K43" s="1940" t="s">
        <v>13130</v>
      </c>
      <c r="L43" s="1940" t="s">
        <v>13136</v>
      </c>
      <c r="M43" t="s">
        <v>13137</v>
      </c>
      <c r="N43" t="s">
        <v>13138</v>
      </c>
      <c r="O43" t="s">
        <v>13134</v>
      </c>
      <c r="P43" s="614">
        <f>COUNTIF(EducPlans_кодНАЦИД_Спец[аФакСец],EducPlans_кодНАЦИД_Спец[[#This Row],[аФакСец]])</f>
        <v>1</v>
      </c>
    </row>
    <row r="44" spans="3:16" x14ac:dyDescent="0.25">
      <c r="C44" s="614">
        <v>38</v>
      </c>
      <c r="D44" s="614">
        <v>733663</v>
      </c>
      <c r="E44" s="64" t="s">
        <v>13139</v>
      </c>
      <c r="F44" s="64" t="s">
        <v>13140</v>
      </c>
      <c r="G44" s="614" t="s">
        <v>39</v>
      </c>
      <c r="H44" s="614" t="s">
        <v>682</v>
      </c>
      <c r="I44" s="614" t="s">
        <v>1149</v>
      </c>
      <c r="J44" s="64" t="s">
        <v>13141</v>
      </c>
      <c r="K44" s="1940" t="s">
        <v>13142</v>
      </c>
      <c r="L44" s="1940" t="s">
        <v>13143</v>
      </c>
      <c r="M44" t="s">
        <v>13144</v>
      </c>
      <c r="N44" t="s">
        <v>13145</v>
      </c>
      <c r="O44" t="s">
        <v>13140</v>
      </c>
      <c r="P44" s="614">
        <f>COUNTIF(EducPlans_кодНАЦИД_Спец[аФакСец],EducPlans_кодНАЦИД_Спец[[#This Row],[аФакСец]])</f>
        <v>1</v>
      </c>
    </row>
    <row r="45" spans="3:16" x14ac:dyDescent="0.25">
      <c r="C45" s="614">
        <v>39</v>
      </c>
      <c r="D45" s="614">
        <v>733663</v>
      </c>
      <c r="E45" s="64" t="s">
        <v>13139</v>
      </c>
      <c r="F45" s="64" t="s">
        <v>13146</v>
      </c>
      <c r="G45" s="614" t="s">
        <v>39</v>
      </c>
      <c r="H45" s="614" t="s">
        <v>682</v>
      </c>
      <c r="I45" s="614" t="s">
        <v>1149</v>
      </c>
      <c r="J45" s="64" t="s">
        <v>13147</v>
      </c>
      <c r="K45" s="1940" t="s">
        <v>13142</v>
      </c>
      <c r="L45" s="1940" t="s">
        <v>13148</v>
      </c>
      <c r="M45" t="s">
        <v>13149</v>
      </c>
      <c r="N45" t="s">
        <v>13150</v>
      </c>
      <c r="O45" t="s">
        <v>13146</v>
      </c>
      <c r="P45" s="614">
        <f>COUNTIF(EducPlans_кодНАЦИД_Спец[аФакСец],EducPlans_кодНАЦИД_Спец[[#This Row],[аФакСец]])</f>
        <v>1</v>
      </c>
    </row>
    <row r="46" spans="3:16" x14ac:dyDescent="0.25">
      <c r="C46" s="614">
        <v>40</v>
      </c>
      <c r="D46" s="614">
        <v>11023</v>
      </c>
      <c r="E46" s="64" t="s">
        <v>1520</v>
      </c>
      <c r="F46" s="64" t="s">
        <v>4646</v>
      </c>
      <c r="G46" s="614" t="s">
        <v>48</v>
      </c>
      <c r="H46" s="614" t="s">
        <v>681</v>
      </c>
      <c r="I46" s="614" t="s">
        <v>1153</v>
      </c>
      <c r="J46" s="64" t="s">
        <v>3078</v>
      </c>
      <c r="K46" s="1940" t="s">
        <v>4647</v>
      </c>
      <c r="L46" s="1940" t="s">
        <v>7860</v>
      </c>
      <c r="M46" t="s">
        <v>11274</v>
      </c>
      <c r="N46" t="s">
        <v>9575</v>
      </c>
      <c r="O46" t="s">
        <v>4646</v>
      </c>
      <c r="P46" s="614">
        <f>COUNTIF(EducPlans_кодНАЦИД_Спец[аФакСец],EducPlans_кодНАЦИД_Спец[[#This Row],[аФакСец]])</f>
        <v>1</v>
      </c>
    </row>
    <row r="47" spans="3:16" x14ac:dyDescent="0.25">
      <c r="C47" s="614">
        <v>41</v>
      </c>
      <c r="D47" s="614">
        <v>11025</v>
      </c>
      <c r="E47" s="64" t="s">
        <v>1520</v>
      </c>
      <c r="F47" s="64" t="s">
        <v>4648</v>
      </c>
      <c r="G47" s="614" t="s">
        <v>48</v>
      </c>
      <c r="H47" s="614" t="s">
        <v>682</v>
      </c>
      <c r="I47" s="614" t="s">
        <v>1153</v>
      </c>
      <c r="J47" s="64" t="s">
        <v>3082</v>
      </c>
      <c r="K47" s="1940" t="s">
        <v>4649</v>
      </c>
      <c r="L47" s="1940" t="s">
        <v>7861</v>
      </c>
      <c r="M47" t="s">
        <v>11275</v>
      </c>
      <c r="N47" t="s">
        <v>9576</v>
      </c>
      <c r="O47" t="s">
        <v>4648</v>
      </c>
      <c r="P47" s="614">
        <f>COUNTIF(EducPlans_кодНАЦИД_Спец[аФакСец],EducPlans_кодНАЦИД_Спец[[#This Row],[аФакСец]])</f>
        <v>1</v>
      </c>
    </row>
    <row r="48" spans="3:16" x14ac:dyDescent="0.25">
      <c r="C48" s="614">
        <v>42</v>
      </c>
      <c r="D48" s="614">
        <v>11025</v>
      </c>
      <c r="E48" s="64" t="s">
        <v>1520</v>
      </c>
      <c r="F48" s="64" t="s">
        <v>4650</v>
      </c>
      <c r="G48" s="614" t="s">
        <v>48</v>
      </c>
      <c r="H48" s="614" t="s">
        <v>682</v>
      </c>
      <c r="I48" s="614" t="s">
        <v>1153</v>
      </c>
      <c r="J48" s="64" t="s">
        <v>3079</v>
      </c>
      <c r="K48" s="1940" t="s">
        <v>4649</v>
      </c>
      <c r="L48" s="1940" t="s">
        <v>7862</v>
      </c>
      <c r="M48" t="s">
        <v>11276</v>
      </c>
      <c r="N48" t="s">
        <v>9577</v>
      </c>
      <c r="O48" t="s">
        <v>4650</v>
      </c>
      <c r="P48" s="614">
        <f>COUNTIF(EducPlans_кодНАЦИД_Спец[аФакСец],EducPlans_кодНАЦИД_Спец[[#This Row],[аФакСец]])</f>
        <v>1</v>
      </c>
    </row>
    <row r="49" spans="3:16" x14ac:dyDescent="0.25">
      <c r="C49" s="614">
        <v>43</v>
      </c>
      <c r="D49" s="614">
        <v>11080</v>
      </c>
      <c r="E49" s="64" t="s">
        <v>1520</v>
      </c>
      <c r="F49" s="64" t="s">
        <v>4651</v>
      </c>
      <c r="G49" s="614" t="s">
        <v>48</v>
      </c>
      <c r="H49" s="614" t="s">
        <v>682</v>
      </c>
      <c r="I49" s="614" t="s">
        <v>1153</v>
      </c>
      <c r="J49" s="64" t="s">
        <v>3081</v>
      </c>
      <c r="K49" s="1940" t="s">
        <v>4652</v>
      </c>
      <c r="L49" s="1940" t="s">
        <v>7863</v>
      </c>
      <c r="M49" t="s">
        <v>11277</v>
      </c>
      <c r="N49" t="s">
        <v>9578</v>
      </c>
      <c r="O49" t="s">
        <v>4651</v>
      </c>
      <c r="P49" s="614">
        <f>COUNTIF(EducPlans_кодНАЦИД_Спец[аФакСец],EducPlans_кодНАЦИД_Спец[[#This Row],[аФакСец]])</f>
        <v>1</v>
      </c>
    </row>
    <row r="50" spans="3:16" x14ac:dyDescent="0.25">
      <c r="C50" s="614">
        <v>44</v>
      </c>
      <c r="D50" s="614">
        <v>11082</v>
      </c>
      <c r="E50" s="64" t="s">
        <v>1520</v>
      </c>
      <c r="F50" s="64" t="s">
        <v>4653</v>
      </c>
      <c r="G50" s="614" t="s">
        <v>48</v>
      </c>
      <c r="H50" s="614" t="s">
        <v>682</v>
      </c>
      <c r="I50" s="614" t="s">
        <v>1153</v>
      </c>
      <c r="J50" s="64" t="s">
        <v>3080</v>
      </c>
      <c r="K50" s="1940" t="s">
        <v>4654</v>
      </c>
      <c r="L50" s="1940" t="s">
        <v>7864</v>
      </c>
      <c r="M50" t="s">
        <v>11278</v>
      </c>
      <c r="N50" t="s">
        <v>9579</v>
      </c>
      <c r="O50" t="s">
        <v>4653</v>
      </c>
      <c r="P50" s="614">
        <f>COUNTIF(EducPlans_кодНАЦИД_Спец[аФакСец],EducPlans_кодНАЦИД_Спец[[#This Row],[аФакСец]])</f>
        <v>1</v>
      </c>
    </row>
    <row r="51" spans="3:16" x14ac:dyDescent="0.25">
      <c r="C51" s="614">
        <v>45</v>
      </c>
      <c r="D51" s="614">
        <v>11084</v>
      </c>
      <c r="E51" s="64" t="s">
        <v>1521</v>
      </c>
      <c r="F51" s="64" t="s">
        <v>4655</v>
      </c>
      <c r="G51" s="614" t="s">
        <v>48</v>
      </c>
      <c r="H51" s="614" t="s">
        <v>682</v>
      </c>
      <c r="I51" s="614" t="s">
        <v>1153</v>
      </c>
      <c r="J51" s="64" t="s">
        <v>3083</v>
      </c>
      <c r="K51" s="1940" t="s">
        <v>4656</v>
      </c>
      <c r="L51" s="1940" t="s">
        <v>7865</v>
      </c>
      <c r="M51" t="s">
        <v>11279</v>
      </c>
      <c r="N51" t="s">
        <v>9580</v>
      </c>
      <c r="O51" t="s">
        <v>4655</v>
      </c>
      <c r="P51" s="614">
        <f>COUNTIF(EducPlans_кодНАЦИД_Спец[аФакСец],EducPlans_кодНАЦИД_Спец[[#This Row],[аФакСец]])</f>
        <v>1</v>
      </c>
    </row>
    <row r="52" spans="3:16" x14ac:dyDescent="0.25">
      <c r="C52" s="614">
        <v>46</v>
      </c>
      <c r="D52" s="614">
        <v>12099</v>
      </c>
      <c r="E52" s="64" t="s">
        <v>1521</v>
      </c>
      <c r="F52" s="64" t="s">
        <v>4657</v>
      </c>
      <c r="G52" s="614" t="s">
        <v>29</v>
      </c>
      <c r="H52" s="614" t="s">
        <v>682</v>
      </c>
      <c r="I52" s="614" t="s">
        <v>1153</v>
      </c>
      <c r="J52" s="64" t="s">
        <v>4149</v>
      </c>
      <c r="K52" s="1940" t="s">
        <v>4658</v>
      </c>
      <c r="L52" s="1940" t="s">
        <v>7866</v>
      </c>
      <c r="M52" t="s">
        <v>11280</v>
      </c>
      <c r="N52" t="s">
        <v>9581</v>
      </c>
      <c r="O52" t="s">
        <v>4657</v>
      </c>
      <c r="P52" s="614">
        <f>COUNTIF(EducPlans_кодНАЦИД_Спец[аФакСец],EducPlans_кодНАЦИД_Спец[[#This Row],[аФакСец]])</f>
        <v>1</v>
      </c>
    </row>
    <row r="53" spans="3:16" x14ac:dyDescent="0.25">
      <c r="C53" s="614">
        <v>47</v>
      </c>
      <c r="D53" s="614">
        <v>11086</v>
      </c>
      <c r="E53" s="64" t="s">
        <v>1522</v>
      </c>
      <c r="F53" s="64" t="s">
        <v>4659</v>
      </c>
      <c r="G53" s="614" t="s">
        <v>48</v>
      </c>
      <c r="H53" s="614" t="s">
        <v>682</v>
      </c>
      <c r="I53" s="614" t="s">
        <v>1153</v>
      </c>
      <c r="J53" s="64" t="s">
        <v>3084</v>
      </c>
      <c r="K53" s="1940" t="s">
        <v>4660</v>
      </c>
      <c r="L53" s="1940" t="s">
        <v>7867</v>
      </c>
      <c r="M53" t="s">
        <v>11281</v>
      </c>
      <c r="N53" t="s">
        <v>9582</v>
      </c>
      <c r="O53" t="s">
        <v>4659</v>
      </c>
      <c r="P53" s="614">
        <f>COUNTIF(EducPlans_кодНАЦИД_Спец[аФакСец],EducPlans_кодНАЦИД_Спец[[#This Row],[аФакСец]])</f>
        <v>1</v>
      </c>
    </row>
    <row r="54" spans="3:16" x14ac:dyDescent="0.25">
      <c r="C54" s="614">
        <v>48</v>
      </c>
      <c r="D54" s="614">
        <v>11034</v>
      </c>
      <c r="E54" s="64" t="s">
        <v>1523</v>
      </c>
      <c r="F54" s="64" t="s">
        <v>4661</v>
      </c>
      <c r="G54" s="614" t="s">
        <v>48</v>
      </c>
      <c r="H54" s="614" t="s">
        <v>681</v>
      </c>
      <c r="I54" s="614" t="s">
        <v>1153</v>
      </c>
      <c r="J54" s="64" t="s">
        <v>3086</v>
      </c>
      <c r="K54" s="1940" t="s">
        <v>4662</v>
      </c>
      <c r="L54" s="1940" t="s">
        <v>7868</v>
      </c>
      <c r="M54" t="s">
        <v>11282</v>
      </c>
      <c r="N54" t="s">
        <v>9583</v>
      </c>
      <c r="O54" t="s">
        <v>4661</v>
      </c>
      <c r="P54" s="614">
        <f>COUNTIF(EducPlans_кодНАЦИД_Спец[аФакСец],EducPlans_кодНАЦИД_Спец[[#This Row],[аФакСец]])</f>
        <v>1</v>
      </c>
    </row>
    <row r="55" spans="3:16" x14ac:dyDescent="0.25">
      <c r="C55" s="614">
        <v>49</v>
      </c>
      <c r="D55" s="614">
        <v>11036</v>
      </c>
      <c r="E55" s="64" t="s">
        <v>1523</v>
      </c>
      <c r="F55" s="64" t="s">
        <v>4663</v>
      </c>
      <c r="G55" s="614" t="s">
        <v>48</v>
      </c>
      <c r="H55" s="614" t="s">
        <v>681</v>
      </c>
      <c r="I55" s="614" t="s">
        <v>1149</v>
      </c>
      <c r="J55" s="64" t="s">
        <v>3085</v>
      </c>
      <c r="K55" s="1940" t="s">
        <v>4664</v>
      </c>
      <c r="L55" s="1940" t="s">
        <v>7869</v>
      </c>
      <c r="M55" t="s">
        <v>11283</v>
      </c>
      <c r="N55" t="s">
        <v>9584</v>
      </c>
      <c r="O55" t="s">
        <v>4663</v>
      </c>
      <c r="P55" s="614">
        <f>COUNTIF(EducPlans_кодНАЦИД_Спец[аФакСец],EducPlans_кодНАЦИД_Спец[[#This Row],[аФакСец]])</f>
        <v>1</v>
      </c>
    </row>
    <row r="56" spans="3:16" x14ac:dyDescent="0.25">
      <c r="C56" s="614">
        <v>50</v>
      </c>
      <c r="D56" s="614">
        <v>928036</v>
      </c>
      <c r="E56" s="64" t="s">
        <v>13151</v>
      </c>
      <c r="F56" s="64" t="s">
        <v>13152</v>
      </c>
      <c r="G56" s="614" t="s">
        <v>31</v>
      </c>
      <c r="H56" s="614" t="s">
        <v>682</v>
      </c>
      <c r="I56" s="614" t="s">
        <v>1153</v>
      </c>
      <c r="J56" s="64" t="s">
        <v>13153</v>
      </c>
      <c r="K56" s="1940" t="s">
        <v>13154</v>
      </c>
      <c r="L56" s="1940" t="s">
        <v>13155</v>
      </c>
      <c r="M56" t="s">
        <v>13156</v>
      </c>
      <c r="N56" t="s">
        <v>13157</v>
      </c>
      <c r="O56" t="s">
        <v>13152</v>
      </c>
      <c r="P56" s="614">
        <f>COUNTIF(EducPlans_кодНАЦИД_Спец[аФакСец],EducPlans_кодНАЦИД_Спец[[#This Row],[аФакСец]])</f>
        <v>1</v>
      </c>
    </row>
    <row r="57" spans="3:16" x14ac:dyDescent="0.25">
      <c r="C57" s="614">
        <v>51</v>
      </c>
      <c r="D57" s="614">
        <v>857502</v>
      </c>
      <c r="E57" s="64" t="s">
        <v>13158</v>
      </c>
      <c r="F57" s="64" t="s">
        <v>13159</v>
      </c>
      <c r="G57" s="614" t="s">
        <v>628</v>
      </c>
      <c r="H57" s="614" t="s">
        <v>682</v>
      </c>
      <c r="I57" s="614" t="s">
        <v>1153</v>
      </c>
      <c r="J57" s="64" t="s">
        <v>13160</v>
      </c>
      <c r="K57" s="1940" t="s">
        <v>13161</v>
      </c>
      <c r="L57" s="1940" t="s">
        <v>13162</v>
      </c>
      <c r="M57" t="s">
        <v>13163</v>
      </c>
      <c r="N57" t="s">
        <v>13164</v>
      </c>
      <c r="O57" t="s">
        <v>13159</v>
      </c>
      <c r="P57" s="614">
        <f>COUNTIF(EducPlans_кодНАЦИД_Спец[аФакСец],EducPlans_кодНАЦИД_Спец[[#This Row],[аФакСец]])</f>
        <v>1</v>
      </c>
    </row>
    <row r="58" spans="3:16" x14ac:dyDescent="0.25">
      <c r="C58" s="614">
        <v>52</v>
      </c>
      <c r="D58" s="614">
        <v>12011</v>
      </c>
      <c r="E58" s="64" t="s">
        <v>2103</v>
      </c>
      <c r="F58" s="64" t="s">
        <v>4665</v>
      </c>
      <c r="G58" s="614" t="s">
        <v>628</v>
      </c>
      <c r="H58" s="614" t="s">
        <v>682</v>
      </c>
      <c r="I58" s="614" t="s">
        <v>1153</v>
      </c>
      <c r="J58" s="64" t="s">
        <v>4666</v>
      </c>
      <c r="K58" s="1940" t="s">
        <v>4667</v>
      </c>
      <c r="L58" s="1940" t="s">
        <v>7870</v>
      </c>
      <c r="M58" t="s">
        <v>11284</v>
      </c>
      <c r="N58" t="s">
        <v>9585</v>
      </c>
      <c r="O58" t="s">
        <v>4665</v>
      </c>
      <c r="P58" s="614">
        <f>COUNTIF(EducPlans_кодНАЦИД_Спец[аФакСец],EducPlans_кодНАЦИД_Спец[[#This Row],[аФакСец]])</f>
        <v>1</v>
      </c>
    </row>
    <row r="59" spans="3:16" x14ac:dyDescent="0.25">
      <c r="C59" s="614">
        <v>53</v>
      </c>
      <c r="D59" s="614">
        <v>12011</v>
      </c>
      <c r="E59" s="64" t="s">
        <v>2103</v>
      </c>
      <c r="F59" s="64" t="s">
        <v>4668</v>
      </c>
      <c r="G59" s="614" t="s">
        <v>628</v>
      </c>
      <c r="H59" s="614" t="s">
        <v>682</v>
      </c>
      <c r="I59" s="614" t="s">
        <v>1153</v>
      </c>
      <c r="J59" s="64" t="s">
        <v>4669</v>
      </c>
      <c r="K59" s="1940" t="s">
        <v>4667</v>
      </c>
      <c r="L59" s="1940" t="s">
        <v>7871</v>
      </c>
      <c r="M59" t="s">
        <v>11285</v>
      </c>
      <c r="N59" t="s">
        <v>9586</v>
      </c>
      <c r="O59" t="s">
        <v>4668</v>
      </c>
      <c r="P59" s="614">
        <f>COUNTIF(EducPlans_кодНАЦИД_Спец[аФакСец],EducPlans_кодНАЦИД_Спец[[#This Row],[аФакСец]])</f>
        <v>1</v>
      </c>
    </row>
    <row r="60" spans="3:16" x14ac:dyDescent="0.25">
      <c r="C60" s="614">
        <v>54</v>
      </c>
      <c r="D60" s="614">
        <v>12011</v>
      </c>
      <c r="E60" s="64" t="s">
        <v>2103</v>
      </c>
      <c r="F60" s="64" t="s">
        <v>4670</v>
      </c>
      <c r="G60" s="614" t="s">
        <v>628</v>
      </c>
      <c r="H60" s="614" t="s">
        <v>682</v>
      </c>
      <c r="I60" s="614" t="s">
        <v>1153</v>
      </c>
      <c r="J60" s="64" t="s">
        <v>4671</v>
      </c>
      <c r="K60" s="1940" t="s">
        <v>4667</v>
      </c>
      <c r="L60" s="1940" t="s">
        <v>7872</v>
      </c>
      <c r="M60" t="s">
        <v>11286</v>
      </c>
      <c r="N60" t="s">
        <v>9587</v>
      </c>
      <c r="O60" t="s">
        <v>4670</v>
      </c>
      <c r="P60" s="614">
        <f>COUNTIF(EducPlans_кодНАЦИД_Спец[аФакСец],EducPlans_кодНАЦИД_Спец[[#This Row],[аФакСец]])</f>
        <v>1</v>
      </c>
    </row>
    <row r="61" spans="3:16" x14ac:dyDescent="0.25">
      <c r="C61" s="614">
        <v>55</v>
      </c>
      <c r="D61" s="614">
        <v>12013</v>
      </c>
      <c r="E61" s="64" t="s">
        <v>2103</v>
      </c>
      <c r="F61" s="64" t="s">
        <v>4672</v>
      </c>
      <c r="G61" s="614" t="s">
        <v>628</v>
      </c>
      <c r="H61" s="614" t="s">
        <v>682</v>
      </c>
      <c r="I61" s="614" t="s">
        <v>1153</v>
      </c>
      <c r="J61" s="64" t="s">
        <v>4188</v>
      </c>
      <c r="K61" s="1940" t="s">
        <v>4673</v>
      </c>
      <c r="L61" s="1940" t="s">
        <v>7873</v>
      </c>
      <c r="M61" t="s">
        <v>11287</v>
      </c>
      <c r="N61" t="s">
        <v>9588</v>
      </c>
      <c r="O61" t="s">
        <v>4672</v>
      </c>
      <c r="P61" s="614">
        <f>COUNTIF(EducPlans_кодНАЦИД_Спец[аФакСец],EducPlans_кодНАЦИД_Спец[[#This Row],[аФакСец]])</f>
        <v>1</v>
      </c>
    </row>
    <row r="62" spans="3:16" x14ac:dyDescent="0.25">
      <c r="C62" s="614">
        <v>56</v>
      </c>
      <c r="D62" s="614">
        <v>12018</v>
      </c>
      <c r="E62" s="64" t="s">
        <v>2104</v>
      </c>
      <c r="F62" s="64" t="s">
        <v>4674</v>
      </c>
      <c r="G62" s="614" t="s">
        <v>628</v>
      </c>
      <c r="H62" s="614" t="s">
        <v>682</v>
      </c>
      <c r="I62" s="614" t="s">
        <v>1149</v>
      </c>
      <c r="J62" s="64" t="s">
        <v>4189</v>
      </c>
      <c r="K62" s="1940" t="s">
        <v>4675</v>
      </c>
      <c r="L62" s="1940" t="s">
        <v>7874</v>
      </c>
      <c r="M62" t="s">
        <v>11288</v>
      </c>
      <c r="N62" t="s">
        <v>9589</v>
      </c>
      <c r="O62" t="s">
        <v>4674</v>
      </c>
      <c r="P62" s="614">
        <f>COUNTIF(EducPlans_кодНАЦИД_Спец[аФакСец],EducPlans_кодНАЦИД_Спец[[#This Row],[аФакСец]])</f>
        <v>1</v>
      </c>
    </row>
    <row r="63" spans="3:16" x14ac:dyDescent="0.25">
      <c r="C63" s="614">
        <v>57</v>
      </c>
      <c r="D63" s="614">
        <v>11893</v>
      </c>
      <c r="E63" s="64" t="s">
        <v>2105</v>
      </c>
      <c r="F63" s="64" t="s">
        <v>4676</v>
      </c>
      <c r="G63" s="614" t="s">
        <v>628</v>
      </c>
      <c r="H63" s="614" t="s">
        <v>681</v>
      </c>
      <c r="I63" s="614" t="s">
        <v>1153</v>
      </c>
      <c r="J63" s="64" t="s">
        <v>4191</v>
      </c>
      <c r="K63" s="1940" t="s">
        <v>4677</v>
      </c>
      <c r="L63" s="1940" t="s">
        <v>7875</v>
      </c>
      <c r="M63" t="s">
        <v>11289</v>
      </c>
      <c r="N63" t="s">
        <v>9590</v>
      </c>
      <c r="O63" t="s">
        <v>4676</v>
      </c>
      <c r="P63" s="614">
        <f>COUNTIF(EducPlans_кодНАЦИД_Спец[аФакСец],EducPlans_кодНАЦИД_Спец[[#This Row],[аФакСец]])</f>
        <v>1</v>
      </c>
    </row>
    <row r="64" spans="3:16" x14ac:dyDescent="0.25">
      <c r="C64" s="614">
        <v>58</v>
      </c>
      <c r="D64" s="614">
        <v>11895</v>
      </c>
      <c r="E64" s="64" t="s">
        <v>2105</v>
      </c>
      <c r="F64" s="64" t="s">
        <v>4678</v>
      </c>
      <c r="G64" s="614" t="s">
        <v>628</v>
      </c>
      <c r="H64" s="614" t="s">
        <v>681</v>
      </c>
      <c r="I64" s="614" t="s">
        <v>1149</v>
      </c>
      <c r="J64" s="64" t="s">
        <v>4190</v>
      </c>
      <c r="K64" s="1940" t="s">
        <v>4679</v>
      </c>
      <c r="L64" s="1940" t="s">
        <v>7876</v>
      </c>
      <c r="M64" t="s">
        <v>11290</v>
      </c>
      <c r="N64" t="s">
        <v>9591</v>
      </c>
      <c r="O64" t="s">
        <v>4678</v>
      </c>
      <c r="P64" s="614">
        <f>COUNTIF(EducPlans_кодНАЦИД_Спец[аФакСец],EducPlans_кодНАЦИД_Спец[[#This Row],[аФакСец]])</f>
        <v>1</v>
      </c>
    </row>
    <row r="65" spans="3:16" x14ac:dyDescent="0.25">
      <c r="C65" s="614">
        <v>59</v>
      </c>
      <c r="D65" s="614">
        <v>724811</v>
      </c>
      <c r="E65" s="64" t="s">
        <v>2651</v>
      </c>
      <c r="F65" s="64" t="s">
        <v>12920</v>
      </c>
      <c r="G65" s="614" t="s">
        <v>12921</v>
      </c>
      <c r="H65" s="614" t="s">
        <v>682</v>
      </c>
      <c r="I65" s="614" t="s">
        <v>1153</v>
      </c>
      <c r="J65" s="64" t="s">
        <v>12922</v>
      </c>
      <c r="K65" s="1940" t="s">
        <v>12923</v>
      </c>
      <c r="L65" s="1940" t="s">
        <v>12924</v>
      </c>
      <c r="M65" t="s">
        <v>12925</v>
      </c>
      <c r="N65" t="s">
        <v>12926</v>
      </c>
      <c r="O65" t="s">
        <v>12920</v>
      </c>
      <c r="P65" s="614">
        <f>COUNTIF(EducPlans_кодНАЦИД_Спец[аФакСец],EducPlans_кодНАЦИД_Спец[[#This Row],[аФакСец]])</f>
        <v>1</v>
      </c>
    </row>
    <row r="66" spans="3:16" x14ac:dyDescent="0.25">
      <c r="C66" s="614">
        <v>60</v>
      </c>
      <c r="D66" s="614">
        <v>67129</v>
      </c>
      <c r="E66" s="64" t="s">
        <v>2651</v>
      </c>
      <c r="F66" s="64" t="s">
        <v>4680</v>
      </c>
      <c r="G66" s="614" t="s">
        <v>296</v>
      </c>
      <c r="H66" s="614" t="s">
        <v>682</v>
      </c>
      <c r="I66" s="614" t="s">
        <v>1153</v>
      </c>
      <c r="J66" s="64" t="s">
        <v>3759</v>
      </c>
      <c r="K66" s="1940" t="s">
        <v>4681</v>
      </c>
      <c r="L66" s="1940" t="s">
        <v>7877</v>
      </c>
      <c r="M66" t="s">
        <v>11291</v>
      </c>
      <c r="N66" t="s">
        <v>9592</v>
      </c>
      <c r="O66" t="s">
        <v>4680</v>
      </c>
      <c r="P66" s="614">
        <f>COUNTIF(EducPlans_кодНАЦИД_Спец[аФакСец],EducPlans_кодНАЦИД_Спец[[#This Row],[аФакСец]])</f>
        <v>1</v>
      </c>
    </row>
    <row r="67" spans="3:16" x14ac:dyDescent="0.25">
      <c r="C67" s="614">
        <v>61</v>
      </c>
      <c r="D67" s="614">
        <v>67129</v>
      </c>
      <c r="E67" s="64" t="s">
        <v>2651</v>
      </c>
      <c r="F67" s="64" t="s">
        <v>4682</v>
      </c>
      <c r="G67" s="614" t="s">
        <v>296</v>
      </c>
      <c r="H67" s="614" t="s">
        <v>682</v>
      </c>
      <c r="I67" s="614" t="s">
        <v>1153</v>
      </c>
      <c r="J67" s="64" t="s">
        <v>3760</v>
      </c>
      <c r="K67" s="1940" t="s">
        <v>4681</v>
      </c>
      <c r="L67" s="1940" t="s">
        <v>7878</v>
      </c>
      <c r="M67" t="s">
        <v>11292</v>
      </c>
      <c r="N67" t="s">
        <v>9593</v>
      </c>
      <c r="O67" t="s">
        <v>4682</v>
      </c>
      <c r="P67" s="614">
        <f>COUNTIF(EducPlans_кодНАЦИД_Спец[аФакСец],EducPlans_кодНАЦИД_Спец[[#This Row],[аФакСец]])</f>
        <v>1</v>
      </c>
    </row>
    <row r="68" spans="3:16" x14ac:dyDescent="0.25">
      <c r="C68" s="614">
        <v>62</v>
      </c>
      <c r="D68" s="614">
        <v>724812</v>
      </c>
      <c r="E68" s="64" t="s">
        <v>4683</v>
      </c>
      <c r="F68" s="64" t="s">
        <v>12927</v>
      </c>
      <c r="G68" s="614" t="s">
        <v>12921</v>
      </c>
      <c r="H68" s="614" t="s">
        <v>682</v>
      </c>
      <c r="I68" s="614" t="s">
        <v>1153</v>
      </c>
      <c r="J68" s="64" t="s">
        <v>12928</v>
      </c>
      <c r="K68" s="1940" t="s">
        <v>12929</v>
      </c>
      <c r="L68" s="1940" t="s">
        <v>12930</v>
      </c>
      <c r="M68" t="s">
        <v>12931</v>
      </c>
      <c r="N68" t="s">
        <v>12932</v>
      </c>
      <c r="O68" t="s">
        <v>12927</v>
      </c>
      <c r="P68" s="614">
        <f>COUNTIF(EducPlans_кодНАЦИД_Спец[аФакСец],EducPlans_кодНАЦИД_Спец[[#This Row],[аФакСец]])</f>
        <v>1</v>
      </c>
    </row>
    <row r="69" spans="3:16" x14ac:dyDescent="0.25">
      <c r="C69" s="614">
        <v>63</v>
      </c>
      <c r="D69" s="614">
        <v>586099</v>
      </c>
      <c r="E69" s="64" t="s">
        <v>4683</v>
      </c>
      <c r="F69" s="64" t="s">
        <v>4684</v>
      </c>
      <c r="G69" s="614" t="s">
        <v>296</v>
      </c>
      <c r="H69" s="614" t="s">
        <v>682</v>
      </c>
      <c r="I69" s="614" t="s">
        <v>1153</v>
      </c>
      <c r="J69" s="64" t="s">
        <v>4685</v>
      </c>
      <c r="K69" s="1940" t="s">
        <v>4686</v>
      </c>
      <c r="L69" s="1940" t="s">
        <v>7879</v>
      </c>
      <c r="M69" t="s">
        <v>11293</v>
      </c>
      <c r="N69" t="s">
        <v>9594</v>
      </c>
      <c r="O69" t="s">
        <v>4684</v>
      </c>
      <c r="P69" s="614">
        <f>COUNTIF(EducPlans_кодНАЦИД_Спец[аФакСец],EducPlans_кодНАЦИД_Спец[[#This Row],[аФакСец]])</f>
        <v>1</v>
      </c>
    </row>
    <row r="70" spans="3:16" x14ac:dyDescent="0.25">
      <c r="C70" s="614">
        <v>64</v>
      </c>
      <c r="D70" s="614">
        <v>12903</v>
      </c>
      <c r="E70" s="64" t="s">
        <v>1943</v>
      </c>
      <c r="F70" s="64" t="s">
        <v>4687</v>
      </c>
      <c r="G70" s="614" t="s">
        <v>626</v>
      </c>
      <c r="H70" s="614" t="s">
        <v>682</v>
      </c>
      <c r="I70" s="614" t="s">
        <v>1153</v>
      </c>
      <c r="J70" s="64" t="s">
        <v>4568</v>
      </c>
      <c r="K70" s="1940" t="s">
        <v>4688</v>
      </c>
      <c r="L70" s="1940" t="s">
        <v>7880</v>
      </c>
      <c r="M70" t="s">
        <v>11294</v>
      </c>
      <c r="N70" t="s">
        <v>9595</v>
      </c>
      <c r="O70" t="s">
        <v>4687</v>
      </c>
      <c r="P70" s="614">
        <f>COUNTIF(EducPlans_кодНАЦИД_Спец[аФакСец],EducPlans_кодНАЦИД_Спец[[#This Row],[аФакСец]])</f>
        <v>1</v>
      </c>
    </row>
    <row r="71" spans="3:16" x14ac:dyDescent="0.25">
      <c r="C71" s="614">
        <v>65</v>
      </c>
      <c r="D71" s="614">
        <v>12903</v>
      </c>
      <c r="E71" s="64" t="s">
        <v>1943</v>
      </c>
      <c r="F71" s="64" t="s">
        <v>4689</v>
      </c>
      <c r="G71" s="614" t="s">
        <v>626</v>
      </c>
      <c r="H71" s="614" t="s">
        <v>682</v>
      </c>
      <c r="I71" s="614" t="s">
        <v>1153</v>
      </c>
      <c r="J71" s="64" t="s">
        <v>4567</v>
      </c>
      <c r="K71" s="1940" t="s">
        <v>4688</v>
      </c>
      <c r="L71" s="1940" t="s">
        <v>7881</v>
      </c>
      <c r="M71" t="s">
        <v>11295</v>
      </c>
      <c r="N71" t="s">
        <v>9596</v>
      </c>
      <c r="O71" t="s">
        <v>4689</v>
      </c>
      <c r="P71" s="614">
        <f>COUNTIF(EducPlans_кодНАЦИД_Спец[аФакСец],EducPlans_кодНАЦИД_Спец[[#This Row],[аФакСец]])</f>
        <v>1</v>
      </c>
    </row>
    <row r="72" spans="3:16" x14ac:dyDescent="0.25">
      <c r="C72" s="614">
        <v>66</v>
      </c>
      <c r="D72" s="614">
        <v>12903</v>
      </c>
      <c r="E72" s="64" t="s">
        <v>1943</v>
      </c>
      <c r="F72" s="64" t="s">
        <v>4690</v>
      </c>
      <c r="G72" s="614" t="s">
        <v>626</v>
      </c>
      <c r="H72" s="614" t="s">
        <v>682</v>
      </c>
      <c r="I72" s="614" t="s">
        <v>1153</v>
      </c>
      <c r="J72" s="64" t="s">
        <v>3196</v>
      </c>
      <c r="K72" s="1940" t="s">
        <v>4688</v>
      </c>
      <c r="L72" s="1940" t="s">
        <v>7882</v>
      </c>
      <c r="M72" t="s">
        <v>11296</v>
      </c>
      <c r="N72" t="s">
        <v>9597</v>
      </c>
      <c r="O72" t="s">
        <v>4690</v>
      </c>
      <c r="P72" s="614">
        <f>COUNTIF(EducPlans_кодНАЦИД_Спец[аФакСец],EducPlans_кодНАЦИД_Спец[[#This Row],[аФакСец]])</f>
        <v>1</v>
      </c>
    </row>
    <row r="73" spans="3:16" x14ac:dyDescent="0.25">
      <c r="C73" s="614">
        <v>67</v>
      </c>
      <c r="D73" s="614">
        <v>12903</v>
      </c>
      <c r="E73" s="64" t="s">
        <v>1943</v>
      </c>
      <c r="F73" s="64" t="s">
        <v>4691</v>
      </c>
      <c r="G73" s="614" t="s">
        <v>626</v>
      </c>
      <c r="H73" s="614" t="s">
        <v>682</v>
      </c>
      <c r="I73" s="614" t="s">
        <v>1153</v>
      </c>
      <c r="J73" s="64" t="s">
        <v>3195</v>
      </c>
      <c r="K73" s="1940" t="s">
        <v>4688</v>
      </c>
      <c r="L73" s="1940" t="s">
        <v>7883</v>
      </c>
      <c r="M73" t="s">
        <v>11297</v>
      </c>
      <c r="N73" t="s">
        <v>9598</v>
      </c>
      <c r="O73" t="s">
        <v>4691</v>
      </c>
      <c r="P73" s="614">
        <f>COUNTIF(EducPlans_кодНАЦИД_Спец[аФакСец],EducPlans_кодНАЦИД_Спец[[#This Row],[аФакСец]])</f>
        <v>1</v>
      </c>
    </row>
    <row r="74" spans="3:16" x14ac:dyDescent="0.25">
      <c r="C74" s="614">
        <v>68</v>
      </c>
      <c r="D74" s="614">
        <v>11581</v>
      </c>
      <c r="E74" s="64" t="s">
        <v>1364</v>
      </c>
      <c r="F74" s="64" t="s">
        <v>4692</v>
      </c>
      <c r="G74" s="614" t="s">
        <v>33</v>
      </c>
      <c r="H74" s="614" t="s">
        <v>681</v>
      </c>
      <c r="I74" s="614" t="s">
        <v>1153</v>
      </c>
      <c r="J74" s="64" t="s">
        <v>3511</v>
      </c>
      <c r="K74" s="1940" t="s">
        <v>4693</v>
      </c>
      <c r="L74" s="1940" t="s">
        <v>7884</v>
      </c>
      <c r="M74" t="s">
        <v>11298</v>
      </c>
      <c r="N74" t="s">
        <v>9599</v>
      </c>
      <c r="O74" t="s">
        <v>4692</v>
      </c>
      <c r="P74" s="614">
        <f>COUNTIF(EducPlans_кодНАЦИД_Спец[аФакСец],EducPlans_кодНАЦИД_Спец[[#This Row],[аФакСец]])</f>
        <v>1</v>
      </c>
    </row>
    <row r="75" spans="3:16" x14ac:dyDescent="0.25">
      <c r="C75" s="614">
        <v>69</v>
      </c>
      <c r="D75" s="614">
        <v>11322</v>
      </c>
      <c r="E75" s="64" t="s">
        <v>1365</v>
      </c>
      <c r="F75" s="64" t="s">
        <v>4694</v>
      </c>
      <c r="G75" s="614" t="s">
        <v>647</v>
      </c>
      <c r="H75" s="614" t="s">
        <v>682</v>
      </c>
      <c r="I75" s="614" t="s">
        <v>1153</v>
      </c>
      <c r="J75" s="64" t="s">
        <v>2925</v>
      </c>
      <c r="K75" s="1940" t="s">
        <v>4695</v>
      </c>
      <c r="L75" s="1940" t="s">
        <v>7885</v>
      </c>
      <c r="M75" t="s">
        <v>11299</v>
      </c>
      <c r="N75" t="s">
        <v>9600</v>
      </c>
      <c r="O75" t="s">
        <v>4694</v>
      </c>
      <c r="P75" s="614">
        <f>COUNTIF(EducPlans_кодНАЦИД_Спец[аФакСец],EducPlans_кодНАЦИД_Спец[[#This Row],[аФакСец]])</f>
        <v>1</v>
      </c>
    </row>
    <row r="76" spans="3:16" x14ac:dyDescent="0.25">
      <c r="C76" s="614">
        <v>70</v>
      </c>
      <c r="D76" s="614">
        <v>11144</v>
      </c>
      <c r="E76" s="64" t="s">
        <v>1524</v>
      </c>
      <c r="F76" s="64" t="s">
        <v>4696</v>
      </c>
      <c r="G76" s="614" t="s">
        <v>48</v>
      </c>
      <c r="H76" s="614" t="s">
        <v>682</v>
      </c>
      <c r="I76" s="614" t="s">
        <v>1153</v>
      </c>
      <c r="J76" s="64" t="s">
        <v>3087</v>
      </c>
      <c r="K76" s="1940" t="s">
        <v>4697</v>
      </c>
      <c r="L76" s="1940" t="s">
        <v>7886</v>
      </c>
      <c r="M76" t="s">
        <v>11300</v>
      </c>
      <c r="N76" t="s">
        <v>9601</v>
      </c>
      <c r="O76" t="s">
        <v>4696</v>
      </c>
      <c r="P76" s="614">
        <f>COUNTIF(EducPlans_кодНАЦИД_Спец[аФакСец],EducPlans_кодНАЦИД_Спец[[#This Row],[аФакСец]])</f>
        <v>1</v>
      </c>
    </row>
    <row r="77" spans="3:16" x14ac:dyDescent="0.25">
      <c r="C77" s="614">
        <v>71</v>
      </c>
      <c r="D77" s="614">
        <v>11145</v>
      </c>
      <c r="E77" s="64" t="s">
        <v>1525</v>
      </c>
      <c r="F77" s="64" t="s">
        <v>4698</v>
      </c>
      <c r="G77" s="614" t="s">
        <v>48</v>
      </c>
      <c r="H77" s="614" t="s">
        <v>682</v>
      </c>
      <c r="I77" s="614" t="s">
        <v>1153</v>
      </c>
      <c r="J77" s="64" t="s">
        <v>3088</v>
      </c>
      <c r="K77" s="1940" t="s">
        <v>4699</v>
      </c>
      <c r="L77" s="1940" t="s">
        <v>7887</v>
      </c>
      <c r="M77" t="s">
        <v>11301</v>
      </c>
      <c r="N77" t="s">
        <v>9602</v>
      </c>
      <c r="O77" t="s">
        <v>4698</v>
      </c>
      <c r="P77" s="614">
        <f>COUNTIF(EducPlans_кодНАЦИД_Спец[аФакСец],EducPlans_кодНАЦИД_Спец[[#This Row],[аФакСец]])</f>
        <v>1</v>
      </c>
    </row>
    <row r="78" spans="3:16" x14ac:dyDescent="0.25">
      <c r="C78" s="614">
        <v>72</v>
      </c>
      <c r="D78" s="614">
        <v>11108</v>
      </c>
      <c r="E78" s="64" t="s">
        <v>1526</v>
      </c>
      <c r="F78" s="64" t="s">
        <v>4700</v>
      </c>
      <c r="G78" s="614" t="s">
        <v>48</v>
      </c>
      <c r="H78" s="614" t="s">
        <v>682</v>
      </c>
      <c r="I78" s="614" t="s">
        <v>1153</v>
      </c>
      <c r="J78" s="64" t="s">
        <v>4701</v>
      </c>
      <c r="K78" s="1940" t="s">
        <v>4702</v>
      </c>
      <c r="L78" s="1940" t="s">
        <v>7888</v>
      </c>
      <c r="M78" t="s">
        <v>11302</v>
      </c>
      <c r="N78" t="s">
        <v>9603</v>
      </c>
      <c r="O78" t="s">
        <v>4700</v>
      </c>
      <c r="P78" s="614">
        <f>COUNTIF(EducPlans_кодНАЦИД_Спец[аФакСец],EducPlans_кодНАЦИД_Спец[[#This Row],[аФакСец]])</f>
        <v>1</v>
      </c>
    </row>
    <row r="79" spans="3:16" x14ac:dyDescent="0.25">
      <c r="C79" s="614">
        <v>73</v>
      </c>
      <c r="D79" s="614">
        <v>11108</v>
      </c>
      <c r="E79" s="64" t="s">
        <v>1526</v>
      </c>
      <c r="F79" s="64" t="s">
        <v>4703</v>
      </c>
      <c r="G79" s="614" t="s">
        <v>48</v>
      </c>
      <c r="H79" s="614" t="s">
        <v>682</v>
      </c>
      <c r="I79" s="614" t="s">
        <v>1153</v>
      </c>
      <c r="J79" s="64" t="s">
        <v>4704</v>
      </c>
      <c r="K79" s="1940" t="s">
        <v>4702</v>
      </c>
      <c r="L79" s="1940" t="s">
        <v>7889</v>
      </c>
      <c r="M79" t="s">
        <v>11303</v>
      </c>
      <c r="N79" t="s">
        <v>9604</v>
      </c>
      <c r="O79" t="s">
        <v>4703</v>
      </c>
      <c r="P79" s="614">
        <f>COUNTIF(EducPlans_кодНАЦИД_Спец[аФакСец],EducPlans_кодНАЦИД_Спец[[#This Row],[аФакСец]])</f>
        <v>1</v>
      </c>
    </row>
    <row r="80" spans="3:16" x14ac:dyDescent="0.25">
      <c r="C80" s="614">
        <v>74</v>
      </c>
      <c r="D80" s="614">
        <v>11090</v>
      </c>
      <c r="E80" s="64" t="s">
        <v>1526</v>
      </c>
      <c r="F80" s="64" t="s">
        <v>4705</v>
      </c>
      <c r="G80" s="614" t="s">
        <v>48</v>
      </c>
      <c r="H80" s="614" t="s">
        <v>682</v>
      </c>
      <c r="I80" s="614" t="s">
        <v>1149</v>
      </c>
      <c r="J80" s="64" t="s">
        <v>4706</v>
      </c>
      <c r="K80" s="1940" t="s">
        <v>4707</v>
      </c>
      <c r="L80" s="1940" t="s">
        <v>7890</v>
      </c>
      <c r="M80" t="s">
        <v>11304</v>
      </c>
      <c r="N80" t="s">
        <v>9605</v>
      </c>
      <c r="O80" t="s">
        <v>4705</v>
      </c>
      <c r="P80" s="614">
        <f>COUNTIF(EducPlans_кодНАЦИД_Спец[аФакСец],EducPlans_кодНАЦИД_Спец[[#This Row],[аФакСец]])</f>
        <v>1</v>
      </c>
    </row>
    <row r="81" spans="3:16" x14ac:dyDescent="0.25">
      <c r="C81" s="614">
        <v>75</v>
      </c>
      <c r="D81" s="614">
        <v>11961</v>
      </c>
      <c r="E81" s="64" t="s">
        <v>2106</v>
      </c>
      <c r="F81" s="64" t="s">
        <v>4708</v>
      </c>
      <c r="G81" s="614" t="s">
        <v>628</v>
      </c>
      <c r="H81" s="614" t="s">
        <v>682</v>
      </c>
      <c r="I81" s="614" t="s">
        <v>1153</v>
      </c>
      <c r="J81" s="64" t="s">
        <v>4709</v>
      </c>
      <c r="K81" s="1940" t="s">
        <v>4710</v>
      </c>
      <c r="L81" s="1940" t="s">
        <v>7891</v>
      </c>
      <c r="M81" t="s">
        <v>11305</v>
      </c>
      <c r="N81" t="s">
        <v>9606</v>
      </c>
      <c r="O81" t="s">
        <v>4708</v>
      </c>
      <c r="P81" s="614">
        <f>COUNTIF(EducPlans_кодНАЦИД_Спец[аФакСец],EducPlans_кодНАЦИД_Спец[[#This Row],[аФакСец]])</f>
        <v>1</v>
      </c>
    </row>
    <row r="82" spans="3:16" x14ac:dyDescent="0.25">
      <c r="C82" s="614">
        <v>76</v>
      </c>
      <c r="D82" s="614">
        <v>11961</v>
      </c>
      <c r="E82" s="64" t="s">
        <v>2106</v>
      </c>
      <c r="F82" s="64" t="s">
        <v>4711</v>
      </c>
      <c r="G82" s="614" t="s">
        <v>628</v>
      </c>
      <c r="H82" s="614" t="s">
        <v>682</v>
      </c>
      <c r="I82" s="614" t="s">
        <v>1153</v>
      </c>
      <c r="J82" s="64" t="s">
        <v>4712</v>
      </c>
      <c r="K82" s="1940" t="s">
        <v>4710</v>
      </c>
      <c r="L82" s="1940" t="s">
        <v>7892</v>
      </c>
      <c r="M82" t="s">
        <v>11306</v>
      </c>
      <c r="N82" t="s">
        <v>9607</v>
      </c>
      <c r="O82" t="s">
        <v>4711</v>
      </c>
      <c r="P82" s="614">
        <f>COUNTIF(EducPlans_кодНАЦИД_Спец[аФакСец],EducPlans_кодНАЦИД_Спец[[#This Row],[аФакСец]])</f>
        <v>1</v>
      </c>
    </row>
    <row r="83" spans="3:16" x14ac:dyDescent="0.25">
      <c r="C83" s="614">
        <v>77</v>
      </c>
      <c r="D83" s="614">
        <v>11963</v>
      </c>
      <c r="E83" s="64" t="s">
        <v>2106</v>
      </c>
      <c r="F83" s="64" t="s">
        <v>4713</v>
      </c>
      <c r="G83" s="614" t="s">
        <v>628</v>
      </c>
      <c r="H83" s="614" t="s">
        <v>682</v>
      </c>
      <c r="I83" s="614" t="s">
        <v>1153</v>
      </c>
      <c r="J83" s="64" t="s">
        <v>4714</v>
      </c>
      <c r="K83" s="1940" t="s">
        <v>4710</v>
      </c>
      <c r="L83" s="1940" t="s">
        <v>7893</v>
      </c>
      <c r="M83" t="s">
        <v>11307</v>
      </c>
      <c r="N83" t="s">
        <v>9608</v>
      </c>
      <c r="O83" t="s">
        <v>4713</v>
      </c>
      <c r="P83" s="614">
        <f>COUNTIF(EducPlans_кодНАЦИД_Спец[аФакСец],EducPlans_кодНАЦИД_Спец[[#This Row],[аФакСец]])</f>
        <v>2</v>
      </c>
    </row>
    <row r="84" spans="3:16" x14ac:dyDescent="0.25">
      <c r="C84" s="614">
        <v>78</v>
      </c>
      <c r="D84" s="614">
        <v>11964</v>
      </c>
      <c r="E84" s="64" t="s">
        <v>2106</v>
      </c>
      <c r="F84" s="64" t="s">
        <v>4715</v>
      </c>
      <c r="G84" s="614" t="s">
        <v>628</v>
      </c>
      <c r="H84" s="614" t="s">
        <v>682</v>
      </c>
      <c r="I84" s="614" t="s">
        <v>1149</v>
      </c>
      <c r="J84" s="64" t="s">
        <v>4716</v>
      </c>
      <c r="K84" s="1940" t="s">
        <v>4717</v>
      </c>
      <c r="L84" s="1940" t="s">
        <v>7894</v>
      </c>
      <c r="M84" t="s">
        <v>11308</v>
      </c>
      <c r="N84" t="s">
        <v>9609</v>
      </c>
      <c r="O84" t="s">
        <v>4715</v>
      </c>
      <c r="P84" s="614">
        <f>COUNTIF(EducPlans_кодНАЦИД_Спец[аФакСец],EducPlans_кодНАЦИД_Спец[[#This Row],[аФакСец]])</f>
        <v>1</v>
      </c>
    </row>
    <row r="85" spans="3:16" x14ac:dyDescent="0.25">
      <c r="C85" s="614">
        <v>79</v>
      </c>
      <c r="D85" s="614">
        <v>11964</v>
      </c>
      <c r="E85" s="64" t="s">
        <v>2106</v>
      </c>
      <c r="F85" s="64" t="s">
        <v>4718</v>
      </c>
      <c r="G85" s="614" t="s">
        <v>628</v>
      </c>
      <c r="H85" s="614" t="s">
        <v>682</v>
      </c>
      <c r="I85" s="614" t="s">
        <v>1149</v>
      </c>
      <c r="J85" s="64" t="s">
        <v>4719</v>
      </c>
      <c r="K85" s="1940" t="s">
        <v>4717</v>
      </c>
      <c r="L85" s="1940" t="s">
        <v>7895</v>
      </c>
      <c r="M85" t="s">
        <v>11309</v>
      </c>
      <c r="N85" t="s">
        <v>9610</v>
      </c>
      <c r="O85" t="s">
        <v>4718</v>
      </c>
      <c r="P85" s="614">
        <f>COUNTIF(EducPlans_кодНАЦИД_Спец[аФакСец],EducPlans_кодНАЦИД_Спец[[#This Row],[аФакСец]])</f>
        <v>1</v>
      </c>
    </row>
    <row r="86" spans="3:16" x14ac:dyDescent="0.25">
      <c r="C86" s="614">
        <v>80</v>
      </c>
      <c r="D86" s="614">
        <v>11964</v>
      </c>
      <c r="E86" s="64" t="s">
        <v>2106</v>
      </c>
      <c r="F86" s="64" t="s">
        <v>4720</v>
      </c>
      <c r="G86" s="614" t="s">
        <v>628</v>
      </c>
      <c r="H86" s="614" t="s">
        <v>682</v>
      </c>
      <c r="I86" s="614" t="s">
        <v>1149</v>
      </c>
      <c r="J86" s="64" t="s">
        <v>4721</v>
      </c>
      <c r="K86" s="1940" t="s">
        <v>4717</v>
      </c>
      <c r="L86" s="1940" t="s">
        <v>7896</v>
      </c>
      <c r="M86" t="s">
        <v>11310</v>
      </c>
      <c r="N86" t="s">
        <v>9611</v>
      </c>
      <c r="O86" t="s">
        <v>4720</v>
      </c>
      <c r="P86" s="614">
        <f>COUNTIF(EducPlans_кодНАЦИД_Спец[аФакСец],EducPlans_кодНАЦИД_Спец[[#This Row],[аФакСец]])</f>
        <v>1</v>
      </c>
    </row>
    <row r="87" spans="3:16" x14ac:dyDescent="0.25">
      <c r="C87" s="614">
        <v>81</v>
      </c>
      <c r="D87" s="614">
        <v>11964</v>
      </c>
      <c r="E87" s="64" t="s">
        <v>2106</v>
      </c>
      <c r="F87" s="64" t="s">
        <v>4722</v>
      </c>
      <c r="G87" s="614" t="s">
        <v>628</v>
      </c>
      <c r="H87" s="614" t="s">
        <v>682</v>
      </c>
      <c r="I87" s="614" t="s">
        <v>1149</v>
      </c>
      <c r="J87" s="64" t="s">
        <v>4723</v>
      </c>
      <c r="K87" s="1940" t="s">
        <v>4717</v>
      </c>
      <c r="L87" s="1940" t="s">
        <v>7897</v>
      </c>
      <c r="M87" t="s">
        <v>11311</v>
      </c>
      <c r="N87" t="s">
        <v>9612</v>
      </c>
      <c r="O87" t="s">
        <v>4722</v>
      </c>
      <c r="P87" s="614">
        <f>COUNTIF(EducPlans_кодНАЦИД_Спец[аФакСец],EducPlans_кодНАЦИД_Спец[[#This Row],[аФакСец]])</f>
        <v>2</v>
      </c>
    </row>
    <row r="88" spans="3:16" x14ac:dyDescent="0.25">
      <c r="C88" s="614">
        <v>82</v>
      </c>
      <c r="D88" s="614">
        <v>11964</v>
      </c>
      <c r="E88" s="64" t="s">
        <v>2106</v>
      </c>
      <c r="F88" s="64" t="s">
        <v>4724</v>
      </c>
      <c r="G88" s="614" t="s">
        <v>628</v>
      </c>
      <c r="H88" s="614" t="s">
        <v>682</v>
      </c>
      <c r="I88" s="614" t="s">
        <v>1149</v>
      </c>
      <c r="J88" s="64" t="s">
        <v>4725</v>
      </c>
      <c r="K88" s="1940" t="s">
        <v>4717</v>
      </c>
      <c r="L88" s="1940" t="s">
        <v>7898</v>
      </c>
      <c r="M88" t="s">
        <v>11312</v>
      </c>
      <c r="N88" t="s">
        <v>9613</v>
      </c>
      <c r="O88" t="s">
        <v>4724</v>
      </c>
      <c r="P88" s="614">
        <f>COUNTIF(EducPlans_кодНАЦИД_Спец[аФакСец],EducPlans_кодНАЦИД_Спец[[#This Row],[аФакСец]])</f>
        <v>1</v>
      </c>
    </row>
    <row r="89" spans="3:16" x14ac:dyDescent="0.25">
      <c r="C89" s="614">
        <v>83</v>
      </c>
      <c r="D89" s="614">
        <v>11964</v>
      </c>
      <c r="E89" s="64" t="s">
        <v>2106</v>
      </c>
      <c r="F89" s="64" t="s">
        <v>4726</v>
      </c>
      <c r="G89" s="614" t="s">
        <v>628</v>
      </c>
      <c r="H89" s="614" t="s">
        <v>682</v>
      </c>
      <c r="I89" s="614" t="s">
        <v>1149</v>
      </c>
      <c r="J89" s="64" t="s">
        <v>4727</v>
      </c>
      <c r="K89" s="1940" t="s">
        <v>4717</v>
      </c>
      <c r="L89" s="1940" t="s">
        <v>7899</v>
      </c>
      <c r="M89" t="s">
        <v>11313</v>
      </c>
      <c r="N89" t="s">
        <v>9614</v>
      </c>
      <c r="O89" t="s">
        <v>4726</v>
      </c>
      <c r="P89" s="614">
        <f>COUNTIF(EducPlans_кодНАЦИД_Спец[аФакСец],EducPlans_кодНАЦИД_Спец[[#This Row],[аФакСец]])</f>
        <v>1</v>
      </c>
    </row>
    <row r="90" spans="3:16" x14ac:dyDescent="0.25">
      <c r="C90" s="614">
        <v>84</v>
      </c>
      <c r="D90" s="614">
        <v>12033</v>
      </c>
      <c r="E90" s="64" t="s">
        <v>2455</v>
      </c>
      <c r="F90" s="64" t="s">
        <v>4728</v>
      </c>
      <c r="G90" s="614" t="s">
        <v>628</v>
      </c>
      <c r="H90" s="614" t="s">
        <v>682</v>
      </c>
      <c r="I90" s="614" t="s">
        <v>1153</v>
      </c>
      <c r="J90" s="64" t="s">
        <v>4193</v>
      </c>
      <c r="K90" s="1940" t="s">
        <v>4729</v>
      </c>
      <c r="L90" s="1940" t="s">
        <v>7900</v>
      </c>
      <c r="M90" t="s">
        <v>11314</v>
      </c>
      <c r="N90" t="s">
        <v>9615</v>
      </c>
      <c r="O90" t="s">
        <v>4728</v>
      </c>
      <c r="P90" s="614">
        <f>COUNTIF(EducPlans_кодНАЦИД_Спец[аФакСец],EducPlans_кодНАЦИД_Спец[[#This Row],[аФакСец]])</f>
        <v>1</v>
      </c>
    </row>
    <row r="91" spans="3:16" x14ac:dyDescent="0.25">
      <c r="C91" s="614">
        <v>85</v>
      </c>
      <c r="D91" s="614">
        <v>12041</v>
      </c>
      <c r="E91" s="64" t="s">
        <v>2456</v>
      </c>
      <c r="F91" s="64" t="s">
        <v>4730</v>
      </c>
      <c r="G91" s="614" t="s">
        <v>628</v>
      </c>
      <c r="H91" s="614" t="s">
        <v>682</v>
      </c>
      <c r="I91" s="614" t="s">
        <v>1149</v>
      </c>
      <c r="J91" s="64" t="s">
        <v>4194</v>
      </c>
      <c r="K91" s="1940" t="s">
        <v>4731</v>
      </c>
      <c r="L91" s="1940" t="s">
        <v>7901</v>
      </c>
      <c r="M91" t="s">
        <v>11315</v>
      </c>
      <c r="N91" t="s">
        <v>9616</v>
      </c>
      <c r="O91" t="s">
        <v>4730</v>
      </c>
      <c r="P91" s="614">
        <f>COUNTIF(EducPlans_кодНАЦИД_Спец[аФакСец],EducPlans_кодНАЦИД_Спец[[#This Row],[аФакСец]])</f>
        <v>1</v>
      </c>
    </row>
    <row r="92" spans="3:16" x14ac:dyDescent="0.25">
      <c r="C92" s="614">
        <v>86</v>
      </c>
      <c r="D92" s="614">
        <v>12031</v>
      </c>
      <c r="E92" s="64" t="s">
        <v>2457</v>
      </c>
      <c r="F92" s="64" t="s">
        <v>4732</v>
      </c>
      <c r="G92" s="614" t="s">
        <v>628</v>
      </c>
      <c r="H92" s="614" t="s">
        <v>682</v>
      </c>
      <c r="I92" s="614" t="s">
        <v>1149</v>
      </c>
      <c r="J92" s="64" t="s">
        <v>4196</v>
      </c>
      <c r="K92" s="1940" t="s">
        <v>4733</v>
      </c>
      <c r="L92" s="1940" t="s">
        <v>7902</v>
      </c>
      <c r="M92" t="s">
        <v>11316</v>
      </c>
      <c r="N92" t="s">
        <v>9617</v>
      </c>
      <c r="O92" t="s">
        <v>4732</v>
      </c>
      <c r="P92" s="614">
        <f>COUNTIF(EducPlans_кодНАЦИД_Спец[аФакСец],EducPlans_кодНАЦИД_Спец[[#This Row],[аФакСец]])</f>
        <v>1</v>
      </c>
    </row>
    <row r="93" spans="3:16" x14ac:dyDescent="0.25">
      <c r="C93" s="614">
        <v>87</v>
      </c>
      <c r="D93" s="614">
        <v>12042</v>
      </c>
      <c r="E93" s="64" t="s">
        <v>2458</v>
      </c>
      <c r="F93" s="64" t="s">
        <v>4734</v>
      </c>
      <c r="G93" s="614" t="s">
        <v>628</v>
      </c>
      <c r="H93" s="614" t="s">
        <v>682</v>
      </c>
      <c r="I93" s="614" t="s">
        <v>1153</v>
      </c>
      <c r="J93" s="64" t="s">
        <v>4714</v>
      </c>
      <c r="K93" s="1940" t="s">
        <v>4735</v>
      </c>
      <c r="L93" s="1940" t="s">
        <v>7893</v>
      </c>
      <c r="M93" t="s">
        <v>11317</v>
      </c>
      <c r="N93" t="s">
        <v>9608</v>
      </c>
      <c r="O93" t="s">
        <v>4734</v>
      </c>
      <c r="P93" s="614">
        <f>COUNTIF(EducPlans_кодНАЦИД_Спец[аФакСец],EducPlans_кодНАЦИД_Спец[[#This Row],[аФакСец]])</f>
        <v>2</v>
      </c>
    </row>
    <row r="94" spans="3:16" x14ac:dyDescent="0.25">
      <c r="C94" s="614">
        <v>88</v>
      </c>
      <c r="D94" s="614">
        <v>12043</v>
      </c>
      <c r="E94" s="64" t="s">
        <v>2458</v>
      </c>
      <c r="F94" s="64" t="s">
        <v>4736</v>
      </c>
      <c r="G94" s="614" t="s">
        <v>628</v>
      </c>
      <c r="H94" s="614" t="s">
        <v>682</v>
      </c>
      <c r="I94" s="614" t="s">
        <v>1149</v>
      </c>
      <c r="J94" s="64" t="s">
        <v>4723</v>
      </c>
      <c r="K94" s="1940" t="s">
        <v>4737</v>
      </c>
      <c r="L94" s="1940" t="s">
        <v>7897</v>
      </c>
      <c r="M94" t="s">
        <v>11318</v>
      </c>
      <c r="N94" t="s">
        <v>9612</v>
      </c>
      <c r="O94" t="s">
        <v>4736</v>
      </c>
      <c r="P94" s="614">
        <f>COUNTIF(EducPlans_кодНАЦИД_Спец[аФакСец],EducPlans_кодНАЦИД_Спец[[#This Row],[аФакСец]])</f>
        <v>2</v>
      </c>
    </row>
    <row r="95" spans="3:16" x14ac:dyDescent="0.25">
      <c r="C95" s="614">
        <v>89</v>
      </c>
      <c r="D95" s="614">
        <v>10988</v>
      </c>
      <c r="E95" s="64" t="s">
        <v>1785</v>
      </c>
      <c r="F95" s="64" t="s">
        <v>4738</v>
      </c>
      <c r="G95" s="614" t="s">
        <v>35</v>
      </c>
      <c r="H95" s="614" t="s">
        <v>682</v>
      </c>
      <c r="I95" s="614" t="s">
        <v>1149</v>
      </c>
      <c r="J95" s="64" t="s">
        <v>4739</v>
      </c>
      <c r="K95" s="1940" t="s">
        <v>4740</v>
      </c>
      <c r="L95" s="1940" t="s">
        <v>7903</v>
      </c>
      <c r="M95" t="s">
        <v>11319</v>
      </c>
      <c r="N95" t="s">
        <v>9618</v>
      </c>
      <c r="O95" t="s">
        <v>4738</v>
      </c>
      <c r="P95" s="614">
        <f>COUNTIF(EducPlans_кодНАЦИД_Спец[аФакСец],EducPlans_кодНАЦИД_Спец[[#This Row],[аФакСец]])</f>
        <v>1</v>
      </c>
    </row>
    <row r="96" spans="3:16" x14ac:dyDescent="0.25">
      <c r="C96" s="614">
        <v>90</v>
      </c>
      <c r="D96" s="614">
        <v>10988</v>
      </c>
      <c r="E96" s="64" t="s">
        <v>1785</v>
      </c>
      <c r="F96" s="64" t="s">
        <v>4741</v>
      </c>
      <c r="G96" s="614" t="s">
        <v>35</v>
      </c>
      <c r="H96" s="614" t="s">
        <v>682</v>
      </c>
      <c r="I96" s="614" t="s">
        <v>1149</v>
      </c>
      <c r="J96" s="64" t="s">
        <v>4742</v>
      </c>
      <c r="K96" s="1940" t="s">
        <v>4740</v>
      </c>
      <c r="L96" s="1940" t="s">
        <v>7904</v>
      </c>
      <c r="M96" t="s">
        <v>11320</v>
      </c>
      <c r="N96" t="s">
        <v>9619</v>
      </c>
      <c r="O96" t="s">
        <v>4741</v>
      </c>
      <c r="P96" s="614">
        <f>COUNTIF(EducPlans_кодНАЦИД_Спец[аФакСец],EducPlans_кодНАЦИД_Спец[[#This Row],[аФакСец]])</f>
        <v>1</v>
      </c>
    </row>
    <row r="97" spans="3:16" x14ac:dyDescent="0.25">
      <c r="C97" s="614">
        <v>91</v>
      </c>
      <c r="D97" s="614">
        <v>10988</v>
      </c>
      <c r="E97" s="64" t="s">
        <v>1785</v>
      </c>
      <c r="F97" s="64" t="s">
        <v>4743</v>
      </c>
      <c r="G97" s="614" t="s">
        <v>35</v>
      </c>
      <c r="H97" s="614" t="s">
        <v>682</v>
      </c>
      <c r="I97" s="614" t="s">
        <v>1149</v>
      </c>
      <c r="J97" s="64" t="s">
        <v>4744</v>
      </c>
      <c r="K97" s="1940" t="s">
        <v>4740</v>
      </c>
      <c r="L97" s="1940" t="s">
        <v>7905</v>
      </c>
      <c r="M97" t="s">
        <v>11321</v>
      </c>
      <c r="N97" t="s">
        <v>9620</v>
      </c>
      <c r="O97" t="s">
        <v>4743</v>
      </c>
      <c r="P97" s="614">
        <f>COUNTIF(EducPlans_кодНАЦИД_Спец[аФакСец],EducPlans_кодНАЦИД_Спец[[#This Row],[аФакСец]])</f>
        <v>1</v>
      </c>
    </row>
    <row r="98" spans="3:16" x14ac:dyDescent="0.25">
      <c r="C98" s="614">
        <v>92</v>
      </c>
      <c r="D98" s="614">
        <v>10849</v>
      </c>
      <c r="E98" s="64" t="s">
        <v>1787</v>
      </c>
      <c r="F98" s="64" t="s">
        <v>4745</v>
      </c>
      <c r="G98" s="614" t="s">
        <v>35</v>
      </c>
      <c r="H98" s="614" t="s">
        <v>681</v>
      </c>
      <c r="I98" s="614" t="s">
        <v>1153</v>
      </c>
      <c r="J98" s="64" t="s">
        <v>3974</v>
      </c>
      <c r="K98" s="1940" t="s">
        <v>4746</v>
      </c>
      <c r="L98" s="1940" t="s">
        <v>7906</v>
      </c>
      <c r="M98" t="s">
        <v>11322</v>
      </c>
      <c r="N98" t="s">
        <v>9621</v>
      </c>
      <c r="O98" t="s">
        <v>4745</v>
      </c>
      <c r="P98" s="614">
        <f>COUNTIF(EducPlans_кодНАЦИД_Спец[аФакСец],EducPlans_кодНАЦИД_Спец[[#This Row],[аФакСец]])</f>
        <v>1</v>
      </c>
    </row>
    <row r="99" spans="3:16" x14ac:dyDescent="0.25">
      <c r="C99" s="614">
        <v>93</v>
      </c>
      <c r="D99" s="614">
        <v>10850</v>
      </c>
      <c r="E99" s="64" t="s">
        <v>1787</v>
      </c>
      <c r="F99" s="64" t="s">
        <v>4747</v>
      </c>
      <c r="G99" s="614" t="s">
        <v>35</v>
      </c>
      <c r="H99" s="614" t="s">
        <v>681</v>
      </c>
      <c r="I99" s="614" t="s">
        <v>1149</v>
      </c>
      <c r="J99" s="64" t="s">
        <v>3973</v>
      </c>
      <c r="K99" s="1940" t="s">
        <v>4748</v>
      </c>
      <c r="L99" s="1940" t="s">
        <v>7907</v>
      </c>
      <c r="M99" t="s">
        <v>11323</v>
      </c>
      <c r="N99" t="s">
        <v>9622</v>
      </c>
      <c r="O99" t="s">
        <v>4747</v>
      </c>
      <c r="P99" s="614">
        <f>COUNTIF(EducPlans_кодНАЦИД_Спец[аФакСец],EducPlans_кодНАЦИД_Спец[[#This Row],[аФакСец]])</f>
        <v>1</v>
      </c>
    </row>
    <row r="100" spans="3:16" x14ac:dyDescent="0.25">
      <c r="C100" s="614">
        <v>94</v>
      </c>
      <c r="D100" s="614">
        <v>10989</v>
      </c>
      <c r="E100" s="64" t="s">
        <v>1788</v>
      </c>
      <c r="F100" s="64" t="s">
        <v>4749</v>
      </c>
      <c r="G100" s="614" t="s">
        <v>35</v>
      </c>
      <c r="H100" s="614" t="s">
        <v>682</v>
      </c>
      <c r="I100" s="614" t="s">
        <v>1149</v>
      </c>
      <c r="J100" s="64" t="s">
        <v>3977</v>
      </c>
      <c r="K100" s="1940" t="s">
        <v>4750</v>
      </c>
      <c r="L100" s="1940" t="s">
        <v>7908</v>
      </c>
      <c r="M100" t="s">
        <v>11324</v>
      </c>
      <c r="N100" t="s">
        <v>9623</v>
      </c>
      <c r="O100" t="s">
        <v>4749</v>
      </c>
      <c r="P100" s="614">
        <f>COUNTIF(EducPlans_кодНАЦИД_Спец[аФакСец],EducPlans_кодНАЦИД_Спец[[#This Row],[аФакСец]])</f>
        <v>1</v>
      </c>
    </row>
    <row r="101" spans="3:16" x14ac:dyDescent="0.25">
      <c r="C101" s="614">
        <v>95</v>
      </c>
      <c r="D101" s="614">
        <v>10989</v>
      </c>
      <c r="E101" s="64" t="s">
        <v>1788</v>
      </c>
      <c r="F101" s="64" t="s">
        <v>4751</v>
      </c>
      <c r="G101" s="614" t="s">
        <v>35</v>
      </c>
      <c r="H101" s="614" t="s">
        <v>682</v>
      </c>
      <c r="I101" s="614" t="s">
        <v>1149</v>
      </c>
      <c r="J101" s="64" t="s">
        <v>3975</v>
      </c>
      <c r="K101" s="1940" t="s">
        <v>4750</v>
      </c>
      <c r="L101" s="1940" t="s">
        <v>7909</v>
      </c>
      <c r="M101" t="s">
        <v>11325</v>
      </c>
      <c r="N101" t="s">
        <v>9624</v>
      </c>
      <c r="O101" t="s">
        <v>4751</v>
      </c>
      <c r="P101" s="614">
        <f>COUNTIF(EducPlans_кодНАЦИД_Спец[аФакСец],EducPlans_кодНАЦИД_Спец[[#This Row],[аФакСец]])</f>
        <v>1</v>
      </c>
    </row>
    <row r="102" spans="3:16" x14ac:dyDescent="0.25">
      <c r="C102" s="614">
        <v>96</v>
      </c>
      <c r="D102" s="614">
        <v>10989</v>
      </c>
      <c r="E102" s="64" t="s">
        <v>1788</v>
      </c>
      <c r="F102" s="64" t="s">
        <v>4752</v>
      </c>
      <c r="G102" s="614" t="s">
        <v>35</v>
      </c>
      <c r="H102" s="614" t="s">
        <v>682</v>
      </c>
      <c r="I102" s="614" t="s">
        <v>1149</v>
      </c>
      <c r="J102" s="64" t="s">
        <v>3976</v>
      </c>
      <c r="K102" s="1940" t="s">
        <v>4750</v>
      </c>
      <c r="L102" s="1940" t="s">
        <v>7910</v>
      </c>
      <c r="M102" t="s">
        <v>11326</v>
      </c>
      <c r="N102" t="s">
        <v>9625</v>
      </c>
      <c r="O102" t="s">
        <v>4752</v>
      </c>
      <c r="P102" s="614">
        <f>COUNTIF(EducPlans_кодНАЦИД_Спец[аФакСец],EducPlans_кодНАЦИД_Спец[[#This Row],[аФакСец]])</f>
        <v>1</v>
      </c>
    </row>
    <row r="103" spans="3:16" x14ac:dyDescent="0.25">
      <c r="C103" s="614">
        <v>97</v>
      </c>
      <c r="D103" s="614">
        <v>10997</v>
      </c>
      <c r="E103" s="64" t="s">
        <v>1788</v>
      </c>
      <c r="F103" s="64" t="s">
        <v>4753</v>
      </c>
      <c r="G103" s="614" t="s">
        <v>35</v>
      </c>
      <c r="H103" s="614" t="s">
        <v>682</v>
      </c>
      <c r="I103" s="614" t="s">
        <v>1149</v>
      </c>
      <c r="J103" s="64" t="s">
        <v>3978</v>
      </c>
      <c r="K103" s="1940" t="s">
        <v>4754</v>
      </c>
      <c r="L103" s="1940" t="s">
        <v>7911</v>
      </c>
      <c r="M103" t="s">
        <v>11327</v>
      </c>
      <c r="N103" t="s">
        <v>9626</v>
      </c>
      <c r="O103" t="s">
        <v>4753</v>
      </c>
      <c r="P103" s="614">
        <f>COUNTIF(EducPlans_кодНАЦИД_Спец[аФакСец],EducPlans_кодНАЦИД_Спец[[#This Row],[аФакСец]])</f>
        <v>1</v>
      </c>
    </row>
    <row r="104" spans="3:16" x14ac:dyDescent="0.25">
      <c r="C104" s="614">
        <v>98</v>
      </c>
      <c r="D104" s="614">
        <v>10992</v>
      </c>
      <c r="E104" s="64" t="s">
        <v>1789</v>
      </c>
      <c r="F104" s="64" t="s">
        <v>4755</v>
      </c>
      <c r="G104" s="614" t="s">
        <v>35</v>
      </c>
      <c r="H104" s="614" t="s">
        <v>682</v>
      </c>
      <c r="I104" s="614" t="s">
        <v>1149</v>
      </c>
      <c r="J104" s="64" t="s">
        <v>3979</v>
      </c>
      <c r="K104" s="1940" t="s">
        <v>4756</v>
      </c>
      <c r="L104" s="1940" t="s">
        <v>7912</v>
      </c>
      <c r="M104" t="s">
        <v>11328</v>
      </c>
      <c r="N104" t="s">
        <v>9627</v>
      </c>
      <c r="O104" t="s">
        <v>4755</v>
      </c>
      <c r="P104" s="614">
        <f>COUNTIF(EducPlans_кодНАЦИД_Спец[аФакСец],EducPlans_кодНАЦИД_Спец[[#This Row],[аФакСец]])</f>
        <v>1</v>
      </c>
    </row>
    <row r="105" spans="3:16" x14ac:dyDescent="0.25">
      <c r="C105" s="614">
        <v>99</v>
      </c>
      <c r="D105" s="614">
        <v>10992</v>
      </c>
      <c r="E105" s="64" t="s">
        <v>1789</v>
      </c>
      <c r="F105" s="64" t="s">
        <v>4757</v>
      </c>
      <c r="G105" s="614" t="s">
        <v>35</v>
      </c>
      <c r="H105" s="614" t="s">
        <v>682</v>
      </c>
      <c r="I105" s="614" t="s">
        <v>1149</v>
      </c>
      <c r="J105" s="64" t="s">
        <v>3980</v>
      </c>
      <c r="K105" s="1940" t="s">
        <v>4756</v>
      </c>
      <c r="L105" s="1940" t="s">
        <v>7913</v>
      </c>
      <c r="M105" t="s">
        <v>11329</v>
      </c>
      <c r="N105" t="s">
        <v>9628</v>
      </c>
      <c r="O105" t="s">
        <v>4757</v>
      </c>
      <c r="P105" s="614">
        <f>COUNTIF(EducPlans_кодНАЦИД_Спец[аФакСец],EducPlans_кодНАЦИД_Спец[[#This Row],[аФакСец]])</f>
        <v>1</v>
      </c>
    </row>
    <row r="106" spans="3:16" x14ac:dyDescent="0.25">
      <c r="C106" s="614">
        <v>100</v>
      </c>
      <c r="D106" s="614">
        <v>10994</v>
      </c>
      <c r="E106" s="64" t="s">
        <v>1790</v>
      </c>
      <c r="F106" s="64" t="s">
        <v>4758</v>
      </c>
      <c r="G106" s="614" t="s">
        <v>35</v>
      </c>
      <c r="H106" s="614" t="s">
        <v>682</v>
      </c>
      <c r="I106" s="614" t="s">
        <v>1149</v>
      </c>
      <c r="J106" s="64" t="s">
        <v>3982</v>
      </c>
      <c r="K106" s="1940" t="s">
        <v>4759</v>
      </c>
      <c r="L106" s="1940" t="s">
        <v>7914</v>
      </c>
      <c r="M106" t="s">
        <v>11330</v>
      </c>
      <c r="N106" t="s">
        <v>9629</v>
      </c>
      <c r="O106" t="s">
        <v>4758</v>
      </c>
      <c r="P106" s="614">
        <f>COUNTIF(EducPlans_кодНАЦИД_Спец[аФакСец],EducPlans_кодНАЦИД_Спец[[#This Row],[аФакСец]])</f>
        <v>1</v>
      </c>
    </row>
    <row r="107" spans="3:16" x14ac:dyDescent="0.25">
      <c r="C107" s="614">
        <v>101</v>
      </c>
      <c r="D107" s="614">
        <v>10994</v>
      </c>
      <c r="E107" s="64" t="s">
        <v>1790</v>
      </c>
      <c r="F107" s="64" t="s">
        <v>4760</v>
      </c>
      <c r="G107" s="614" t="s">
        <v>35</v>
      </c>
      <c r="H107" s="614" t="s">
        <v>682</v>
      </c>
      <c r="I107" s="614" t="s">
        <v>1149</v>
      </c>
      <c r="J107" s="64" t="s">
        <v>3981</v>
      </c>
      <c r="K107" s="1940" t="s">
        <v>4759</v>
      </c>
      <c r="L107" s="1940" t="s">
        <v>7915</v>
      </c>
      <c r="M107" t="s">
        <v>11331</v>
      </c>
      <c r="N107" t="s">
        <v>9630</v>
      </c>
      <c r="O107" t="s">
        <v>4760</v>
      </c>
      <c r="P107" s="614">
        <f>COUNTIF(EducPlans_кодНАЦИД_Спец[аФакСец],EducPlans_кодНАЦИД_Спец[[#This Row],[аФакСец]])</f>
        <v>1</v>
      </c>
    </row>
    <row r="108" spans="3:16" x14ac:dyDescent="0.25">
      <c r="C108" s="614">
        <v>102</v>
      </c>
      <c r="D108" s="614">
        <v>10993</v>
      </c>
      <c r="E108" s="64" t="s">
        <v>1791</v>
      </c>
      <c r="F108" s="64" t="s">
        <v>4761</v>
      </c>
      <c r="G108" s="614" t="s">
        <v>35</v>
      </c>
      <c r="H108" s="614" t="s">
        <v>682</v>
      </c>
      <c r="I108" s="614" t="s">
        <v>1153</v>
      </c>
      <c r="J108" s="64" t="s">
        <v>3984</v>
      </c>
      <c r="K108" s="1940" t="s">
        <v>4762</v>
      </c>
      <c r="L108" s="1940" t="s">
        <v>7916</v>
      </c>
      <c r="M108" t="s">
        <v>11332</v>
      </c>
      <c r="N108" t="s">
        <v>9631</v>
      </c>
      <c r="O108" t="s">
        <v>4761</v>
      </c>
      <c r="P108" s="614">
        <f>COUNTIF(EducPlans_кодНАЦИД_Спец[аФакСец],EducPlans_кодНАЦИД_Спец[[#This Row],[аФакСец]])</f>
        <v>1</v>
      </c>
    </row>
    <row r="109" spans="3:16" x14ac:dyDescent="0.25">
      <c r="C109" s="614">
        <v>103</v>
      </c>
      <c r="D109" s="614">
        <v>10993</v>
      </c>
      <c r="E109" s="64" t="s">
        <v>1791</v>
      </c>
      <c r="F109" s="64" t="s">
        <v>4763</v>
      </c>
      <c r="G109" s="614" t="s">
        <v>35</v>
      </c>
      <c r="H109" s="614" t="s">
        <v>682</v>
      </c>
      <c r="I109" s="614" t="s">
        <v>1153</v>
      </c>
      <c r="J109" s="64" t="s">
        <v>3983</v>
      </c>
      <c r="K109" s="1940" t="s">
        <v>4762</v>
      </c>
      <c r="L109" s="1940" t="s">
        <v>7917</v>
      </c>
      <c r="M109" t="s">
        <v>11333</v>
      </c>
      <c r="N109" t="s">
        <v>9632</v>
      </c>
      <c r="O109" t="s">
        <v>4763</v>
      </c>
      <c r="P109" s="614">
        <f>COUNTIF(EducPlans_кодНАЦИД_Спец[аФакСец],EducPlans_кодНАЦИД_Спец[[#This Row],[аФакСец]])</f>
        <v>1</v>
      </c>
    </row>
    <row r="110" spans="3:16" x14ac:dyDescent="0.25">
      <c r="C110" s="614">
        <v>104</v>
      </c>
      <c r="D110" s="614">
        <v>12822</v>
      </c>
      <c r="E110" s="64" t="s">
        <v>1853</v>
      </c>
      <c r="F110" s="64" t="s">
        <v>4764</v>
      </c>
      <c r="G110" s="614" t="s">
        <v>626</v>
      </c>
      <c r="H110" s="614" t="s">
        <v>682</v>
      </c>
      <c r="I110" s="614" t="s">
        <v>1153</v>
      </c>
      <c r="J110" s="64" t="s">
        <v>3199</v>
      </c>
      <c r="K110" s="1940" t="s">
        <v>4765</v>
      </c>
      <c r="L110" s="1940" t="s">
        <v>7918</v>
      </c>
      <c r="M110" t="s">
        <v>11334</v>
      </c>
      <c r="N110" t="s">
        <v>9633</v>
      </c>
      <c r="O110" t="s">
        <v>4764</v>
      </c>
      <c r="P110" s="614">
        <f>COUNTIF(EducPlans_кодНАЦИД_Спец[аФакСец],EducPlans_кодНАЦИД_Спец[[#This Row],[аФакСец]])</f>
        <v>1</v>
      </c>
    </row>
    <row r="111" spans="3:16" x14ac:dyDescent="0.25">
      <c r="C111" s="614">
        <v>105</v>
      </c>
      <c r="D111" s="614">
        <v>12822</v>
      </c>
      <c r="E111" s="64" t="s">
        <v>1853</v>
      </c>
      <c r="F111" s="64" t="s">
        <v>4766</v>
      </c>
      <c r="G111" s="614" t="s">
        <v>626</v>
      </c>
      <c r="H111" s="614" t="s">
        <v>682</v>
      </c>
      <c r="I111" s="614" t="s">
        <v>1153</v>
      </c>
      <c r="J111" s="64" t="s">
        <v>3197</v>
      </c>
      <c r="K111" s="1940" t="s">
        <v>4765</v>
      </c>
      <c r="L111" s="1940" t="s">
        <v>7919</v>
      </c>
      <c r="M111" t="s">
        <v>11335</v>
      </c>
      <c r="N111" t="s">
        <v>9634</v>
      </c>
      <c r="O111" t="s">
        <v>4766</v>
      </c>
      <c r="P111" s="614">
        <f>COUNTIF(EducPlans_кодНАЦИД_Спец[аФакСец],EducPlans_кодНАЦИД_Спец[[#This Row],[аФакСец]])</f>
        <v>1</v>
      </c>
    </row>
    <row r="112" spans="3:16" x14ac:dyDescent="0.25">
      <c r="C112" s="614">
        <v>106</v>
      </c>
      <c r="D112" s="614">
        <v>12822</v>
      </c>
      <c r="E112" s="64" t="s">
        <v>1853</v>
      </c>
      <c r="F112" s="64" t="s">
        <v>4767</v>
      </c>
      <c r="G112" s="614" t="s">
        <v>626</v>
      </c>
      <c r="H112" s="614" t="s">
        <v>682</v>
      </c>
      <c r="I112" s="614" t="s">
        <v>1153</v>
      </c>
      <c r="J112" s="64" t="s">
        <v>3200</v>
      </c>
      <c r="K112" s="1940" t="s">
        <v>4765</v>
      </c>
      <c r="L112" s="1940" t="s">
        <v>7920</v>
      </c>
      <c r="M112" t="s">
        <v>11336</v>
      </c>
      <c r="N112" t="s">
        <v>9635</v>
      </c>
      <c r="O112" t="s">
        <v>4767</v>
      </c>
      <c r="P112" s="614">
        <f>COUNTIF(EducPlans_кодНАЦИД_Спец[аФакСец],EducPlans_кодНАЦИД_Спец[[#This Row],[аФакСец]])</f>
        <v>1</v>
      </c>
    </row>
    <row r="113" spans="3:16" x14ac:dyDescent="0.25">
      <c r="C113" s="614">
        <v>107</v>
      </c>
      <c r="D113" s="614">
        <v>12822</v>
      </c>
      <c r="E113" s="64" t="s">
        <v>1853</v>
      </c>
      <c r="F113" s="64" t="s">
        <v>4768</v>
      </c>
      <c r="G113" s="614" t="s">
        <v>626</v>
      </c>
      <c r="H113" s="614" t="s">
        <v>682</v>
      </c>
      <c r="I113" s="614" t="s">
        <v>1153</v>
      </c>
      <c r="J113" s="64" t="s">
        <v>3198</v>
      </c>
      <c r="K113" s="1940" t="s">
        <v>4765</v>
      </c>
      <c r="L113" s="1940" t="s">
        <v>7921</v>
      </c>
      <c r="M113" t="s">
        <v>11337</v>
      </c>
      <c r="N113" t="s">
        <v>9636</v>
      </c>
      <c r="O113" t="s">
        <v>4768</v>
      </c>
      <c r="P113" s="614">
        <f>COUNTIF(EducPlans_кодНАЦИД_Спец[аФакСец],EducPlans_кодНАЦИД_Спец[[#This Row],[аФакСец]])</f>
        <v>1</v>
      </c>
    </row>
    <row r="114" spans="3:16" x14ac:dyDescent="0.25">
      <c r="C114" s="614">
        <v>108</v>
      </c>
      <c r="D114" s="614">
        <v>679403</v>
      </c>
      <c r="E114" s="64" t="s">
        <v>7737</v>
      </c>
      <c r="F114" s="64" t="s">
        <v>7738</v>
      </c>
      <c r="G114" s="614" t="s">
        <v>626</v>
      </c>
      <c r="H114" s="614" t="s">
        <v>681</v>
      </c>
      <c r="I114" s="614" t="s">
        <v>1153</v>
      </c>
      <c r="J114" s="64" t="s">
        <v>7739</v>
      </c>
      <c r="K114" s="1940" t="s">
        <v>7740</v>
      </c>
      <c r="L114" s="1940" t="s">
        <v>7922</v>
      </c>
      <c r="M114" t="s">
        <v>11338</v>
      </c>
      <c r="N114" t="s">
        <v>9637</v>
      </c>
      <c r="O114" t="s">
        <v>7738</v>
      </c>
      <c r="P114" s="614">
        <f>COUNTIF(EducPlans_кодНАЦИД_Спец[аФакСец],EducPlans_кодНАЦИД_Спец[[#This Row],[аФакСец]])</f>
        <v>1</v>
      </c>
    </row>
    <row r="115" spans="3:16" x14ac:dyDescent="0.25">
      <c r="C115" s="614">
        <v>109</v>
      </c>
      <c r="D115" s="614">
        <v>12800</v>
      </c>
      <c r="E115" s="64" t="s">
        <v>1854</v>
      </c>
      <c r="F115" s="64" t="s">
        <v>4769</v>
      </c>
      <c r="G115" s="614" t="s">
        <v>626</v>
      </c>
      <c r="H115" s="614" t="s">
        <v>682</v>
      </c>
      <c r="I115" s="614" t="s">
        <v>1153</v>
      </c>
      <c r="J115" s="64" t="s">
        <v>4770</v>
      </c>
      <c r="K115" s="1940" t="s">
        <v>4771</v>
      </c>
      <c r="L115" s="1940" t="s">
        <v>7923</v>
      </c>
      <c r="M115" t="s">
        <v>11339</v>
      </c>
      <c r="N115" t="s">
        <v>9638</v>
      </c>
      <c r="O115" t="s">
        <v>4769</v>
      </c>
      <c r="P115" s="614">
        <f>COUNTIF(EducPlans_кодНАЦИД_Спец[аФакСец],EducPlans_кодНАЦИД_Спец[[#This Row],[аФакСец]])</f>
        <v>1</v>
      </c>
    </row>
    <row r="116" spans="3:16" x14ac:dyDescent="0.25">
      <c r="C116" s="614">
        <v>110</v>
      </c>
      <c r="D116" s="614">
        <v>12801</v>
      </c>
      <c r="E116" s="64" t="s">
        <v>1855</v>
      </c>
      <c r="F116" s="64" t="s">
        <v>4772</v>
      </c>
      <c r="G116" s="614" t="s">
        <v>626</v>
      </c>
      <c r="H116" s="614" t="s">
        <v>682</v>
      </c>
      <c r="I116" s="614" t="s">
        <v>1153</v>
      </c>
      <c r="J116" s="64" t="s">
        <v>4773</v>
      </c>
      <c r="K116" s="1940" t="s">
        <v>4774</v>
      </c>
      <c r="L116" s="1940" t="s">
        <v>7924</v>
      </c>
      <c r="M116" t="s">
        <v>11340</v>
      </c>
      <c r="N116" t="s">
        <v>9639</v>
      </c>
      <c r="O116" t="s">
        <v>4772</v>
      </c>
      <c r="P116" s="614">
        <f>COUNTIF(EducPlans_кодНАЦИД_Спец[аФакСец],EducPlans_кодНАЦИД_Спец[[#This Row],[аФакСец]])</f>
        <v>1</v>
      </c>
    </row>
    <row r="117" spans="3:16" x14ac:dyDescent="0.25">
      <c r="C117" s="614">
        <v>111</v>
      </c>
      <c r="D117" s="614">
        <v>679404</v>
      </c>
      <c r="E117" s="64" t="s">
        <v>7741</v>
      </c>
      <c r="F117" s="64" t="s">
        <v>7742</v>
      </c>
      <c r="G117" s="614" t="s">
        <v>626</v>
      </c>
      <c r="H117" s="614" t="s">
        <v>681</v>
      </c>
      <c r="I117" s="614" t="s">
        <v>1153</v>
      </c>
      <c r="J117" s="64" t="s">
        <v>7743</v>
      </c>
      <c r="K117" s="1940" t="s">
        <v>7744</v>
      </c>
      <c r="L117" s="1940" t="s">
        <v>7925</v>
      </c>
      <c r="M117" t="s">
        <v>11341</v>
      </c>
      <c r="N117" t="s">
        <v>9640</v>
      </c>
      <c r="O117" t="s">
        <v>7742</v>
      </c>
      <c r="P117" s="614">
        <f>COUNTIF(EducPlans_кодНАЦИД_Спец[аФакСец],EducPlans_кодНАЦИД_Спец[[#This Row],[аФакСец]])</f>
        <v>1</v>
      </c>
    </row>
    <row r="118" spans="3:16" x14ac:dyDescent="0.25">
      <c r="C118" s="614">
        <v>112</v>
      </c>
      <c r="D118" s="614">
        <v>679405</v>
      </c>
      <c r="E118" s="64" t="s">
        <v>7745</v>
      </c>
      <c r="F118" s="64" t="s">
        <v>7746</v>
      </c>
      <c r="G118" s="614" t="s">
        <v>626</v>
      </c>
      <c r="H118" s="614" t="s">
        <v>681</v>
      </c>
      <c r="I118" s="614" t="s">
        <v>1153</v>
      </c>
      <c r="J118" s="64" t="s">
        <v>7747</v>
      </c>
      <c r="K118" s="1940" t="s">
        <v>7748</v>
      </c>
      <c r="L118" s="1940" t="s">
        <v>7926</v>
      </c>
      <c r="M118" t="s">
        <v>11342</v>
      </c>
      <c r="N118" t="s">
        <v>9641</v>
      </c>
      <c r="O118" t="s">
        <v>7746</v>
      </c>
      <c r="P118" s="614">
        <f>COUNTIF(EducPlans_кодНАЦИД_Спец[аФакСец],EducPlans_кодНАЦИД_Спец[[#This Row],[аФакСец]])</f>
        <v>1</v>
      </c>
    </row>
    <row r="119" spans="3:16" x14ac:dyDescent="0.25">
      <c r="C119" s="614">
        <v>113</v>
      </c>
      <c r="D119" s="614">
        <v>78546</v>
      </c>
      <c r="E119" s="64" t="s">
        <v>1856</v>
      </c>
      <c r="F119" s="64" t="s">
        <v>4775</v>
      </c>
      <c r="G119" s="614" t="s">
        <v>626</v>
      </c>
      <c r="H119" s="614" t="s">
        <v>682</v>
      </c>
      <c r="I119" s="614" t="s">
        <v>1153</v>
      </c>
      <c r="J119" s="64" t="s">
        <v>3202</v>
      </c>
      <c r="K119" s="1940" t="s">
        <v>4776</v>
      </c>
      <c r="L119" s="1940" t="s">
        <v>7927</v>
      </c>
      <c r="M119" t="s">
        <v>11343</v>
      </c>
      <c r="N119" t="s">
        <v>9642</v>
      </c>
      <c r="O119" t="s">
        <v>4775</v>
      </c>
      <c r="P119" s="614">
        <f>COUNTIF(EducPlans_кодНАЦИД_Спец[аФакСец],EducPlans_кодНАЦИД_Спец[[#This Row],[аФакСец]])</f>
        <v>1</v>
      </c>
    </row>
    <row r="120" spans="3:16" x14ac:dyDescent="0.25">
      <c r="C120" s="614">
        <v>114</v>
      </c>
      <c r="D120" s="614">
        <v>12799</v>
      </c>
      <c r="E120" s="64" t="s">
        <v>1857</v>
      </c>
      <c r="F120" s="64" t="s">
        <v>4777</v>
      </c>
      <c r="G120" s="614" t="s">
        <v>626</v>
      </c>
      <c r="H120" s="614" t="s">
        <v>682</v>
      </c>
      <c r="I120" s="614" t="s">
        <v>1153</v>
      </c>
      <c r="J120" s="64" t="s">
        <v>3204</v>
      </c>
      <c r="K120" s="1940" t="s">
        <v>4778</v>
      </c>
      <c r="L120" s="1940" t="s">
        <v>7928</v>
      </c>
      <c r="M120" t="s">
        <v>11344</v>
      </c>
      <c r="N120" t="s">
        <v>9643</v>
      </c>
      <c r="O120" t="s">
        <v>4777</v>
      </c>
      <c r="P120" s="614">
        <f>COUNTIF(EducPlans_кодНАЦИД_Спец[аФакСец],EducPlans_кодНАЦИД_Спец[[#This Row],[аФакСец]])</f>
        <v>1</v>
      </c>
    </row>
    <row r="121" spans="3:16" x14ac:dyDescent="0.25">
      <c r="C121" s="614">
        <v>115</v>
      </c>
      <c r="D121" s="614">
        <v>12754</v>
      </c>
      <c r="E121" s="64" t="s">
        <v>13165</v>
      </c>
      <c r="F121" s="64" t="s">
        <v>4799</v>
      </c>
      <c r="G121" s="614" t="s">
        <v>626</v>
      </c>
      <c r="H121" s="614" t="s">
        <v>682</v>
      </c>
      <c r="I121" s="614" t="s">
        <v>1153</v>
      </c>
      <c r="J121" s="64" t="s">
        <v>3238</v>
      </c>
      <c r="K121" s="1940" t="s">
        <v>4800</v>
      </c>
      <c r="L121" s="1940" t="s">
        <v>7952</v>
      </c>
      <c r="M121" t="s">
        <v>13166</v>
      </c>
      <c r="N121" t="s">
        <v>9667</v>
      </c>
      <c r="O121" t="s">
        <v>4799</v>
      </c>
      <c r="P121" s="614">
        <f>COUNTIF(EducPlans_кодНАЦИД_Спец[аФакСец],EducPlans_кодНАЦИД_Спец[[#This Row],[аФакСец]])</f>
        <v>1</v>
      </c>
    </row>
    <row r="122" spans="3:16" x14ac:dyDescent="0.25">
      <c r="C122" s="614">
        <v>116</v>
      </c>
      <c r="D122" s="614">
        <v>12754</v>
      </c>
      <c r="E122" s="64" t="s">
        <v>13165</v>
      </c>
      <c r="F122" s="64" t="s">
        <v>4801</v>
      </c>
      <c r="G122" s="614" t="s">
        <v>626</v>
      </c>
      <c r="H122" s="614" t="s">
        <v>682</v>
      </c>
      <c r="I122" s="614" t="s">
        <v>1153</v>
      </c>
      <c r="J122" s="64" t="s">
        <v>3237</v>
      </c>
      <c r="K122" s="1940" t="s">
        <v>4800</v>
      </c>
      <c r="L122" s="1940" t="s">
        <v>7953</v>
      </c>
      <c r="M122" t="s">
        <v>13167</v>
      </c>
      <c r="N122" t="s">
        <v>9668</v>
      </c>
      <c r="O122" t="s">
        <v>4801</v>
      </c>
      <c r="P122" s="614">
        <f>COUNTIF(EducPlans_кодНАЦИД_Спец[аФакСец],EducPlans_кодНАЦИД_Спец[[#This Row],[аФакСец]])</f>
        <v>1</v>
      </c>
    </row>
    <row r="123" spans="3:16" x14ac:dyDescent="0.25">
      <c r="C123" s="614">
        <v>117</v>
      </c>
      <c r="D123" s="614">
        <v>12754</v>
      </c>
      <c r="E123" s="64" t="s">
        <v>13165</v>
      </c>
      <c r="F123" s="64" t="s">
        <v>4802</v>
      </c>
      <c r="G123" s="614" t="s">
        <v>626</v>
      </c>
      <c r="H123" s="614" t="s">
        <v>682</v>
      </c>
      <c r="I123" s="614" t="s">
        <v>1153</v>
      </c>
      <c r="J123" s="64" t="s">
        <v>3239</v>
      </c>
      <c r="K123" s="1940" t="s">
        <v>4800</v>
      </c>
      <c r="L123" s="1940" t="s">
        <v>7954</v>
      </c>
      <c r="M123" t="s">
        <v>13168</v>
      </c>
      <c r="N123" t="s">
        <v>9669</v>
      </c>
      <c r="O123" t="s">
        <v>4802</v>
      </c>
      <c r="P123" s="614">
        <f>COUNTIF(EducPlans_кодНАЦИД_Спец[аФакСец],EducPlans_кодНАЦИД_Спец[[#This Row],[аФакСец]])</f>
        <v>1</v>
      </c>
    </row>
    <row r="124" spans="3:16" x14ac:dyDescent="0.25">
      <c r="C124" s="614">
        <v>118</v>
      </c>
      <c r="D124" s="614">
        <v>12754</v>
      </c>
      <c r="E124" s="64" t="s">
        <v>13165</v>
      </c>
      <c r="F124" s="64" t="s">
        <v>4803</v>
      </c>
      <c r="G124" s="614" t="s">
        <v>626</v>
      </c>
      <c r="H124" s="614" t="s">
        <v>682</v>
      </c>
      <c r="I124" s="614" t="s">
        <v>1153</v>
      </c>
      <c r="J124" s="64" t="s">
        <v>3236</v>
      </c>
      <c r="K124" s="1940" t="s">
        <v>4800</v>
      </c>
      <c r="L124" s="1940" t="s">
        <v>7955</v>
      </c>
      <c r="M124" t="s">
        <v>13169</v>
      </c>
      <c r="N124" t="s">
        <v>9670</v>
      </c>
      <c r="O124" t="s">
        <v>4803</v>
      </c>
      <c r="P124" s="614">
        <f>COUNTIF(EducPlans_кодНАЦИД_Спец[аФакСец],EducPlans_кодНАЦИД_Спец[[#This Row],[аФакСец]])</f>
        <v>1</v>
      </c>
    </row>
    <row r="125" spans="3:16" x14ac:dyDescent="0.25">
      <c r="C125" s="614">
        <v>119</v>
      </c>
      <c r="D125" s="614">
        <v>12805</v>
      </c>
      <c r="E125" s="64" t="s">
        <v>13165</v>
      </c>
      <c r="F125" s="64" t="s">
        <v>13170</v>
      </c>
      <c r="G125" s="614" t="s">
        <v>626</v>
      </c>
      <c r="H125" s="614" t="s">
        <v>682</v>
      </c>
      <c r="I125" s="614" t="s">
        <v>1153</v>
      </c>
      <c r="J125" s="64" t="s">
        <v>3231</v>
      </c>
      <c r="K125" s="1940" t="s">
        <v>4800</v>
      </c>
      <c r="L125" s="1940" t="s">
        <v>7947</v>
      </c>
      <c r="M125" t="s">
        <v>13171</v>
      </c>
      <c r="N125" t="s">
        <v>9662</v>
      </c>
      <c r="O125" t="s">
        <v>13170</v>
      </c>
      <c r="P125" s="614">
        <f>COUNTIF(EducPlans_кодНАЦИД_Спец[аФакСец],EducPlans_кодНАЦИД_Спец[[#This Row],[аФакСец]])</f>
        <v>1</v>
      </c>
    </row>
    <row r="126" spans="3:16" x14ac:dyDescent="0.25">
      <c r="C126" s="614">
        <v>120</v>
      </c>
      <c r="D126" s="614">
        <v>12805</v>
      </c>
      <c r="E126" s="64" t="s">
        <v>13165</v>
      </c>
      <c r="F126" s="64" t="s">
        <v>13172</v>
      </c>
      <c r="G126" s="614" t="s">
        <v>626</v>
      </c>
      <c r="H126" s="614" t="s">
        <v>682</v>
      </c>
      <c r="I126" s="614" t="s">
        <v>1153</v>
      </c>
      <c r="J126" s="64" t="s">
        <v>3230</v>
      </c>
      <c r="K126" s="1940" t="s">
        <v>4800</v>
      </c>
      <c r="L126" s="1940" t="s">
        <v>7948</v>
      </c>
      <c r="M126" t="s">
        <v>13173</v>
      </c>
      <c r="N126" t="s">
        <v>9663</v>
      </c>
      <c r="O126" t="s">
        <v>13172</v>
      </c>
      <c r="P126" s="614">
        <f>COUNTIF(EducPlans_кодНАЦИД_Спец[аФакСец],EducPlans_кодНАЦИД_Спец[[#This Row],[аФакСец]])</f>
        <v>1</v>
      </c>
    </row>
    <row r="127" spans="3:16" x14ac:dyDescent="0.25">
      <c r="C127" s="614">
        <v>121</v>
      </c>
      <c r="D127" s="614">
        <v>12805</v>
      </c>
      <c r="E127" s="64" t="s">
        <v>13165</v>
      </c>
      <c r="F127" s="64" t="s">
        <v>13174</v>
      </c>
      <c r="G127" s="614" t="s">
        <v>626</v>
      </c>
      <c r="H127" s="614" t="s">
        <v>682</v>
      </c>
      <c r="I127" s="614" t="s">
        <v>1153</v>
      </c>
      <c r="J127" s="64" t="s">
        <v>3233</v>
      </c>
      <c r="K127" s="1940" t="s">
        <v>4800</v>
      </c>
      <c r="L127" s="1940" t="s">
        <v>7949</v>
      </c>
      <c r="M127" t="s">
        <v>13175</v>
      </c>
      <c r="N127" t="s">
        <v>9664</v>
      </c>
      <c r="O127" t="s">
        <v>13174</v>
      </c>
      <c r="P127" s="614">
        <f>COUNTIF(EducPlans_кодНАЦИД_Спец[аФакСец],EducPlans_кодНАЦИД_Спец[[#This Row],[аФакСец]])</f>
        <v>1</v>
      </c>
    </row>
    <row r="128" spans="3:16" x14ac:dyDescent="0.25">
      <c r="C128" s="614">
        <v>122</v>
      </c>
      <c r="D128" s="614">
        <v>12805</v>
      </c>
      <c r="E128" s="64" t="s">
        <v>13165</v>
      </c>
      <c r="F128" s="64" t="s">
        <v>13176</v>
      </c>
      <c r="G128" s="614" t="s">
        <v>626</v>
      </c>
      <c r="H128" s="614" t="s">
        <v>682</v>
      </c>
      <c r="I128" s="614" t="s">
        <v>1153</v>
      </c>
      <c r="J128" s="64" t="s">
        <v>3234</v>
      </c>
      <c r="K128" s="1940" t="s">
        <v>4800</v>
      </c>
      <c r="L128" s="1940" t="s">
        <v>7950</v>
      </c>
      <c r="M128" t="s">
        <v>13177</v>
      </c>
      <c r="N128" t="s">
        <v>9665</v>
      </c>
      <c r="O128" t="s">
        <v>13176</v>
      </c>
      <c r="P128" s="614">
        <f>COUNTIF(EducPlans_кодНАЦИД_Спец[аФакСец],EducPlans_кодНАЦИД_Спец[[#This Row],[аФакСец]])</f>
        <v>1</v>
      </c>
    </row>
    <row r="129" spans="3:16" x14ac:dyDescent="0.25">
      <c r="C129" s="614">
        <v>123</v>
      </c>
      <c r="D129" s="614">
        <v>12805</v>
      </c>
      <c r="E129" s="64" t="s">
        <v>13165</v>
      </c>
      <c r="F129" s="64" t="s">
        <v>13178</v>
      </c>
      <c r="G129" s="614" t="s">
        <v>626</v>
      </c>
      <c r="H129" s="614" t="s">
        <v>682</v>
      </c>
      <c r="I129" s="614" t="s">
        <v>1153</v>
      </c>
      <c r="J129" s="64" t="s">
        <v>3232</v>
      </c>
      <c r="K129" s="1940" t="s">
        <v>4800</v>
      </c>
      <c r="L129" s="1940" t="s">
        <v>7951</v>
      </c>
      <c r="M129" t="s">
        <v>13179</v>
      </c>
      <c r="N129" t="s">
        <v>9666</v>
      </c>
      <c r="O129" t="s">
        <v>13178</v>
      </c>
      <c r="P129" s="614">
        <f>COUNTIF(EducPlans_кодНАЦИД_Спец[аФакСец],EducPlans_кодНАЦИД_Спец[[#This Row],[аФакСец]])</f>
        <v>1</v>
      </c>
    </row>
    <row r="130" spans="3:16" x14ac:dyDescent="0.25">
      <c r="C130" s="614">
        <v>124</v>
      </c>
      <c r="D130" s="614">
        <v>12807</v>
      </c>
      <c r="E130" s="64" t="s">
        <v>13165</v>
      </c>
      <c r="F130" s="64" t="s">
        <v>13180</v>
      </c>
      <c r="G130" s="614" t="s">
        <v>626</v>
      </c>
      <c r="H130" s="614" t="s">
        <v>682</v>
      </c>
      <c r="I130" s="614" t="s">
        <v>1153</v>
      </c>
      <c r="J130" s="64" t="s">
        <v>3225</v>
      </c>
      <c r="K130" s="1940" t="s">
        <v>4800</v>
      </c>
      <c r="L130" s="1940" t="s">
        <v>7943</v>
      </c>
      <c r="M130" t="s">
        <v>13181</v>
      </c>
      <c r="N130" t="s">
        <v>9658</v>
      </c>
      <c r="O130" t="s">
        <v>13180</v>
      </c>
      <c r="P130" s="614">
        <f>COUNTIF(EducPlans_кодНАЦИД_Спец[аФакСец],EducPlans_кодНАЦИД_Спец[[#This Row],[аФакСец]])</f>
        <v>1</v>
      </c>
    </row>
    <row r="131" spans="3:16" x14ac:dyDescent="0.25">
      <c r="C131" s="614">
        <v>125</v>
      </c>
      <c r="D131" s="614">
        <v>12807</v>
      </c>
      <c r="E131" s="64" t="s">
        <v>13165</v>
      </c>
      <c r="F131" s="64" t="s">
        <v>13182</v>
      </c>
      <c r="G131" s="614" t="s">
        <v>626</v>
      </c>
      <c r="H131" s="614" t="s">
        <v>682</v>
      </c>
      <c r="I131" s="614" t="s">
        <v>1153</v>
      </c>
      <c r="J131" s="64" t="s">
        <v>3226</v>
      </c>
      <c r="K131" s="1940" t="s">
        <v>4800</v>
      </c>
      <c r="L131" s="1940" t="s">
        <v>7944</v>
      </c>
      <c r="M131" t="s">
        <v>13183</v>
      </c>
      <c r="N131" t="s">
        <v>9659</v>
      </c>
      <c r="O131" t="s">
        <v>13182</v>
      </c>
      <c r="P131" s="614">
        <f>COUNTIF(EducPlans_кодНАЦИД_Спец[аФакСец],EducPlans_кодНАЦИД_Спец[[#This Row],[аФакСец]])</f>
        <v>1</v>
      </c>
    </row>
    <row r="132" spans="3:16" x14ac:dyDescent="0.25">
      <c r="C132" s="614">
        <v>126</v>
      </c>
      <c r="D132" s="614">
        <v>12807</v>
      </c>
      <c r="E132" s="64" t="s">
        <v>13165</v>
      </c>
      <c r="F132" s="64" t="s">
        <v>13184</v>
      </c>
      <c r="G132" s="614" t="s">
        <v>626</v>
      </c>
      <c r="H132" s="614" t="s">
        <v>682</v>
      </c>
      <c r="I132" s="614" t="s">
        <v>1153</v>
      </c>
      <c r="J132" s="64" t="s">
        <v>3224</v>
      </c>
      <c r="K132" s="1940" t="s">
        <v>4800</v>
      </c>
      <c r="L132" s="1940" t="s">
        <v>7945</v>
      </c>
      <c r="M132" t="s">
        <v>13185</v>
      </c>
      <c r="N132" t="s">
        <v>9660</v>
      </c>
      <c r="O132" t="s">
        <v>13184</v>
      </c>
      <c r="P132" s="614">
        <f>COUNTIF(EducPlans_кодНАЦИД_Спец[аФакСец],EducPlans_кодНАЦИД_Спец[[#This Row],[аФакСец]])</f>
        <v>1</v>
      </c>
    </row>
    <row r="133" spans="3:16" x14ac:dyDescent="0.25">
      <c r="C133" s="614">
        <v>127</v>
      </c>
      <c r="D133" s="614">
        <v>12814</v>
      </c>
      <c r="E133" s="64" t="s">
        <v>13165</v>
      </c>
      <c r="F133" s="64" t="s">
        <v>13186</v>
      </c>
      <c r="G133" s="614" t="s">
        <v>626</v>
      </c>
      <c r="H133" s="614" t="s">
        <v>682</v>
      </c>
      <c r="I133" s="614" t="s">
        <v>1153</v>
      </c>
      <c r="J133" s="64" t="s">
        <v>3228</v>
      </c>
      <c r="K133" s="1940" t="s">
        <v>4800</v>
      </c>
      <c r="L133" s="1940" t="s">
        <v>7946</v>
      </c>
      <c r="M133" t="s">
        <v>13187</v>
      </c>
      <c r="N133" t="s">
        <v>9661</v>
      </c>
      <c r="O133" t="s">
        <v>13186</v>
      </c>
      <c r="P133" s="614">
        <f>COUNTIF(EducPlans_кодНАЦИД_Спец[аФакСец],EducPlans_кодНАЦИД_Спец[[#This Row],[аФакСец]])</f>
        <v>1</v>
      </c>
    </row>
    <row r="134" spans="3:16" x14ac:dyDescent="0.25">
      <c r="C134" s="614">
        <v>128</v>
      </c>
      <c r="D134" s="614">
        <v>153585</v>
      </c>
      <c r="E134" s="64" t="s">
        <v>1858</v>
      </c>
      <c r="F134" s="64" t="s">
        <v>4779</v>
      </c>
      <c r="G134" s="614" t="s">
        <v>626</v>
      </c>
      <c r="H134" s="614" t="s">
        <v>682</v>
      </c>
      <c r="I134" s="614" t="s">
        <v>1149</v>
      </c>
      <c r="J134" s="64" t="s">
        <v>3208</v>
      </c>
      <c r="K134" s="1940" t="s">
        <v>4780</v>
      </c>
      <c r="L134" s="1940" t="s">
        <v>7929</v>
      </c>
      <c r="M134" t="s">
        <v>11345</v>
      </c>
      <c r="N134" t="s">
        <v>9644</v>
      </c>
      <c r="O134" t="s">
        <v>4779</v>
      </c>
      <c r="P134" s="614">
        <f>COUNTIF(EducPlans_кодНАЦИД_Спец[аФакСец],EducPlans_кодНАЦИД_Спец[[#This Row],[аФакСец]])</f>
        <v>1</v>
      </c>
    </row>
    <row r="135" spans="3:16" x14ac:dyDescent="0.25">
      <c r="C135" s="614">
        <v>129</v>
      </c>
      <c r="D135" s="614">
        <v>153585</v>
      </c>
      <c r="E135" s="64" t="s">
        <v>1858</v>
      </c>
      <c r="F135" s="64" t="s">
        <v>4781</v>
      </c>
      <c r="G135" s="614" t="s">
        <v>626</v>
      </c>
      <c r="H135" s="614" t="s">
        <v>682</v>
      </c>
      <c r="I135" s="614" t="s">
        <v>1149</v>
      </c>
      <c r="J135" s="64" t="s">
        <v>3209</v>
      </c>
      <c r="K135" s="1940" t="s">
        <v>4780</v>
      </c>
      <c r="L135" s="1940" t="s">
        <v>7930</v>
      </c>
      <c r="M135" t="s">
        <v>11346</v>
      </c>
      <c r="N135" t="s">
        <v>9645</v>
      </c>
      <c r="O135" t="s">
        <v>4781</v>
      </c>
      <c r="P135" s="614">
        <f>COUNTIF(EducPlans_кодНАЦИД_Спец[аФакСец],EducPlans_кодНАЦИД_Спец[[#This Row],[аФакСец]])</f>
        <v>1</v>
      </c>
    </row>
    <row r="136" spans="3:16" x14ac:dyDescent="0.25">
      <c r="C136" s="614">
        <v>130</v>
      </c>
      <c r="D136" s="614">
        <v>153585</v>
      </c>
      <c r="E136" s="64" t="s">
        <v>1858</v>
      </c>
      <c r="F136" s="64" t="s">
        <v>4782</v>
      </c>
      <c r="G136" s="614" t="s">
        <v>626</v>
      </c>
      <c r="H136" s="614" t="s">
        <v>682</v>
      </c>
      <c r="I136" s="614" t="s">
        <v>1149</v>
      </c>
      <c r="J136" s="64" t="s">
        <v>3207</v>
      </c>
      <c r="K136" s="1940" t="s">
        <v>4780</v>
      </c>
      <c r="L136" s="1940" t="s">
        <v>7931</v>
      </c>
      <c r="M136" t="s">
        <v>11347</v>
      </c>
      <c r="N136" t="s">
        <v>9646</v>
      </c>
      <c r="O136" t="s">
        <v>4782</v>
      </c>
      <c r="P136" s="614">
        <f>COUNTIF(EducPlans_кодНАЦИД_Спец[аФакСец],EducPlans_кодНАЦИД_Спец[[#This Row],[аФакСец]])</f>
        <v>1</v>
      </c>
    </row>
    <row r="137" spans="3:16" x14ac:dyDescent="0.25">
      <c r="C137" s="614">
        <v>131</v>
      </c>
      <c r="D137" s="614">
        <v>153585</v>
      </c>
      <c r="E137" s="64" t="s">
        <v>1858</v>
      </c>
      <c r="F137" s="64" t="s">
        <v>4783</v>
      </c>
      <c r="G137" s="614" t="s">
        <v>626</v>
      </c>
      <c r="H137" s="614" t="s">
        <v>682</v>
      </c>
      <c r="I137" s="614" t="s">
        <v>1149</v>
      </c>
      <c r="J137" s="64" t="s">
        <v>3210</v>
      </c>
      <c r="K137" s="1940" t="s">
        <v>4780</v>
      </c>
      <c r="L137" s="1940" t="s">
        <v>7932</v>
      </c>
      <c r="M137" t="s">
        <v>11348</v>
      </c>
      <c r="N137" t="s">
        <v>9647</v>
      </c>
      <c r="O137" t="s">
        <v>4783</v>
      </c>
      <c r="P137" s="614">
        <f>COUNTIF(EducPlans_кодНАЦИД_Спец[аФакСец],EducPlans_кодНАЦИД_Спец[[#This Row],[аФакСец]])</f>
        <v>1</v>
      </c>
    </row>
    <row r="138" spans="3:16" x14ac:dyDescent="0.25">
      <c r="C138" s="614">
        <v>132</v>
      </c>
      <c r="D138" s="614">
        <v>153585</v>
      </c>
      <c r="E138" s="64" t="s">
        <v>1858</v>
      </c>
      <c r="F138" s="64" t="s">
        <v>4784</v>
      </c>
      <c r="G138" s="614" t="s">
        <v>626</v>
      </c>
      <c r="H138" s="614" t="s">
        <v>682</v>
      </c>
      <c r="I138" s="614" t="s">
        <v>1149</v>
      </c>
      <c r="J138" s="64" t="s">
        <v>3206</v>
      </c>
      <c r="K138" s="1940" t="s">
        <v>4780</v>
      </c>
      <c r="L138" s="1940" t="s">
        <v>7933</v>
      </c>
      <c r="M138" t="s">
        <v>11349</v>
      </c>
      <c r="N138" t="s">
        <v>9648</v>
      </c>
      <c r="O138" t="s">
        <v>4784</v>
      </c>
      <c r="P138" s="614">
        <f>COUNTIF(EducPlans_кодНАЦИД_Спец[аФакСец],EducPlans_кодНАЦИД_Спец[[#This Row],[аФакСец]])</f>
        <v>1</v>
      </c>
    </row>
    <row r="139" spans="3:16" x14ac:dyDescent="0.25">
      <c r="C139" s="614">
        <v>133</v>
      </c>
      <c r="D139" s="614">
        <v>711114</v>
      </c>
      <c r="E139" s="64" t="s">
        <v>13188</v>
      </c>
      <c r="F139" s="64" t="s">
        <v>12945</v>
      </c>
      <c r="G139" s="614" t="s">
        <v>626</v>
      </c>
      <c r="H139" s="614" t="s">
        <v>682</v>
      </c>
      <c r="I139" s="614" t="s">
        <v>1153</v>
      </c>
      <c r="J139" s="64" t="s">
        <v>12946</v>
      </c>
      <c r="K139" s="1940" t="s">
        <v>12947</v>
      </c>
      <c r="L139" s="1940" t="s">
        <v>12948</v>
      </c>
      <c r="M139" t="s">
        <v>13189</v>
      </c>
      <c r="N139" t="s">
        <v>12949</v>
      </c>
      <c r="O139" t="s">
        <v>12945</v>
      </c>
      <c r="P139" s="614">
        <f>COUNTIF(EducPlans_кодНАЦИД_Спец[аФакСец],EducPlans_кодНАЦИД_Спец[[#This Row],[аФакСец]])</f>
        <v>1</v>
      </c>
    </row>
    <row r="140" spans="3:16" x14ac:dyDescent="0.25">
      <c r="C140" s="614">
        <v>134</v>
      </c>
      <c r="D140" s="614">
        <v>711114</v>
      </c>
      <c r="E140" s="64" t="s">
        <v>13188</v>
      </c>
      <c r="F140" s="64" t="s">
        <v>12950</v>
      </c>
      <c r="G140" s="614" t="s">
        <v>626</v>
      </c>
      <c r="H140" s="614" t="s">
        <v>682</v>
      </c>
      <c r="I140" s="614" t="s">
        <v>1153</v>
      </c>
      <c r="J140" s="64" t="s">
        <v>12951</v>
      </c>
      <c r="K140" s="1940" t="s">
        <v>12947</v>
      </c>
      <c r="L140" s="1940" t="s">
        <v>12952</v>
      </c>
      <c r="M140" t="s">
        <v>13190</v>
      </c>
      <c r="N140" t="s">
        <v>12953</v>
      </c>
      <c r="O140" t="s">
        <v>12950</v>
      </c>
      <c r="P140" s="614">
        <f>COUNTIF(EducPlans_кодНАЦИД_Спец[аФакСец],EducPlans_кодНАЦИД_Спец[[#This Row],[аФакСец]])</f>
        <v>1</v>
      </c>
    </row>
    <row r="141" spans="3:16" x14ac:dyDescent="0.25">
      <c r="C141" s="614">
        <v>135</v>
      </c>
      <c r="D141" s="614">
        <v>711115</v>
      </c>
      <c r="E141" s="64" t="s">
        <v>13188</v>
      </c>
      <c r="F141" s="64" t="s">
        <v>13191</v>
      </c>
      <c r="G141" s="614" t="s">
        <v>626</v>
      </c>
      <c r="H141" s="614" t="s">
        <v>682</v>
      </c>
      <c r="I141" s="614" t="s">
        <v>1153</v>
      </c>
      <c r="J141" s="64" t="s">
        <v>12954</v>
      </c>
      <c r="K141" s="1940" t="s">
        <v>12947</v>
      </c>
      <c r="L141" s="1940" t="s">
        <v>12955</v>
      </c>
      <c r="M141" t="s">
        <v>13192</v>
      </c>
      <c r="N141" t="s">
        <v>12956</v>
      </c>
      <c r="O141" t="s">
        <v>13191</v>
      </c>
      <c r="P141" s="614">
        <f>COUNTIF(EducPlans_кодНАЦИД_Спец[аФакСец],EducPlans_кодНАЦИД_Спец[[#This Row],[аФакСец]])</f>
        <v>1</v>
      </c>
    </row>
    <row r="142" spans="3:16" x14ac:dyDescent="0.25">
      <c r="C142" s="614">
        <v>136</v>
      </c>
      <c r="D142" s="614">
        <v>711115</v>
      </c>
      <c r="E142" s="64" t="s">
        <v>13188</v>
      </c>
      <c r="F142" s="64" t="s">
        <v>13193</v>
      </c>
      <c r="G142" s="614" t="s">
        <v>626</v>
      </c>
      <c r="H142" s="614" t="s">
        <v>682</v>
      </c>
      <c r="I142" s="614" t="s">
        <v>1153</v>
      </c>
      <c r="J142" s="64" t="s">
        <v>12957</v>
      </c>
      <c r="K142" s="1940" t="s">
        <v>12947</v>
      </c>
      <c r="L142" s="1940" t="s">
        <v>12958</v>
      </c>
      <c r="M142" t="s">
        <v>13194</v>
      </c>
      <c r="N142" t="s">
        <v>12959</v>
      </c>
      <c r="O142" t="s">
        <v>13193</v>
      </c>
      <c r="P142" s="614">
        <f>COUNTIF(EducPlans_кодНАЦИД_Спец[аФакСец],EducPlans_кодНАЦИД_Спец[[#This Row],[аФакСец]])</f>
        <v>1</v>
      </c>
    </row>
    <row r="143" spans="3:16" x14ac:dyDescent="0.25">
      <c r="C143" s="614">
        <v>137</v>
      </c>
      <c r="D143" s="614">
        <v>711441</v>
      </c>
      <c r="E143" s="64" t="s">
        <v>13195</v>
      </c>
      <c r="F143" s="64" t="s">
        <v>12960</v>
      </c>
      <c r="G143" s="614" t="s">
        <v>626</v>
      </c>
      <c r="H143" s="614" t="s">
        <v>682</v>
      </c>
      <c r="I143" s="614" t="s">
        <v>1153</v>
      </c>
      <c r="J143" s="64" t="s">
        <v>12961</v>
      </c>
      <c r="K143" s="1940" t="s">
        <v>12962</v>
      </c>
      <c r="L143" s="1940" t="s">
        <v>12963</v>
      </c>
      <c r="M143" t="s">
        <v>13196</v>
      </c>
      <c r="N143" t="s">
        <v>12964</v>
      </c>
      <c r="O143" t="s">
        <v>12960</v>
      </c>
      <c r="P143" s="614">
        <f>COUNTIF(EducPlans_кодНАЦИД_Спец[аФакСец],EducPlans_кодНАЦИД_Спец[[#This Row],[аФакСец]])</f>
        <v>1</v>
      </c>
    </row>
    <row r="144" spans="3:16" x14ac:dyDescent="0.25">
      <c r="C144" s="614">
        <v>138</v>
      </c>
      <c r="D144" s="614">
        <v>711441</v>
      </c>
      <c r="E144" s="64" t="s">
        <v>13195</v>
      </c>
      <c r="F144" s="64" t="s">
        <v>12965</v>
      </c>
      <c r="G144" s="614" t="s">
        <v>626</v>
      </c>
      <c r="H144" s="614" t="s">
        <v>682</v>
      </c>
      <c r="I144" s="614" t="s">
        <v>1153</v>
      </c>
      <c r="J144" s="64" t="s">
        <v>12966</v>
      </c>
      <c r="K144" s="1940" t="s">
        <v>12962</v>
      </c>
      <c r="L144" s="1940" t="s">
        <v>12967</v>
      </c>
      <c r="M144" t="s">
        <v>13197</v>
      </c>
      <c r="N144" t="s">
        <v>12968</v>
      </c>
      <c r="O144" t="s">
        <v>12965</v>
      </c>
      <c r="P144" s="614">
        <f>COUNTIF(EducPlans_кодНАЦИД_Спец[аФакСец],EducPlans_кодНАЦИД_Спец[[#This Row],[аФакСец]])</f>
        <v>1</v>
      </c>
    </row>
    <row r="145" spans="3:16" x14ac:dyDescent="0.25">
      <c r="C145" s="614">
        <v>139</v>
      </c>
      <c r="D145" s="614">
        <v>711442</v>
      </c>
      <c r="E145" s="64" t="s">
        <v>13195</v>
      </c>
      <c r="F145" s="64" t="s">
        <v>13198</v>
      </c>
      <c r="G145" s="614" t="s">
        <v>626</v>
      </c>
      <c r="H145" s="614" t="s">
        <v>682</v>
      </c>
      <c r="I145" s="614" t="s">
        <v>1153</v>
      </c>
      <c r="J145" s="64" t="s">
        <v>12969</v>
      </c>
      <c r="K145" s="1940" t="s">
        <v>12962</v>
      </c>
      <c r="L145" s="1940" t="s">
        <v>12970</v>
      </c>
      <c r="M145" t="s">
        <v>13199</v>
      </c>
      <c r="N145" t="s">
        <v>12971</v>
      </c>
      <c r="O145" t="s">
        <v>13198</v>
      </c>
      <c r="P145" s="614">
        <f>COUNTIF(EducPlans_кодНАЦИД_Спец[аФакСец],EducPlans_кодНАЦИД_Спец[[#This Row],[аФакСец]])</f>
        <v>1</v>
      </c>
    </row>
    <row r="146" spans="3:16" x14ac:dyDescent="0.25">
      <c r="C146" s="614">
        <v>140</v>
      </c>
      <c r="D146" s="614">
        <v>711442</v>
      </c>
      <c r="E146" s="64" t="s">
        <v>13195</v>
      </c>
      <c r="F146" s="64" t="s">
        <v>13200</v>
      </c>
      <c r="G146" s="614" t="s">
        <v>626</v>
      </c>
      <c r="H146" s="614" t="s">
        <v>682</v>
      </c>
      <c r="I146" s="614" t="s">
        <v>1153</v>
      </c>
      <c r="J146" s="64" t="s">
        <v>12972</v>
      </c>
      <c r="K146" s="1940" t="s">
        <v>12962</v>
      </c>
      <c r="L146" s="1940" t="s">
        <v>12973</v>
      </c>
      <c r="M146" t="s">
        <v>13201</v>
      </c>
      <c r="N146" t="s">
        <v>12974</v>
      </c>
      <c r="O146" t="s">
        <v>13200</v>
      </c>
      <c r="P146" s="614">
        <f>COUNTIF(EducPlans_кодНАЦИД_Спец[аФакСец],EducPlans_кодНАЦИД_Спец[[#This Row],[аФакСец]])</f>
        <v>1</v>
      </c>
    </row>
    <row r="147" spans="3:16" x14ac:dyDescent="0.25">
      <c r="C147" s="614">
        <v>141</v>
      </c>
      <c r="D147" s="614">
        <v>12795</v>
      </c>
      <c r="E147" s="64" t="s">
        <v>1859</v>
      </c>
      <c r="F147" s="64" t="s">
        <v>4785</v>
      </c>
      <c r="G147" s="614" t="s">
        <v>626</v>
      </c>
      <c r="H147" s="614" t="s">
        <v>682</v>
      </c>
      <c r="I147" s="614" t="s">
        <v>1153</v>
      </c>
      <c r="J147" s="64" t="s">
        <v>3213</v>
      </c>
      <c r="K147" s="1940" t="s">
        <v>4786</v>
      </c>
      <c r="L147" s="1940" t="s">
        <v>7934</v>
      </c>
      <c r="M147" t="s">
        <v>11350</v>
      </c>
      <c r="N147" t="s">
        <v>9649</v>
      </c>
      <c r="O147" t="s">
        <v>4785</v>
      </c>
      <c r="P147" s="614">
        <f>COUNTIF(EducPlans_кодНАЦИД_Спец[аФакСец],EducPlans_кодНАЦИД_Спец[[#This Row],[аФакСец]])</f>
        <v>1</v>
      </c>
    </row>
    <row r="148" spans="3:16" x14ac:dyDescent="0.25">
      <c r="C148" s="614">
        <v>142</v>
      </c>
      <c r="D148" s="614">
        <v>12796</v>
      </c>
      <c r="E148" s="64" t="s">
        <v>1859</v>
      </c>
      <c r="F148" s="64" t="s">
        <v>4787</v>
      </c>
      <c r="G148" s="614" t="s">
        <v>626</v>
      </c>
      <c r="H148" s="614" t="s">
        <v>682</v>
      </c>
      <c r="I148" s="614" t="s">
        <v>1153</v>
      </c>
      <c r="J148" s="64" t="s">
        <v>3214</v>
      </c>
      <c r="K148" s="1940" t="s">
        <v>4788</v>
      </c>
      <c r="L148" s="1940" t="s">
        <v>7935</v>
      </c>
      <c r="M148" t="s">
        <v>11351</v>
      </c>
      <c r="N148" t="s">
        <v>9650</v>
      </c>
      <c r="O148" t="s">
        <v>4787</v>
      </c>
      <c r="P148" s="614">
        <f>COUNTIF(EducPlans_кодНАЦИД_Спец[аФакСец],EducPlans_кодНАЦИД_Спец[[#This Row],[аФакСец]])</f>
        <v>1</v>
      </c>
    </row>
    <row r="149" spans="3:16" x14ac:dyDescent="0.25">
      <c r="C149" s="614">
        <v>143</v>
      </c>
      <c r="D149" s="614">
        <v>12796</v>
      </c>
      <c r="E149" s="64" t="s">
        <v>1859</v>
      </c>
      <c r="F149" s="64" t="s">
        <v>4789</v>
      </c>
      <c r="G149" s="614" t="s">
        <v>626</v>
      </c>
      <c r="H149" s="614" t="s">
        <v>682</v>
      </c>
      <c r="I149" s="614" t="s">
        <v>1153</v>
      </c>
      <c r="J149" s="64" t="s">
        <v>3212</v>
      </c>
      <c r="K149" s="1940" t="s">
        <v>4788</v>
      </c>
      <c r="L149" s="1940" t="s">
        <v>7936</v>
      </c>
      <c r="M149" t="s">
        <v>11352</v>
      </c>
      <c r="N149" t="s">
        <v>9651</v>
      </c>
      <c r="O149" t="s">
        <v>4789</v>
      </c>
      <c r="P149" s="614">
        <f>COUNTIF(EducPlans_кодНАЦИД_Спец[аФакСец],EducPlans_кодНАЦИД_Спец[[#This Row],[аФакСец]])</f>
        <v>1</v>
      </c>
    </row>
    <row r="150" spans="3:16" x14ac:dyDescent="0.25">
      <c r="C150" s="614">
        <v>144</v>
      </c>
      <c r="D150" s="614">
        <v>12813</v>
      </c>
      <c r="E150" s="64" t="s">
        <v>1860</v>
      </c>
      <c r="F150" s="64" t="s">
        <v>4790</v>
      </c>
      <c r="G150" s="614" t="s">
        <v>626</v>
      </c>
      <c r="H150" s="614" t="s">
        <v>682</v>
      </c>
      <c r="I150" s="614" t="s">
        <v>1153</v>
      </c>
      <c r="J150" s="64" t="s">
        <v>3216</v>
      </c>
      <c r="K150" s="1940" t="s">
        <v>4791</v>
      </c>
      <c r="L150" s="1940" t="s">
        <v>7937</v>
      </c>
      <c r="M150" t="s">
        <v>11353</v>
      </c>
      <c r="N150" t="s">
        <v>9652</v>
      </c>
      <c r="O150" t="s">
        <v>4790</v>
      </c>
      <c r="P150" s="614">
        <f>COUNTIF(EducPlans_кодНАЦИД_Спец[аФакСец],EducPlans_кодНАЦИД_Спец[[#This Row],[аФакСец]])</f>
        <v>1</v>
      </c>
    </row>
    <row r="151" spans="3:16" x14ac:dyDescent="0.25">
      <c r="C151" s="614">
        <v>145</v>
      </c>
      <c r="D151" s="614">
        <v>12792</v>
      </c>
      <c r="E151" s="64" t="s">
        <v>1861</v>
      </c>
      <c r="F151" s="64" t="s">
        <v>4792</v>
      </c>
      <c r="G151" s="614" t="s">
        <v>626</v>
      </c>
      <c r="H151" s="614" t="s">
        <v>682</v>
      </c>
      <c r="I151" s="614" t="s">
        <v>1153</v>
      </c>
      <c r="J151" s="64" t="s">
        <v>3220</v>
      </c>
      <c r="K151" s="1940" t="s">
        <v>4793</v>
      </c>
      <c r="L151" s="1940" t="s">
        <v>7938</v>
      </c>
      <c r="M151" t="s">
        <v>11354</v>
      </c>
      <c r="N151" t="s">
        <v>9653</v>
      </c>
      <c r="O151" t="s">
        <v>4792</v>
      </c>
      <c r="P151" s="614">
        <f>COUNTIF(EducPlans_кодНАЦИД_Спец[аФакСец],EducPlans_кодНАЦИД_Спец[[#This Row],[аФакСец]])</f>
        <v>1</v>
      </c>
    </row>
    <row r="152" spans="3:16" x14ac:dyDescent="0.25">
      <c r="C152" s="614">
        <v>146</v>
      </c>
      <c r="D152" s="614">
        <v>12792</v>
      </c>
      <c r="E152" s="64" t="s">
        <v>1861</v>
      </c>
      <c r="F152" s="64" t="s">
        <v>4794</v>
      </c>
      <c r="G152" s="614" t="s">
        <v>626</v>
      </c>
      <c r="H152" s="614" t="s">
        <v>682</v>
      </c>
      <c r="I152" s="614" t="s">
        <v>1153</v>
      </c>
      <c r="J152" s="64" t="s">
        <v>3217</v>
      </c>
      <c r="K152" s="1940" t="s">
        <v>4793</v>
      </c>
      <c r="L152" s="1940" t="s">
        <v>7939</v>
      </c>
      <c r="M152" t="s">
        <v>11355</v>
      </c>
      <c r="N152" t="s">
        <v>9654</v>
      </c>
      <c r="O152" t="s">
        <v>4794</v>
      </c>
      <c r="P152" s="614">
        <f>COUNTIF(EducPlans_кодНАЦИД_Спец[аФакСец],EducPlans_кодНАЦИД_Спец[[#This Row],[аФакСец]])</f>
        <v>1</v>
      </c>
    </row>
    <row r="153" spans="3:16" x14ac:dyDescent="0.25">
      <c r="C153" s="614">
        <v>147</v>
      </c>
      <c r="D153" s="614">
        <v>12793</v>
      </c>
      <c r="E153" s="64" t="s">
        <v>1861</v>
      </c>
      <c r="F153" s="64" t="s">
        <v>4795</v>
      </c>
      <c r="G153" s="614" t="s">
        <v>626</v>
      </c>
      <c r="H153" s="614" t="s">
        <v>682</v>
      </c>
      <c r="I153" s="614" t="s">
        <v>1153</v>
      </c>
      <c r="J153" s="64" t="s">
        <v>3219</v>
      </c>
      <c r="K153" s="1940" t="s">
        <v>4796</v>
      </c>
      <c r="L153" s="1940" t="s">
        <v>7940</v>
      </c>
      <c r="M153" t="s">
        <v>11356</v>
      </c>
      <c r="N153" t="s">
        <v>9655</v>
      </c>
      <c r="O153" t="s">
        <v>4795</v>
      </c>
      <c r="P153" s="614">
        <f>COUNTIF(EducPlans_кодНАЦИД_Спец[аФакСец],EducPlans_кодНАЦИД_Спец[[#This Row],[аФакСец]])</f>
        <v>1</v>
      </c>
    </row>
    <row r="154" spans="3:16" x14ac:dyDescent="0.25">
      <c r="C154" s="614">
        <v>148</v>
      </c>
      <c r="D154" s="614">
        <v>12793</v>
      </c>
      <c r="E154" s="64" t="s">
        <v>1861</v>
      </c>
      <c r="F154" s="64" t="s">
        <v>4797</v>
      </c>
      <c r="G154" s="614" t="s">
        <v>626</v>
      </c>
      <c r="H154" s="614" t="s">
        <v>682</v>
      </c>
      <c r="I154" s="614" t="s">
        <v>1153</v>
      </c>
      <c r="J154" s="64" t="s">
        <v>3221</v>
      </c>
      <c r="K154" s="1940" t="s">
        <v>4796</v>
      </c>
      <c r="L154" s="1940" t="s">
        <v>7941</v>
      </c>
      <c r="M154" t="s">
        <v>11357</v>
      </c>
      <c r="N154" t="s">
        <v>9656</v>
      </c>
      <c r="O154" t="s">
        <v>4797</v>
      </c>
      <c r="P154" s="614">
        <f>COUNTIF(EducPlans_кодНАЦИД_Спец[аФакСец],EducPlans_кодНАЦИД_Спец[[#This Row],[аФакСец]])</f>
        <v>1</v>
      </c>
    </row>
    <row r="155" spans="3:16" x14ac:dyDescent="0.25">
      <c r="C155" s="614">
        <v>149</v>
      </c>
      <c r="D155" s="614">
        <v>12793</v>
      </c>
      <c r="E155" s="64" t="s">
        <v>1861</v>
      </c>
      <c r="F155" s="64" t="s">
        <v>4798</v>
      </c>
      <c r="G155" s="614" t="s">
        <v>626</v>
      </c>
      <c r="H155" s="614" t="s">
        <v>682</v>
      </c>
      <c r="I155" s="614" t="s">
        <v>1153</v>
      </c>
      <c r="J155" s="64" t="s">
        <v>3222</v>
      </c>
      <c r="K155" s="1940" t="s">
        <v>4796</v>
      </c>
      <c r="L155" s="1940" t="s">
        <v>7942</v>
      </c>
      <c r="M155" t="s">
        <v>11358</v>
      </c>
      <c r="N155" t="s">
        <v>9657</v>
      </c>
      <c r="O155" t="s">
        <v>4798</v>
      </c>
      <c r="P155" s="614">
        <f>COUNTIF(EducPlans_кодНАЦИД_Спец[аФакСец],EducPlans_кодНАЦИД_Спец[[#This Row],[аФакСец]])</f>
        <v>1</v>
      </c>
    </row>
    <row r="156" spans="3:16" x14ac:dyDescent="0.25">
      <c r="C156" s="614">
        <v>150</v>
      </c>
      <c r="D156" s="614">
        <v>12809</v>
      </c>
      <c r="E156" s="64" t="s">
        <v>1866</v>
      </c>
      <c r="F156" s="64" t="s">
        <v>4804</v>
      </c>
      <c r="G156" s="614" t="s">
        <v>626</v>
      </c>
      <c r="H156" s="614" t="s">
        <v>682</v>
      </c>
      <c r="I156" s="614" t="s">
        <v>1153</v>
      </c>
      <c r="J156" s="64" t="s">
        <v>3243</v>
      </c>
      <c r="K156" s="1940" t="s">
        <v>4805</v>
      </c>
      <c r="L156" s="1940" t="s">
        <v>7956</v>
      </c>
      <c r="M156" t="s">
        <v>11359</v>
      </c>
      <c r="N156" t="s">
        <v>9671</v>
      </c>
      <c r="O156" t="s">
        <v>4804</v>
      </c>
      <c r="P156" s="614">
        <f>COUNTIF(EducPlans_кодНАЦИД_Спец[аФакСец],EducPlans_кодНАЦИД_Спец[[#This Row],[аФакСец]])</f>
        <v>1</v>
      </c>
    </row>
    <row r="157" spans="3:16" x14ac:dyDescent="0.25">
      <c r="C157" s="614">
        <v>151</v>
      </c>
      <c r="D157" s="614">
        <v>12809</v>
      </c>
      <c r="E157" s="64" t="s">
        <v>1866</v>
      </c>
      <c r="F157" s="64" t="s">
        <v>4806</v>
      </c>
      <c r="G157" s="614" t="s">
        <v>626</v>
      </c>
      <c r="H157" s="614" t="s">
        <v>682</v>
      </c>
      <c r="I157" s="614" t="s">
        <v>1153</v>
      </c>
      <c r="J157" s="64" t="s">
        <v>3242</v>
      </c>
      <c r="K157" s="1940" t="s">
        <v>4805</v>
      </c>
      <c r="L157" s="1940" t="s">
        <v>7957</v>
      </c>
      <c r="M157" t="s">
        <v>11360</v>
      </c>
      <c r="N157" t="s">
        <v>9672</v>
      </c>
      <c r="O157" t="s">
        <v>4806</v>
      </c>
      <c r="P157" s="614">
        <f>COUNTIF(EducPlans_кодНАЦИД_Спец[аФакСец],EducPlans_кодНАЦИД_Спец[[#This Row],[аФакСец]])</f>
        <v>1</v>
      </c>
    </row>
    <row r="158" spans="3:16" x14ac:dyDescent="0.25">
      <c r="C158" s="614">
        <v>152</v>
      </c>
      <c r="D158" s="614">
        <v>12809</v>
      </c>
      <c r="E158" s="64" t="s">
        <v>1866</v>
      </c>
      <c r="F158" s="64" t="s">
        <v>4807</v>
      </c>
      <c r="G158" s="614" t="s">
        <v>626</v>
      </c>
      <c r="H158" s="614" t="s">
        <v>682</v>
      </c>
      <c r="I158" s="614" t="s">
        <v>1153</v>
      </c>
      <c r="J158" s="64" t="s">
        <v>3241</v>
      </c>
      <c r="K158" s="1940" t="s">
        <v>4805</v>
      </c>
      <c r="L158" s="1940" t="s">
        <v>7958</v>
      </c>
      <c r="M158" t="s">
        <v>11361</v>
      </c>
      <c r="N158" t="s">
        <v>9673</v>
      </c>
      <c r="O158" t="s">
        <v>4807</v>
      </c>
      <c r="P158" s="614">
        <f>COUNTIF(EducPlans_кодНАЦИД_Спец[аФакСец],EducPlans_кодНАЦИД_Спец[[#This Row],[аФакСец]])</f>
        <v>1</v>
      </c>
    </row>
    <row r="159" spans="3:16" x14ac:dyDescent="0.25">
      <c r="C159" s="614">
        <v>153</v>
      </c>
      <c r="D159" s="614">
        <v>12750</v>
      </c>
      <c r="E159" s="64" t="s">
        <v>13202</v>
      </c>
      <c r="F159" s="64" t="s">
        <v>4808</v>
      </c>
      <c r="G159" s="614" t="s">
        <v>626</v>
      </c>
      <c r="H159" s="614" t="s">
        <v>682</v>
      </c>
      <c r="I159" s="614" t="s">
        <v>1153</v>
      </c>
      <c r="J159" s="64" t="s">
        <v>3249</v>
      </c>
      <c r="K159" s="1940" t="s">
        <v>4809</v>
      </c>
      <c r="L159" s="1940" t="s">
        <v>7959</v>
      </c>
      <c r="M159" t="s">
        <v>13203</v>
      </c>
      <c r="N159" t="s">
        <v>9674</v>
      </c>
      <c r="O159" t="s">
        <v>4808</v>
      </c>
      <c r="P159" s="614">
        <f>COUNTIF(EducPlans_кодНАЦИД_Спец[аФакСец],EducPlans_кодНАЦИД_Спец[[#This Row],[аФакСец]])</f>
        <v>1</v>
      </c>
    </row>
    <row r="160" spans="3:16" x14ac:dyDescent="0.25">
      <c r="C160" s="614">
        <v>154</v>
      </c>
      <c r="D160" s="614">
        <v>12750</v>
      </c>
      <c r="E160" s="64" t="s">
        <v>13202</v>
      </c>
      <c r="F160" s="64" t="s">
        <v>4810</v>
      </c>
      <c r="G160" s="614" t="s">
        <v>626</v>
      </c>
      <c r="H160" s="614" t="s">
        <v>682</v>
      </c>
      <c r="I160" s="614" t="s">
        <v>1153</v>
      </c>
      <c r="J160" s="64" t="s">
        <v>3245</v>
      </c>
      <c r="K160" s="1940" t="s">
        <v>4809</v>
      </c>
      <c r="L160" s="1940" t="s">
        <v>7960</v>
      </c>
      <c r="M160" t="s">
        <v>13204</v>
      </c>
      <c r="N160" t="s">
        <v>9675</v>
      </c>
      <c r="O160" t="s">
        <v>4810</v>
      </c>
      <c r="P160" s="614">
        <f>COUNTIF(EducPlans_кодНАЦИД_Спец[аФакСец],EducPlans_кодНАЦИД_Спец[[#This Row],[аФакСец]])</f>
        <v>1</v>
      </c>
    </row>
    <row r="161" spans="3:16" x14ac:dyDescent="0.25">
      <c r="C161" s="614">
        <v>155</v>
      </c>
      <c r="D161" s="614">
        <v>12750</v>
      </c>
      <c r="E161" s="64" t="s">
        <v>13202</v>
      </c>
      <c r="F161" s="64" t="s">
        <v>4811</v>
      </c>
      <c r="G161" s="614" t="s">
        <v>626</v>
      </c>
      <c r="H161" s="614" t="s">
        <v>682</v>
      </c>
      <c r="I161" s="614" t="s">
        <v>1153</v>
      </c>
      <c r="J161" s="64" t="s">
        <v>3247</v>
      </c>
      <c r="K161" s="1940" t="s">
        <v>4809</v>
      </c>
      <c r="L161" s="1940" t="s">
        <v>7961</v>
      </c>
      <c r="M161" t="s">
        <v>13205</v>
      </c>
      <c r="N161" t="s">
        <v>9676</v>
      </c>
      <c r="O161" t="s">
        <v>4811</v>
      </c>
      <c r="P161" s="614">
        <f>COUNTIF(EducPlans_кодНАЦИД_Спец[аФакСец],EducPlans_кодНАЦИД_Спец[[#This Row],[аФакСец]])</f>
        <v>1</v>
      </c>
    </row>
    <row r="162" spans="3:16" x14ac:dyDescent="0.25">
      <c r="C162" s="614">
        <v>156</v>
      </c>
      <c r="D162" s="614">
        <v>12750</v>
      </c>
      <c r="E162" s="64" t="s">
        <v>13202</v>
      </c>
      <c r="F162" s="64" t="s">
        <v>4812</v>
      </c>
      <c r="G162" s="614" t="s">
        <v>626</v>
      </c>
      <c r="H162" s="614" t="s">
        <v>682</v>
      </c>
      <c r="I162" s="614" t="s">
        <v>1153</v>
      </c>
      <c r="J162" s="64" t="s">
        <v>3246</v>
      </c>
      <c r="K162" s="1940" t="s">
        <v>4809</v>
      </c>
      <c r="L162" s="1940" t="s">
        <v>7962</v>
      </c>
      <c r="M162" t="s">
        <v>13206</v>
      </c>
      <c r="N162" t="s">
        <v>9677</v>
      </c>
      <c r="O162" t="s">
        <v>4812</v>
      </c>
      <c r="P162" s="614">
        <f>COUNTIF(EducPlans_кодНАЦИД_Спец[аФакСец],EducPlans_кодНАЦИД_Спец[[#This Row],[аФакСец]])</f>
        <v>1</v>
      </c>
    </row>
    <row r="163" spans="3:16" x14ac:dyDescent="0.25">
      <c r="C163" s="614">
        <v>157</v>
      </c>
      <c r="D163" s="614">
        <v>12750</v>
      </c>
      <c r="E163" s="64" t="s">
        <v>13202</v>
      </c>
      <c r="F163" s="64" t="s">
        <v>4813</v>
      </c>
      <c r="G163" s="614" t="s">
        <v>626</v>
      </c>
      <c r="H163" s="614" t="s">
        <v>682</v>
      </c>
      <c r="I163" s="614" t="s">
        <v>1153</v>
      </c>
      <c r="J163" s="64" t="s">
        <v>3248</v>
      </c>
      <c r="K163" s="1940" t="s">
        <v>4809</v>
      </c>
      <c r="L163" s="1940" t="s">
        <v>7963</v>
      </c>
      <c r="M163" t="s">
        <v>13207</v>
      </c>
      <c r="N163" t="s">
        <v>9678</v>
      </c>
      <c r="O163" t="s">
        <v>4813</v>
      </c>
      <c r="P163" s="614">
        <f>COUNTIF(EducPlans_кодНАЦИД_Спец[аФакСец],EducPlans_кодНАЦИД_Спец[[#This Row],[аФакСец]])</f>
        <v>1</v>
      </c>
    </row>
    <row r="164" spans="3:16" x14ac:dyDescent="0.25">
      <c r="C164" s="614">
        <v>158</v>
      </c>
      <c r="D164" s="614">
        <v>711184</v>
      </c>
      <c r="E164" s="64" t="s">
        <v>13202</v>
      </c>
      <c r="F164" s="64" t="s">
        <v>13208</v>
      </c>
      <c r="G164" s="614" t="s">
        <v>626</v>
      </c>
      <c r="H164" s="614" t="s">
        <v>682</v>
      </c>
      <c r="I164" s="614" t="s">
        <v>1153</v>
      </c>
      <c r="J164" s="64" t="s">
        <v>12933</v>
      </c>
      <c r="K164" s="1940" t="s">
        <v>4809</v>
      </c>
      <c r="L164" s="1940" t="s">
        <v>12934</v>
      </c>
      <c r="M164" t="s">
        <v>13209</v>
      </c>
      <c r="N164" t="s">
        <v>12935</v>
      </c>
      <c r="O164" t="s">
        <v>13208</v>
      </c>
      <c r="P164" s="614">
        <f>COUNTIF(EducPlans_кодНАЦИД_Спец[аФакСец],EducPlans_кодНАЦИД_Спец[[#This Row],[аФакСец]])</f>
        <v>1</v>
      </c>
    </row>
    <row r="165" spans="3:16" x14ac:dyDescent="0.25">
      <c r="C165" s="614">
        <v>159</v>
      </c>
      <c r="D165" s="614">
        <v>711184</v>
      </c>
      <c r="E165" s="64" t="s">
        <v>13202</v>
      </c>
      <c r="F165" s="64" t="s">
        <v>13210</v>
      </c>
      <c r="G165" s="614" t="s">
        <v>626</v>
      </c>
      <c r="H165" s="614" t="s">
        <v>682</v>
      </c>
      <c r="I165" s="614" t="s">
        <v>1153</v>
      </c>
      <c r="J165" s="64" t="s">
        <v>12936</v>
      </c>
      <c r="K165" s="1940" t="s">
        <v>4809</v>
      </c>
      <c r="L165" s="1940" t="s">
        <v>12937</v>
      </c>
      <c r="M165" t="s">
        <v>13211</v>
      </c>
      <c r="N165" t="s">
        <v>12938</v>
      </c>
      <c r="O165" t="s">
        <v>13210</v>
      </c>
      <c r="P165" s="614">
        <f>COUNTIF(EducPlans_кодНАЦИД_Спец[аФакСец],EducPlans_кодНАЦИД_Спец[[#This Row],[аФакСец]])</f>
        <v>1</v>
      </c>
    </row>
    <row r="166" spans="3:16" x14ac:dyDescent="0.25">
      <c r="C166" s="614">
        <v>160</v>
      </c>
      <c r="D166" s="614">
        <v>712372</v>
      </c>
      <c r="E166" s="64" t="s">
        <v>13202</v>
      </c>
      <c r="F166" s="64" t="s">
        <v>13212</v>
      </c>
      <c r="G166" s="614" t="s">
        <v>626</v>
      </c>
      <c r="H166" s="614" t="s">
        <v>682</v>
      </c>
      <c r="I166" s="614" t="s">
        <v>1153</v>
      </c>
      <c r="J166" s="64" t="s">
        <v>12939</v>
      </c>
      <c r="K166" s="1940" t="s">
        <v>4809</v>
      </c>
      <c r="L166" s="1940" t="s">
        <v>12940</v>
      </c>
      <c r="M166" t="s">
        <v>13213</v>
      </c>
      <c r="N166" t="s">
        <v>12941</v>
      </c>
      <c r="O166" t="s">
        <v>13212</v>
      </c>
      <c r="P166" s="614">
        <f>COUNTIF(EducPlans_кодНАЦИД_Спец[аФакСец],EducPlans_кодНАЦИД_Спец[[#This Row],[аФакСец]])</f>
        <v>1</v>
      </c>
    </row>
    <row r="167" spans="3:16" x14ac:dyDescent="0.25">
      <c r="C167" s="614">
        <v>161</v>
      </c>
      <c r="D167" s="614">
        <v>712372</v>
      </c>
      <c r="E167" s="64" t="s">
        <v>13202</v>
      </c>
      <c r="F167" s="64" t="s">
        <v>13214</v>
      </c>
      <c r="G167" s="614" t="s">
        <v>626</v>
      </c>
      <c r="H167" s="614" t="s">
        <v>682</v>
      </c>
      <c r="I167" s="614" t="s">
        <v>1153</v>
      </c>
      <c r="J167" s="64" t="s">
        <v>12942</v>
      </c>
      <c r="K167" s="1940" t="s">
        <v>4809</v>
      </c>
      <c r="L167" s="1940" t="s">
        <v>12943</v>
      </c>
      <c r="M167" t="s">
        <v>13215</v>
      </c>
      <c r="N167" t="s">
        <v>12944</v>
      </c>
      <c r="O167" t="s">
        <v>13214</v>
      </c>
      <c r="P167" s="614">
        <f>COUNTIF(EducPlans_кодНАЦИД_Спец[аФакСец],EducPlans_кодНАЦИД_Спец[[#This Row],[аФакСец]])</f>
        <v>1</v>
      </c>
    </row>
    <row r="168" spans="3:16" x14ac:dyDescent="0.25">
      <c r="C168" s="614">
        <v>162</v>
      </c>
      <c r="D168" s="614">
        <v>12752</v>
      </c>
      <c r="E168" s="64" t="s">
        <v>1868</v>
      </c>
      <c r="F168" s="64" t="s">
        <v>4814</v>
      </c>
      <c r="G168" s="614" t="s">
        <v>626</v>
      </c>
      <c r="H168" s="614" t="s">
        <v>682</v>
      </c>
      <c r="I168" s="614" t="s">
        <v>1153</v>
      </c>
      <c r="J168" s="64" t="s">
        <v>3253</v>
      </c>
      <c r="K168" s="1940" t="s">
        <v>4815</v>
      </c>
      <c r="L168" s="1940" t="s">
        <v>7964</v>
      </c>
      <c r="M168" t="s">
        <v>11362</v>
      </c>
      <c r="N168" t="s">
        <v>9679</v>
      </c>
      <c r="O168" t="s">
        <v>4814</v>
      </c>
      <c r="P168" s="614">
        <f>COUNTIF(EducPlans_кодНАЦИД_Спец[аФакСец],EducPlans_кодНАЦИД_Спец[[#This Row],[аФакСец]])</f>
        <v>1</v>
      </c>
    </row>
    <row r="169" spans="3:16" x14ac:dyDescent="0.25">
      <c r="C169" s="614">
        <v>163</v>
      </c>
      <c r="D169" s="614">
        <v>12752</v>
      </c>
      <c r="E169" s="64" t="s">
        <v>1868</v>
      </c>
      <c r="F169" s="64" t="s">
        <v>4816</v>
      </c>
      <c r="G169" s="614" t="s">
        <v>626</v>
      </c>
      <c r="H169" s="614" t="s">
        <v>682</v>
      </c>
      <c r="I169" s="614" t="s">
        <v>1153</v>
      </c>
      <c r="J169" s="64" t="s">
        <v>3254</v>
      </c>
      <c r="K169" s="1940" t="s">
        <v>4815</v>
      </c>
      <c r="L169" s="1940" t="s">
        <v>7965</v>
      </c>
      <c r="M169" t="s">
        <v>11363</v>
      </c>
      <c r="N169" t="s">
        <v>9680</v>
      </c>
      <c r="O169" t="s">
        <v>4816</v>
      </c>
      <c r="P169" s="614">
        <f>COUNTIF(EducPlans_кодНАЦИД_Спец[аФакСец],EducPlans_кодНАЦИД_Спец[[#This Row],[аФакСец]])</f>
        <v>1</v>
      </c>
    </row>
    <row r="170" spans="3:16" x14ac:dyDescent="0.25">
      <c r="C170" s="614">
        <v>164</v>
      </c>
      <c r="D170" s="614">
        <v>12752</v>
      </c>
      <c r="E170" s="64" t="s">
        <v>1868</v>
      </c>
      <c r="F170" s="64" t="s">
        <v>4817</v>
      </c>
      <c r="G170" s="614" t="s">
        <v>626</v>
      </c>
      <c r="H170" s="614" t="s">
        <v>682</v>
      </c>
      <c r="I170" s="614" t="s">
        <v>1153</v>
      </c>
      <c r="J170" s="64" t="s">
        <v>3252</v>
      </c>
      <c r="K170" s="1940" t="s">
        <v>4815</v>
      </c>
      <c r="L170" s="1940" t="s">
        <v>7966</v>
      </c>
      <c r="M170" t="s">
        <v>11364</v>
      </c>
      <c r="N170" t="s">
        <v>9681</v>
      </c>
      <c r="O170" t="s">
        <v>4817</v>
      </c>
      <c r="P170" s="614">
        <f>COUNTIF(EducPlans_кодНАЦИД_Спец[аФакСец],EducPlans_кодНАЦИД_Спец[[#This Row],[аФакСец]])</f>
        <v>1</v>
      </c>
    </row>
    <row r="171" spans="3:16" x14ac:dyDescent="0.25">
      <c r="C171" s="614">
        <v>165</v>
      </c>
      <c r="D171" s="614">
        <v>12752</v>
      </c>
      <c r="E171" s="64" t="s">
        <v>1868</v>
      </c>
      <c r="F171" s="64" t="s">
        <v>4818</v>
      </c>
      <c r="G171" s="614" t="s">
        <v>626</v>
      </c>
      <c r="H171" s="614" t="s">
        <v>682</v>
      </c>
      <c r="I171" s="614" t="s">
        <v>1153</v>
      </c>
      <c r="J171" s="64" t="s">
        <v>3251</v>
      </c>
      <c r="K171" s="1940" t="s">
        <v>4815</v>
      </c>
      <c r="L171" s="1940" t="s">
        <v>7967</v>
      </c>
      <c r="M171" t="s">
        <v>11365</v>
      </c>
      <c r="N171" t="s">
        <v>9682</v>
      </c>
      <c r="O171" t="s">
        <v>4818</v>
      </c>
      <c r="P171" s="614">
        <f>COUNTIF(EducPlans_кодНАЦИД_Спец[аФакСец],EducPlans_кодНАЦИД_Спец[[#This Row],[аФакСец]])</f>
        <v>1</v>
      </c>
    </row>
    <row r="172" spans="3:16" x14ac:dyDescent="0.25">
      <c r="C172" s="614">
        <v>166</v>
      </c>
      <c r="D172" s="614">
        <v>606666</v>
      </c>
      <c r="E172" s="64" t="s">
        <v>4819</v>
      </c>
      <c r="F172" s="64" t="s">
        <v>4820</v>
      </c>
      <c r="G172" s="614" t="s">
        <v>626</v>
      </c>
      <c r="H172" s="614" t="s">
        <v>682</v>
      </c>
      <c r="I172" s="614" t="s">
        <v>1153</v>
      </c>
      <c r="J172" s="64" t="s">
        <v>4821</v>
      </c>
      <c r="K172" s="1940" t="s">
        <v>4822</v>
      </c>
      <c r="L172" s="1940" t="s">
        <v>7968</v>
      </c>
      <c r="M172" t="s">
        <v>11366</v>
      </c>
      <c r="N172" t="s">
        <v>9683</v>
      </c>
      <c r="O172" t="s">
        <v>4820</v>
      </c>
      <c r="P172" s="614">
        <f>COUNTIF(EducPlans_кодНАЦИД_Спец[аФакСец],EducPlans_кодНАЦИД_Спец[[#This Row],[аФакСец]])</f>
        <v>1</v>
      </c>
    </row>
    <row r="173" spans="3:16" x14ac:dyDescent="0.25">
      <c r="C173" s="614">
        <v>167</v>
      </c>
      <c r="D173" s="614">
        <v>606666</v>
      </c>
      <c r="E173" s="64" t="s">
        <v>4819</v>
      </c>
      <c r="F173" s="64" t="s">
        <v>4823</v>
      </c>
      <c r="G173" s="614" t="s">
        <v>626</v>
      </c>
      <c r="H173" s="614" t="s">
        <v>682</v>
      </c>
      <c r="I173" s="614" t="s">
        <v>1153</v>
      </c>
      <c r="J173" s="64" t="s">
        <v>4824</v>
      </c>
      <c r="K173" s="1940" t="s">
        <v>4822</v>
      </c>
      <c r="L173" s="1940" t="s">
        <v>7969</v>
      </c>
      <c r="M173" t="s">
        <v>11367</v>
      </c>
      <c r="N173" t="s">
        <v>9684</v>
      </c>
      <c r="O173" t="s">
        <v>4823</v>
      </c>
      <c r="P173" s="614">
        <f>COUNTIF(EducPlans_кодНАЦИД_Спец[аФакСец],EducPlans_кодНАЦИД_Спец[[#This Row],[аФакСец]])</f>
        <v>1</v>
      </c>
    </row>
    <row r="174" spans="3:16" x14ac:dyDescent="0.25">
      <c r="C174" s="614">
        <v>168</v>
      </c>
      <c r="D174" s="614">
        <v>711110</v>
      </c>
      <c r="E174" s="64" t="s">
        <v>12975</v>
      </c>
      <c r="F174" s="64" t="s">
        <v>12976</v>
      </c>
      <c r="G174" s="614" t="s">
        <v>626</v>
      </c>
      <c r="H174" s="614" t="s">
        <v>682</v>
      </c>
      <c r="I174" s="614" t="s">
        <v>1153</v>
      </c>
      <c r="J174" s="64" t="s">
        <v>12977</v>
      </c>
      <c r="K174" s="1940" t="s">
        <v>12978</v>
      </c>
      <c r="L174" s="1940" t="s">
        <v>12979</v>
      </c>
      <c r="M174" t="s">
        <v>12980</v>
      </c>
      <c r="N174" t="s">
        <v>12981</v>
      </c>
      <c r="O174" t="s">
        <v>12976</v>
      </c>
      <c r="P174" s="614">
        <f>COUNTIF(EducPlans_кодНАЦИД_Спец[аФакСец],EducPlans_кодНАЦИД_Спец[[#This Row],[аФакСец]])</f>
        <v>1</v>
      </c>
    </row>
    <row r="175" spans="3:16" x14ac:dyDescent="0.25">
      <c r="C175" s="614">
        <v>169</v>
      </c>
      <c r="D175" s="614">
        <v>711110</v>
      </c>
      <c r="E175" s="64" t="s">
        <v>12975</v>
      </c>
      <c r="F175" s="64" t="s">
        <v>12982</v>
      </c>
      <c r="G175" s="614" t="s">
        <v>626</v>
      </c>
      <c r="H175" s="614" t="s">
        <v>682</v>
      </c>
      <c r="I175" s="614" t="s">
        <v>1153</v>
      </c>
      <c r="J175" s="64" t="s">
        <v>12983</v>
      </c>
      <c r="K175" s="1940" t="s">
        <v>12978</v>
      </c>
      <c r="L175" s="1940" t="s">
        <v>12984</v>
      </c>
      <c r="M175" t="s">
        <v>12985</v>
      </c>
      <c r="N175" t="s">
        <v>12986</v>
      </c>
      <c r="O175" t="s">
        <v>12982</v>
      </c>
      <c r="P175" s="614">
        <f>COUNTIF(EducPlans_кодНАЦИД_Спец[аФакСец],EducPlans_кодНАЦИД_Спец[[#This Row],[аФакСец]])</f>
        <v>1</v>
      </c>
    </row>
    <row r="176" spans="3:16" x14ac:dyDescent="0.25">
      <c r="C176" s="614">
        <v>170</v>
      </c>
      <c r="D176" s="614">
        <v>11812</v>
      </c>
      <c r="E176" s="64" t="s">
        <v>2314</v>
      </c>
      <c r="F176" s="64" t="s">
        <v>4825</v>
      </c>
      <c r="G176" s="614" t="s">
        <v>26</v>
      </c>
      <c r="H176" s="614" t="s">
        <v>682</v>
      </c>
      <c r="I176" s="614" t="s">
        <v>1153</v>
      </c>
      <c r="J176" s="64" t="s">
        <v>3651</v>
      </c>
      <c r="K176" s="1940" t="s">
        <v>4826</v>
      </c>
      <c r="L176" s="1940" t="s">
        <v>7970</v>
      </c>
      <c r="M176" t="s">
        <v>11368</v>
      </c>
      <c r="N176" t="s">
        <v>9685</v>
      </c>
      <c r="O176" t="s">
        <v>4825</v>
      </c>
      <c r="P176" s="614">
        <f>COUNTIF(EducPlans_кодНАЦИД_Спец[аФакСец],EducPlans_кодНАЦИД_Спец[[#This Row],[аФакСец]])</f>
        <v>1</v>
      </c>
    </row>
    <row r="177" spans="3:16" x14ac:dyDescent="0.25">
      <c r="C177" s="614">
        <v>171</v>
      </c>
      <c r="D177" s="614">
        <v>11812</v>
      </c>
      <c r="E177" s="64" t="s">
        <v>2314</v>
      </c>
      <c r="F177" s="64" t="s">
        <v>4827</v>
      </c>
      <c r="G177" s="614" t="s">
        <v>26</v>
      </c>
      <c r="H177" s="614" t="s">
        <v>682</v>
      </c>
      <c r="I177" s="614" t="s">
        <v>1153</v>
      </c>
      <c r="J177" s="64" t="s">
        <v>3653</v>
      </c>
      <c r="K177" s="1940" t="s">
        <v>4826</v>
      </c>
      <c r="L177" s="1940" t="s">
        <v>7971</v>
      </c>
      <c r="M177" t="s">
        <v>11369</v>
      </c>
      <c r="N177" t="s">
        <v>9686</v>
      </c>
      <c r="O177" t="s">
        <v>4827</v>
      </c>
      <c r="P177" s="614">
        <f>COUNTIF(EducPlans_кодНАЦИД_Спец[аФакСец],EducPlans_кодНАЦИД_Спец[[#This Row],[аФакСец]])</f>
        <v>1</v>
      </c>
    </row>
    <row r="178" spans="3:16" x14ac:dyDescent="0.25">
      <c r="C178" s="614">
        <v>172</v>
      </c>
      <c r="D178" s="614">
        <v>11812</v>
      </c>
      <c r="E178" s="64" t="s">
        <v>2314</v>
      </c>
      <c r="F178" s="64" t="s">
        <v>4828</v>
      </c>
      <c r="G178" s="614" t="s">
        <v>26</v>
      </c>
      <c r="H178" s="614" t="s">
        <v>682</v>
      </c>
      <c r="I178" s="614" t="s">
        <v>1153</v>
      </c>
      <c r="J178" s="64" t="s">
        <v>3650</v>
      </c>
      <c r="K178" s="1940" t="s">
        <v>4826</v>
      </c>
      <c r="L178" s="1940" t="s">
        <v>7972</v>
      </c>
      <c r="M178" t="s">
        <v>11370</v>
      </c>
      <c r="N178" t="s">
        <v>9687</v>
      </c>
      <c r="O178" t="s">
        <v>4828</v>
      </c>
      <c r="P178" s="614">
        <f>COUNTIF(EducPlans_кодНАЦИД_Спец[аФакСец],EducPlans_кодНАЦИД_Спец[[#This Row],[аФакСец]])</f>
        <v>1</v>
      </c>
    </row>
    <row r="179" spans="3:16" x14ac:dyDescent="0.25">
      <c r="C179" s="614">
        <v>173</v>
      </c>
      <c r="D179" s="614">
        <v>11836</v>
      </c>
      <c r="E179" s="64" t="s">
        <v>2314</v>
      </c>
      <c r="F179" s="64" t="s">
        <v>4829</v>
      </c>
      <c r="G179" s="614" t="s">
        <v>26</v>
      </c>
      <c r="H179" s="614" t="s">
        <v>682</v>
      </c>
      <c r="I179" s="614" t="s">
        <v>1153</v>
      </c>
      <c r="J179" s="64" t="s">
        <v>3652</v>
      </c>
      <c r="K179" s="1940" t="s">
        <v>4830</v>
      </c>
      <c r="L179" s="1940" t="s">
        <v>7973</v>
      </c>
      <c r="M179" t="s">
        <v>11371</v>
      </c>
      <c r="N179" t="s">
        <v>9688</v>
      </c>
      <c r="O179" t="s">
        <v>4829</v>
      </c>
      <c r="P179" s="614">
        <f>COUNTIF(EducPlans_кодНАЦИД_Спец[аФакСец],EducPlans_кодНАЦИД_Спец[[#This Row],[аФакСец]])</f>
        <v>1</v>
      </c>
    </row>
    <row r="180" spans="3:16" x14ac:dyDescent="0.25">
      <c r="C180" s="614">
        <v>174</v>
      </c>
      <c r="D180" s="614">
        <v>1001166</v>
      </c>
      <c r="E180" s="64" t="s">
        <v>13216</v>
      </c>
      <c r="F180" s="64" t="s">
        <v>13217</v>
      </c>
      <c r="G180" s="614" t="s">
        <v>29</v>
      </c>
      <c r="H180" s="614" t="s">
        <v>682</v>
      </c>
      <c r="I180" s="614" t="s">
        <v>1153</v>
      </c>
      <c r="J180" s="64" t="s">
        <v>13218</v>
      </c>
      <c r="K180" s="1940" t="s">
        <v>13219</v>
      </c>
      <c r="L180" s="1940" t="s">
        <v>13220</v>
      </c>
      <c r="M180" t="s">
        <v>13221</v>
      </c>
      <c r="N180" t="s">
        <v>13222</v>
      </c>
      <c r="O180" t="s">
        <v>13217</v>
      </c>
      <c r="P180" s="614">
        <f>COUNTIF(EducPlans_кодНАЦИД_Спец[аФакСец],EducPlans_кодНАЦИД_Спец[[#This Row],[аФакСец]])</f>
        <v>1</v>
      </c>
    </row>
    <row r="181" spans="3:16" x14ac:dyDescent="0.25">
      <c r="C181" s="614">
        <v>175</v>
      </c>
      <c r="D181" s="614">
        <v>12251</v>
      </c>
      <c r="E181" s="64" t="s">
        <v>2201</v>
      </c>
      <c r="F181" s="64" t="s">
        <v>4831</v>
      </c>
      <c r="G181" s="614" t="s">
        <v>31</v>
      </c>
      <c r="H181" s="614" t="s">
        <v>682</v>
      </c>
      <c r="I181" s="614" t="s">
        <v>1153</v>
      </c>
      <c r="J181" s="64" t="s">
        <v>2907</v>
      </c>
      <c r="K181" s="1940" t="s">
        <v>4832</v>
      </c>
      <c r="L181" s="1940" t="s">
        <v>7974</v>
      </c>
      <c r="M181" t="s">
        <v>11372</v>
      </c>
      <c r="N181" t="s">
        <v>9689</v>
      </c>
      <c r="O181" t="s">
        <v>4831</v>
      </c>
      <c r="P181" s="614">
        <f>COUNTIF(EducPlans_кодНАЦИД_Спец[аФакСец],EducPlans_кодНАЦИД_Спец[[#This Row],[аФакСец]])</f>
        <v>1</v>
      </c>
    </row>
    <row r="182" spans="3:16" x14ac:dyDescent="0.25">
      <c r="C182" s="614">
        <v>176</v>
      </c>
      <c r="D182" s="614">
        <v>12257</v>
      </c>
      <c r="E182" s="64" t="s">
        <v>2202</v>
      </c>
      <c r="F182" s="64" t="s">
        <v>4833</v>
      </c>
      <c r="G182" s="614" t="s">
        <v>31</v>
      </c>
      <c r="H182" s="614" t="s">
        <v>682</v>
      </c>
      <c r="I182" s="614" t="s">
        <v>1153</v>
      </c>
      <c r="J182" s="64" t="s">
        <v>2908</v>
      </c>
      <c r="K182" s="1940" t="s">
        <v>4834</v>
      </c>
      <c r="L182" s="1940" t="s">
        <v>7975</v>
      </c>
      <c r="M182" t="s">
        <v>11373</v>
      </c>
      <c r="N182" t="s">
        <v>9690</v>
      </c>
      <c r="O182" t="s">
        <v>4833</v>
      </c>
      <c r="P182" s="614">
        <f>COUNTIF(EducPlans_кодНАЦИД_Спец[аФакСец],EducPlans_кодНАЦИД_Спец[[#This Row],[аФакСец]])</f>
        <v>1</v>
      </c>
    </row>
    <row r="183" spans="3:16" x14ac:dyDescent="0.25">
      <c r="C183" s="614">
        <v>177</v>
      </c>
      <c r="D183" s="614">
        <v>12296</v>
      </c>
      <c r="E183" s="64" t="s">
        <v>2203</v>
      </c>
      <c r="F183" s="64" t="s">
        <v>4835</v>
      </c>
      <c r="G183" s="614" t="s">
        <v>31</v>
      </c>
      <c r="H183" s="614" t="s">
        <v>682</v>
      </c>
      <c r="I183" s="614" t="s">
        <v>1153</v>
      </c>
      <c r="J183" s="64" t="s">
        <v>2909</v>
      </c>
      <c r="K183" s="1940" t="s">
        <v>4836</v>
      </c>
      <c r="L183" s="1940" t="s">
        <v>7976</v>
      </c>
      <c r="M183" t="s">
        <v>11374</v>
      </c>
      <c r="N183" t="s">
        <v>9691</v>
      </c>
      <c r="O183" t="s">
        <v>4835</v>
      </c>
      <c r="P183" s="614">
        <f>COUNTIF(EducPlans_кодНАЦИД_Спец[аФакСец],EducPlans_кодНАЦИД_Спец[[#This Row],[аФакСец]])</f>
        <v>1</v>
      </c>
    </row>
    <row r="184" spans="3:16" x14ac:dyDescent="0.25">
      <c r="C184" s="614">
        <v>178</v>
      </c>
      <c r="D184" s="614">
        <v>12161</v>
      </c>
      <c r="E184" s="64" t="s">
        <v>2204</v>
      </c>
      <c r="F184" s="64" t="s">
        <v>4837</v>
      </c>
      <c r="G184" s="614" t="s">
        <v>31</v>
      </c>
      <c r="H184" s="614" t="s">
        <v>681</v>
      </c>
      <c r="I184" s="614" t="s">
        <v>1153</v>
      </c>
      <c r="J184" s="64" t="s">
        <v>2911</v>
      </c>
      <c r="K184" s="1940" t="s">
        <v>4838</v>
      </c>
      <c r="L184" s="1940" t="s">
        <v>7977</v>
      </c>
      <c r="M184" t="s">
        <v>11375</v>
      </c>
      <c r="N184" t="s">
        <v>9692</v>
      </c>
      <c r="O184" t="s">
        <v>4837</v>
      </c>
      <c r="P184" s="614">
        <f>COUNTIF(EducPlans_кодНАЦИД_Спец[аФакСец],EducPlans_кодНАЦИД_Спец[[#This Row],[аФакСец]])</f>
        <v>1</v>
      </c>
    </row>
    <row r="185" spans="3:16" x14ac:dyDescent="0.25">
      <c r="C185" s="614">
        <v>179</v>
      </c>
      <c r="D185" s="614">
        <v>12163</v>
      </c>
      <c r="E185" s="64" t="s">
        <v>2204</v>
      </c>
      <c r="F185" s="64" t="s">
        <v>4839</v>
      </c>
      <c r="G185" s="614" t="s">
        <v>31</v>
      </c>
      <c r="H185" s="614" t="s">
        <v>681</v>
      </c>
      <c r="I185" s="614" t="s">
        <v>1149</v>
      </c>
      <c r="J185" s="64" t="s">
        <v>2910</v>
      </c>
      <c r="K185" s="1940" t="s">
        <v>4840</v>
      </c>
      <c r="L185" s="1940" t="s">
        <v>7978</v>
      </c>
      <c r="M185" t="s">
        <v>11376</v>
      </c>
      <c r="N185" t="s">
        <v>9693</v>
      </c>
      <c r="O185" t="s">
        <v>4839</v>
      </c>
      <c r="P185" s="614">
        <f>COUNTIF(EducPlans_кодНАЦИД_Спец[аФакСец],EducPlans_кодНАЦИД_Спец[[#This Row],[аФакСец]])</f>
        <v>1</v>
      </c>
    </row>
    <row r="186" spans="3:16" x14ac:dyDescent="0.25">
      <c r="C186" s="614">
        <v>180</v>
      </c>
      <c r="D186" s="614">
        <v>12154</v>
      </c>
      <c r="E186" s="64" t="s">
        <v>1280</v>
      </c>
      <c r="F186" s="64" t="s">
        <v>4841</v>
      </c>
      <c r="G186" s="614" t="s">
        <v>31</v>
      </c>
      <c r="H186" s="614" t="s">
        <v>681</v>
      </c>
      <c r="I186" s="614" t="s">
        <v>1153</v>
      </c>
      <c r="J186" s="64" t="s">
        <v>2912</v>
      </c>
      <c r="K186" s="1940" t="s">
        <v>4842</v>
      </c>
      <c r="L186" s="1940" t="s">
        <v>7979</v>
      </c>
      <c r="M186" t="s">
        <v>11377</v>
      </c>
      <c r="N186" t="s">
        <v>9694</v>
      </c>
      <c r="O186" t="s">
        <v>4841</v>
      </c>
      <c r="P186" s="614">
        <f>COUNTIF(EducPlans_кодНАЦИД_Спец[аФакСец],EducPlans_кодНАЦИД_Спец[[#This Row],[аФакСец]])</f>
        <v>1</v>
      </c>
    </row>
    <row r="187" spans="3:16" x14ac:dyDescent="0.25">
      <c r="C187" s="614">
        <v>181</v>
      </c>
      <c r="D187" s="614">
        <v>12146</v>
      </c>
      <c r="E187" s="64" t="s">
        <v>1281</v>
      </c>
      <c r="F187" s="64" t="s">
        <v>4843</v>
      </c>
      <c r="G187" s="614" t="s">
        <v>31</v>
      </c>
      <c r="H187" s="614" t="s">
        <v>681</v>
      </c>
      <c r="I187" s="614" t="s">
        <v>1153</v>
      </c>
      <c r="J187" s="64" t="s">
        <v>2913</v>
      </c>
      <c r="K187" s="1940" t="s">
        <v>4844</v>
      </c>
      <c r="L187" s="1940" t="s">
        <v>7980</v>
      </c>
      <c r="M187" t="s">
        <v>11378</v>
      </c>
      <c r="N187" t="s">
        <v>9695</v>
      </c>
      <c r="O187" t="s">
        <v>4843</v>
      </c>
      <c r="P187" s="614">
        <f>COUNTIF(EducPlans_кодНАЦИД_Спец[аФакСец],EducPlans_кодНАЦИД_Спец[[#This Row],[аФакСец]])</f>
        <v>1</v>
      </c>
    </row>
    <row r="188" spans="3:16" x14ac:dyDescent="0.25">
      <c r="C188" s="614">
        <v>182</v>
      </c>
      <c r="D188" s="614">
        <v>12232</v>
      </c>
      <c r="E188" s="64" t="s">
        <v>2205</v>
      </c>
      <c r="F188" s="64" t="s">
        <v>4845</v>
      </c>
      <c r="G188" s="614" t="s">
        <v>31</v>
      </c>
      <c r="H188" s="614" t="s">
        <v>682</v>
      </c>
      <c r="I188" s="614" t="s">
        <v>1153</v>
      </c>
      <c r="J188" s="64" t="s">
        <v>2914</v>
      </c>
      <c r="K188" s="1940" t="s">
        <v>4846</v>
      </c>
      <c r="L188" s="1940" t="s">
        <v>7981</v>
      </c>
      <c r="M188" t="s">
        <v>11379</v>
      </c>
      <c r="N188" t="s">
        <v>9696</v>
      </c>
      <c r="O188" t="s">
        <v>4845</v>
      </c>
      <c r="P188" s="614">
        <f>COUNTIF(EducPlans_кодНАЦИД_Спец[аФакСец],EducPlans_кодНАЦИД_Спец[[#This Row],[аФакСец]])</f>
        <v>1</v>
      </c>
    </row>
    <row r="189" spans="3:16" x14ac:dyDescent="0.25">
      <c r="C189" s="614">
        <v>183</v>
      </c>
      <c r="D189" s="614">
        <v>12178</v>
      </c>
      <c r="E189" s="64" t="s">
        <v>2206</v>
      </c>
      <c r="F189" s="64" t="s">
        <v>4847</v>
      </c>
      <c r="G189" s="614" t="s">
        <v>31</v>
      </c>
      <c r="H189" s="614" t="s">
        <v>681</v>
      </c>
      <c r="I189" s="614" t="s">
        <v>1153</v>
      </c>
      <c r="J189" s="64" t="s">
        <v>2915</v>
      </c>
      <c r="K189" s="1940" t="s">
        <v>4848</v>
      </c>
      <c r="L189" s="1940" t="s">
        <v>7982</v>
      </c>
      <c r="M189" t="s">
        <v>11380</v>
      </c>
      <c r="N189" t="s">
        <v>9697</v>
      </c>
      <c r="O189" t="s">
        <v>4847</v>
      </c>
      <c r="P189" s="614">
        <f>COUNTIF(EducPlans_кодНАЦИД_Спец[аФакСец],EducPlans_кодНАЦИД_Спец[[#This Row],[аФакСец]])</f>
        <v>1</v>
      </c>
    </row>
    <row r="190" spans="3:16" x14ac:dyDescent="0.25">
      <c r="C190" s="614">
        <v>184</v>
      </c>
      <c r="D190" s="614">
        <v>12215</v>
      </c>
      <c r="E190" s="64" t="s">
        <v>264</v>
      </c>
      <c r="F190" s="64" t="s">
        <v>4849</v>
      </c>
      <c r="G190" s="614" t="s">
        <v>31</v>
      </c>
      <c r="H190" s="614" t="s">
        <v>681</v>
      </c>
      <c r="I190" s="614" t="s">
        <v>1153</v>
      </c>
      <c r="J190" s="64" t="s">
        <v>2917</v>
      </c>
      <c r="K190" s="1940" t="s">
        <v>4850</v>
      </c>
      <c r="L190" s="1940" t="s">
        <v>7983</v>
      </c>
      <c r="M190" t="s">
        <v>11381</v>
      </c>
      <c r="N190" t="s">
        <v>9698</v>
      </c>
      <c r="O190" t="s">
        <v>4849</v>
      </c>
      <c r="P190" s="614">
        <f>COUNTIF(EducPlans_кодНАЦИД_Спец[аФакСец],EducPlans_кодНАЦИД_Спец[[#This Row],[аФакСец]])</f>
        <v>1</v>
      </c>
    </row>
    <row r="191" spans="3:16" x14ac:dyDescent="0.25">
      <c r="C191" s="614">
        <v>185</v>
      </c>
      <c r="D191" s="614">
        <v>12218</v>
      </c>
      <c r="E191" s="64" t="s">
        <v>264</v>
      </c>
      <c r="F191" s="64" t="s">
        <v>4851</v>
      </c>
      <c r="G191" s="614" t="s">
        <v>31</v>
      </c>
      <c r="H191" s="614" t="s">
        <v>681</v>
      </c>
      <c r="I191" s="614" t="s">
        <v>1149</v>
      </c>
      <c r="J191" s="64" t="s">
        <v>2916</v>
      </c>
      <c r="K191" s="1940" t="s">
        <v>4852</v>
      </c>
      <c r="L191" s="1940" t="s">
        <v>7984</v>
      </c>
      <c r="M191" t="s">
        <v>11382</v>
      </c>
      <c r="N191" t="s">
        <v>9699</v>
      </c>
      <c r="O191" t="s">
        <v>4851</v>
      </c>
      <c r="P191" s="614">
        <f>COUNTIF(EducPlans_кодНАЦИД_Спец[аФакСец],EducPlans_кодНАЦИД_Спец[[#This Row],[аФакСец]])</f>
        <v>1</v>
      </c>
    </row>
    <row r="192" spans="3:16" x14ac:dyDescent="0.25">
      <c r="C192" s="614">
        <v>186</v>
      </c>
      <c r="D192" s="614">
        <v>12269</v>
      </c>
      <c r="E192" s="64" t="s">
        <v>2207</v>
      </c>
      <c r="F192" s="64" t="s">
        <v>4853</v>
      </c>
      <c r="G192" s="614" t="s">
        <v>31</v>
      </c>
      <c r="H192" s="614" t="s">
        <v>682</v>
      </c>
      <c r="I192" s="614" t="s">
        <v>1153</v>
      </c>
      <c r="J192" s="64" t="s">
        <v>2918</v>
      </c>
      <c r="K192" s="1940" t="s">
        <v>4854</v>
      </c>
      <c r="L192" s="1940" t="s">
        <v>7985</v>
      </c>
      <c r="M192" t="s">
        <v>11383</v>
      </c>
      <c r="N192" t="s">
        <v>9700</v>
      </c>
      <c r="O192" t="s">
        <v>4853</v>
      </c>
      <c r="P192" s="614">
        <f>COUNTIF(EducPlans_кодНАЦИД_Спец[аФакСец],EducPlans_кодНАЦИД_Спец[[#This Row],[аФакСец]])</f>
        <v>1</v>
      </c>
    </row>
    <row r="193" spans="3:16" x14ac:dyDescent="0.25">
      <c r="C193" s="614">
        <v>187</v>
      </c>
      <c r="D193" s="614">
        <v>12271</v>
      </c>
      <c r="E193" s="64" t="s">
        <v>2208</v>
      </c>
      <c r="F193" s="64" t="s">
        <v>4855</v>
      </c>
      <c r="G193" s="614" t="s">
        <v>31</v>
      </c>
      <c r="H193" s="614" t="s">
        <v>682</v>
      </c>
      <c r="I193" s="614" t="s">
        <v>1153</v>
      </c>
      <c r="J193" s="64" t="s">
        <v>2919</v>
      </c>
      <c r="K193" s="1940" t="s">
        <v>4856</v>
      </c>
      <c r="L193" s="1940" t="s">
        <v>7986</v>
      </c>
      <c r="M193" t="s">
        <v>11384</v>
      </c>
      <c r="N193" t="s">
        <v>9701</v>
      </c>
      <c r="O193" t="s">
        <v>4855</v>
      </c>
      <c r="P193" s="614">
        <f>COUNTIF(EducPlans_кодНАЦИД_Спец[аФакСец],EducPlans_кодНАЦИД_Спец[[#This Row],[аФакСец]])</f>
        <v>1</v>
      </c>
    </row>
    <row r="194" spans="3:16" x14ac:dyDescent="0.25">
      <c r="C194" s="614">
        <v>188</v>
      </c>
      <c r="D194" s="614">
        <v>12284</v>
      </c>
      <c r="E194" s="64" t="s">
        <v>2209</v>
      </c>
      <c r="F194" s="64" t="s">
        <v>4857</v>
      </c>
      <c r="G194" s="614" t="s">
        <v>31</v>
      </c>
      <c r="H194" s="614" t="s">
        <v>682</v>
      </c>
      <c r="I194" s="614" t="s">
        <v>1153</v>
      </c>
      <c r="J194" s="64" t="s">
        <v>2920</v>
      </c>
      <c r="K194" s="1940" t="s">
        <v>4858</v>
      </c>
      <c r="L194" s="1940" t="s">
        <v>7987</v>
      </c>
      <c r="M194" t="s">
        <v>11385</v>
      </c>
      <c r="N194" t="s">
        <v>9702</v>
      </c>
      <c r="O194" t="s">
        <v>4857</v>
      </c>
      <c r="P194" s="614">
        <f>COUNTIF(EducPlans_кодНАЦИД_Спец[аФакСец],EducPlans_кодНАЦИД_Спец[[#This Row],[аФакСец]])</f>
        <v>1</v>
      </c>
    </row>
    <row r="195" spans="3:16" x14ac:dyDescent="0.25">
      <c r="C195" s="614">
        <v>189</v>
      </c>
      <c r="D195" s="614">
        <v>12206</v>
      </c>
      <c r="E195" s="64" t="s">
        <v>2210</v>
      </c>
      <c r="F195" s="64" t="s">
        <v>4859</v>
      </c>
      <c r="G195" s="614" t="s">
        <v>31</v>
      </c>
      <c r="H195" s="614" t="s">
        <v>682</v>
      </c>
      <c r="I195" s="614" t="s">
        <v>1153</v>
      </c>
      <c r="J195" s="64" t="s">
        <v>2922</v>
      </c>
      <c r="K195" s="1940" t="s">
        <v>4860</v>
      </c>
      <c r="L195" s="1940" t="s">
        <v>7988</v>
      </c>
      <c r="M195" t="s">
        <v>11386</v>
      </c>
      <c r="N195" t="s">
        <v>9703</v>
      </c>
      <c r="O195" t="s">
        <v>4859</v>
      </c>
      <c r="P195" s="614">
        <f>COUNTIF(EducPlans_кодНАЦИД_Спец[аФакСец],EducPlans_кодНАЦИД_Спец[[#This Row],[аФакСец]])</f>
        <v>1</v>
      </c>
    </row>
    <row r="196" spans="3:16" x14ac:dyDescent="0.25">
      <c r="C196" s="614">
        <v>190</v>
      </c>
      <c r="D196" s="614">
        <v>12206</v>
      </c>
      <c r="E196" s="64" t="s">
        <v>2210</v>
      </c>
      <c r="F196" s="64" t="s">
        <v>4861</v>
      </c>
      <c r="G196" s="614" t="s">
        <v>31</v>
      </c>
      <c r="H196" s="614" t="s">
        <v>682</v>
      </c>
      <c r="I196" s="614" t="s">
        <v>1153</v>
      </c>
      <c r="J196" s="64" t="s">
        <v>2921</v>
      </c>
      <c r="K196" s="1940" t="s">
        <v>4860</v>
      </c>
      <c r="L196" s="1940" t="s">
        <v>7989</v>
      </c>
      <c r="M196" t="s">
        <v>11387</v>
      </c>
      <c r="N196" t="s">
        <v>9704</v>
      </c>
      <c r="O196" t="s">
        <v>4861</v>
      </c>
      <c r="P196" s="614">
        <f>COUNTIF(EducPlans_кодНАЦИД_Спец[аФакСец],EducPlans_кодНАЦИД_Спец[[#This Row],[аФакСец]])</f>
        <v>1</v>
      </c>
    </row>
    <row r="197" spans="3:16" x14ac:dyDescent="0.25">
      <c r="C197" s="614">
        <v>191</v>
      </c>
      <c r="D197" s="614">
        <v>579361</v>
      </c>
      <c r="E197" s="64" t="s">
        <v>4862</v>
      </c>
      <c r="F197" s="64" t="s">
        <v>4863</v>
      </c>
      <c r="G197" s="614" t="s">
        <v>33</v>
      </c>
      <c r="H197" s="614" t="s">
        <v>682</v>
      </c>
      <c r="I197" s="614" t="s">
        <v>1153</v>
      </c>
      <c r="J197" s="64" t="s">
        <v>4864</v>
      </c>
      <c r="K197" s="1940" t="s">
        <v>4865</v>
      </c>
      <c r="L197" s="1940" t="s">
        <v>7990</v>
      </c>
      <c r="M197" t="s">
        <v>11388</v>
      </c>
      <c r="N197" t="s">
        <v>9705</v>
      </c>
      <c r="O197" t="s">
        <v>4863</v>
      </c>
      <c r="P197" s="614">
        <f>COUNTIF(EducPlans_кодНАЦИД_Спец[аФакСец],EducPlans_кодНАЦИД_Спец[[#This Row],[аФакСец]])</f>
        <v>1</v>
      </c>
    </row>
    <row r="198" spans="3:16" x14ac:dyDescent="0.25">
      <c r="C198" s="614">
        <v>192</v>
      </c>
      <c r="D198" s="614">
        <v>579362</v>
      </c>
      <c r="E198" s="64" t="s">
        <v>4866</v>
      </c>
      <c r="F198" s="64" t="s">
        <v>4867</v>
      </c>
      <c r="G198" s="614" t="s">
        <v>33</v>
      </c>
      <c r="H198" s="614" t="s">
        <v>682</v>
      </c>
      <c r="I198" s="614" t="s">
        <v>1153</v>
      </c>
      <c r="J198" s="64" t="s">
        <v>4868</v>
      </c>
      <c r="K198" s="1940" t="s">
        <v>4869</v>
      </c>
      <c r="L198" s="1940" t="s">
        <v>7991</v>
      </c>
      <c r="M198" t="s">
        <v>11389</v>
      </c>
      <c r="N198" t="s">
        <v>9706</v>
      </c>
      <c r="O198" t="s">
        <v>4867</v>
      </c>
      <c r="P198" s="614">
        <f>COUNTIF(EducPlans_кодНАЦИД_Спец[аФакСец],EducPlans_кодНАЦИД_Спец[[#This Row],[аФакСец]])</f>
        <v>1</v>
      </c>
    </row>
    <row r="199" spans="3:16" x14ac:dyDescent="0.25">
      <c r="C199" s="614">
        <v>193</v>
      </c>
      <c r="D199" s="614">
        <v>11632</v>
      </c>
      <c r="E199" s="64" t="s">
        <v>1367</v>
      </c>
      <c r="F199" s="64" t="s">
        <v>4870</v>
      </c>
      <c r="G199" s="614" t="s">
        <v>33</v>
      </c>
      <c r="H199" s="614" t="s">
        <v>682</v>
      </c>
      <c r="I199" s="614" t="s">
        <v>1153</v>
      </c>
      <c r="J199" s="64" t="s">
        <v>3512</v>
      </c>
      <c r="K199" s="1940" t="s">
        <v>4871</v>
      </c>
      <c r="L199" s="1940" t="s">
        <v>7992</v>
      </c>
      <c r="M199" t="s">
        <v>11390</v>
      </c>
      <c r="N199" t="s">
        <v>9707</v>
      </c>
      <c r="O199" t="s">
        <v>4870</v>
      </c>
      <c r="P199" s="614">
        <f>COUNTIF(EducPlans_кодНАЦИД_Спец[аФакСец],EducPlans_кодНАЦИД_Спец[[#This Row],[аФакСец]])</f>
        <v>1</v>
      </c>
    </row>
    <row r="200" spans="3:16" x14ac:dyDescent="0.25">
      <c r="C200" s="614">
        <v>194</v>
      </c>
      <c r="D200" s="614">
        <v>11630</v>
      </c>
      <c r="E200" s="64" t="s">
        <v>1368</v>
      </c>
      <c r="F200" s="64" t="s">
        <v>4872</v>
      </c>
      <c r="G200" s="614" t="s">
        <v>33</v>
      </c>
      <c r="H200" s="614" t="s">
        <v>682</v>
      </c>
      <c r="I200" s="614" t="s">
        <v>1153</v>
      </c>
      <c r="J200" s="64" t="s">
        <v>3513</v>
      </c>
      <c r="K200" s="1940" t="s">
        <v>4873</v>
      </c>
      <c r="L200" s="1940" t="s">
        <v>7993</v>
      </c>
      <c r="M200" t="s">
        <v>11391</v>
      </c>
      <c r="N200" t="s">
        <v>9708</v>
      </c>
      <c r="O200" t="s">
        <v>4872</v>
      </c>
      <c r="P200" s="614">
        <f>COUNTIF(EducPlans_кодНАЦИД_Спец[аФакСец],EducPlans_кодНАЦИД_Спец[[#This Row],[аФакСец]])</f>
        <v>1</v>
      </c>
    </row>
    <row r="201" spans="3:16" x14ac:dyDescent="0.25">
      <c r="C201" s="614">
        <v>195</v>
      </c>
      <c r="D201" s="614">
        <v>12234</v>
      </c>
      <c r="E201" s="64" t="s">
        <v>2211</v>
      </c>
      <c r="F201" s="64" t="s">
        <v>4874</v>
      </c>
      <c r="G201" s="614" t="s">
        <v>31</v>
      </c>
      <c r="H201" s="614" t="s">
        <v>682</v>
      </c>
      <c r="I201" s="614" t="s">
        <v>1153</v>
      </c>
      <c r="J201" s="64" t="s">
        <v>2925</v>
      </c>
      <c r="K201" s="1940" t="s">
        <v>4875</v>
      </c>
      <c r="L201" s="1940" t="s">
        <v>7994</v>
      </c>
      <c r="M201" t="s">
        <v>11392</v>
      </c>
      <c r="N201" t="s">
        <v>9709</v>
      </c>
      <c r="O201" t="s">
        <v>4874</v>
      </c>
      <c r="P201" s="614">
        <f>COUNTIF(EducPlans_кодНАЦИД_Спец[аФакСец],EducPlans_кодНАЦИД_Спец[[#This Row],[аФакСец]])</f>
        <v>1</v>
      </c>
    </row>
    <row r="202" spans="3:16" x14ac:dyDescent="0.25">
      <c r="C202" s="614">
        <v>196</v>
      </c>
      <c r="D202" s="614">
        <v>12234</v>
      </c>
      <c r="E202" s="64" t="s">
        <v>2211</v>
      </c>
      <c r="F202" s="64" t="s">
        <v>4876</v>
      </c>
      <c r="G202" s="614" t="s">
        <v>31</v>
      </c>
      <c r="H202" s="614" t="s">
        <v>682</v>
      </c>
      <c r="I202" s="614" t="s">
        <v>1153</v>
      </c>
      <c r="J202" s="64" t="s">
        <v>2924</v>
      </c>
      <c r="K202" s="1940" t="s">
        <v>4875</v>
      </c>
      <c r="L202" s="1940" t="s">
        <v>7995</v>
      </c>
      <c r="M202" t="s">
        <v>11393</v>
      </c>
      <c r="N202" t="s">
        <v>9710</v>
      </c>
      <c r="O202" t="s">
        <v>4876</v>
      </c>
      <c r="P202" s="614">
        <f>COUNTIF(EducPlans_кодНАЦИД_Спец[аФакСец],EducPlans_кодНАЦИД_Спец[[#This Row],[аФакСец]])</f>
        <v>1</v>
      </c>
    </row>
    <row r="203" spans="3:16" x14ac:dyDescent="0.25">
      <c r="C203" s="614">
        <v>197</v>
      </c>
      <c r="D203" s="614">
        <v>12234</v>
      </c>
      <c r="E203" s="64" t="s">
        <v>2211</v>
      </c>
      <c r="F203" s="64" t="s">
        <v>4877</v>
      </c>
      <c r="G203" s="614" t="s">
        <v>31</v>
      </c>
      <c r="H203" s="614" t="s">
        <v>682</v>
      </c>
      <c r="I203" s="614" t="s">
        <v>1153</v>
      </c>
      <c r="J203" s="64" t="s">
        <v>2926</v>
      </c>
      <c r="K203" s="1940" t="s">
        <v>4875</v>
      </c>
      <c r="L203" s="1940" t="s">
        <v>7996</v>
      </c>
      <c r="M203" t="s">
        <v>11394</v>
      </c>
      <c r="N203" t="s">
        <v>9711</v>
      </c>
      <c r="O203" t="s">
        <v>4877</v>
      </c>
      <c r="P203" s="614">
        <f>COUNTIF(EducPlans_кодНАЦИД_Спец[аФакСец],EducPlans_кодНАЦИД_Спец[[#This Row],[аФакСец]])</f>
        <v>1</v>
      </c>
    </row>
    <row r="204" spans="3:16" x14ac:dyDescent="0.25">
      <c r="C204" s="614">
        <v>198</v>
      </c>
      <c r="D204" s="614">
        <v>12235</v>
      </c>
      <c r="E204" s="64" t="s">
        <v>2211</v>
      </c>
      <c r="F204" s="64" t="s">
        <v>4878</v>
      </c>
      <c r="G204" s="614" t="s">
        <v>31</v>
      </c>
      <c r="H204" s="614" t="s">
        <v>682</v>
      </c>
      <c r="I204" s="614" t="s">
        <v>1149</v>
      </c>
      <c r="J204" s="64" t="s">
        <v>2923</v>
      </c>
      <c r="K204" s="1940" t="s">
        <v>4879</v>
      </c>
      <c r="L204" s="1940" t="s">
        <v>7997</v>
      </c>
      <c r="M204" t="s">
        <v>11395</v>
      </c>
      <c r="N204" t="s">
        <v>9712</v>
      </c>
      <c r="O204" t="s">
        <v>4878</v>
      </c>
      <c r="P204" s="614">
        <f>COUNTIF(EducPlans_кодНАЦИД_Спец[аФакСец],EducPlans_кодНАЦИД_Спец[[#This Row],[аФакСец]])</f>
        <v>1</v>
      </c>
    </row>
    <row r="205" spans="3:16" x14ac:dyDescent="0.25">
      <c r="C205" s="614">
        <v>199</v>
      </c>
      <c r="D205" s="614">
        <v>722639</v>
      </c>
      <c r="E205" s="64" t="s">
        <v>13223</v>
      </c>
      <c r="F205" s="64" t="s">
        <v>13224</v>
      </c>
      <c r="G205" s="614" t="s">
        <v>42</v>
      </c>
      <c r="H205" s="614" t="s">
        <v>682</v>
      </c>
      <c r="I205" s="614" t="s">
        <v>1149</v>
      </c>
      <c r="J205" s="64" t="s">
        <v>13225</v>
      </c>
      <c r="K205" s="1940" t="s">
        <v>13226</v>
      </c>
      <c r="L205" s="1940" t="s">
        <v>13227</v>
      </c>
      <c r="M205" t="s">
        <v>13228</v>
      </c>
      <c r="N205" t="s">
        <v>13229</v>
      </c>
      <c r="O205" t="s">
        <v>13224</v>
      </c>
      <c r="P205" s="614">
        <f>COUNTIF(EducPlans_кодНАЦИД_Спец[аФакСец],EducPlans_кодНАЦИД_Спец[[#This Row],[аФакСец]])</f>
        <v>1</v>
      </c>
    </row>
    <row r="206" spans="3:16" x14ac:dyDescent="0.25">
      <c r="C206" s="614">
        <v>200</v>
      </c>
      <c r="D206" s="614">
        <v>624438</v>
      </c>
      <c r="E206" s="64" t="s">
        <v>1369</v>
      </c>
      <c r="F206" s="64" t="s">
        <v>4880</v>
      </c>
      <c r="G206" s="614" t="s">
        <v>33</v>
      </c>
      <c r="H206" s="614" t="s">
        <v>682</v>
      </c>
      <c r="I206" s="614" t="s">
        <v>1153</v>
      </c>
      <c r="J206" s="64" t="s">
        <v>4881</v>
      </c>
      <c r="K206" s="1940" t="s">
        <v>4882</v>
      </c>
      <c r="L206" s="1940" t="s">
        <v>7998</v>
      </c>
      <c r="M206" t="s">
        <v>11396</v>
      </c>
      <c r="N206" t="s">
        <v>9713</v>
      </c>
      <c r="O206" t="s">
        <v>4880</v>
      </c>
      <c r="P206" s="614">
        <f>COUNTIF(EducPlans_кодНАЦИД_Спец[аФакСец],EducPlans_кодНАЦИД_Спец[[#This Row],[аФакСец]])</f>
        <v>1</v>
      </c>
    </row>
    <row r="207" spans="3:16" x14ac:dyDescent="0.25">
      <c r="C207" s="614">
        <v>201</v>
      </c>
      <c r="D207" s="614">
        <v>11326</v>
      </c>
      <c r="E207" s="64" t="s">
        <v>1370</v>
      </c>
      <c r="F207" s="64" t="s">
        <v>4883</v>
      </c>
      <c r="G207" s="614" t="s">
        <v>647</v>
      </c>
      <c r="H207" s="614" t="s">
        <v>681</v>
      </c>
      <c r="I207" s="614" t="s">
        <v>1153</v>
      </c>
      <c r="J207" s="64" t="s">
        <v>3914</v>
      </c>
      <c r="K207" s="1940" t="s">
        <v>4884</v>
      </c>
      <c r="L207" s="1940" t="s">
        <v>7999</v>
      </c>
      <c r="M207" t="s">
        <v>11397</v>
      </c>
      <c r="N207" t="s">
        <v>9714</v>
      </c>
      <c r="O207" t="s">
        <v>4883</v>
      </c>
      <c r="P207" s="614">
        <f>COUNTIF(EducPlans_кодНАЦИД_Спец[аФакСец],EducPlans_кодНАЦИД_Спец[[#This Row],[аФакСец]])</f>
        <v>1</v>
      </c>
    </row>
    <row r="208" spans="3:16" x14ac:dyDescent="0.25">
      <c r="C208" s="614">
        <v>202</v>
      </c>
      <c r="D208" s="614">
        <v>11328</v>
      </c>
      <c r="E208" s="64" t="s">
        <v>1370</v>
      </c>
      <c r="F208" s="64" t="s">
        <v>4885</v>
      </c>
      <c r="G208" s="614" t="s">
        <v>647</v>
      </c>
      <c r="H208" s="614" t="s">
        <v>681</v>
      </c>
      <c r="I208" s="614" t="s">
        <v>1149</v>
      </c>
      <c r="J208" s="64" t="s">
        <v>3913</v>
      </c>
      <c r="K208" s="1940" t="s">
        <v>4886</v>
      </c>
      <c r="L208" s="1940" t="s">
        <v>8000</v>
      </c>
      <c r="M208" t="s">
        <v>11398</v>
      </c>
      <c r="N208" t="s">
        <v>9715</v>
      </c>
      <c r="O208" t="s">
        <v>4885</v>
      </c>
      <c r="P208" s="614">
        <f>COUNTIF(EducPlans_кодНАЦИД_Спец[аФакСец],EducPlans_кодНАЦИД_Спец[[#This Row],[аФакСец]])</f>
        <v>1</v>
      </c>
    </row>
    <row r="209" spans="3:16" x14ac:dyDescent="0.25">
      <c r="C209" s="614">
        <v>203</v>
      </c>
      <c r="D209" s="614">
        <v>583759</v>
      </c>
      <c r="E209" s="64" t="s">
        <v>1370</v>
      </c>
      <c r="F209" s="64" t="s">
        <v>4887</v>
      </c>
      <c r="G209" s="614" t="s">
        <v>647</v>
      </c>
      <c r="H209" s="614" t="s">
        <v>682</v>
      </c>
      <c r="I209" s="614" t="s">
        <v>1153</v>
      </c>
      <c r="J209" s="64" t="s">
        <v>2918</v>
      </c>
      <c r="K209" s="1940" t="s">
        <v>4888</v>
      </c>
      <c r="L209" s="1940" t="s">
        <v>8001</v>
      </c>
      <c r="M209" t="s">
        <v>11399</v>
      </c>
      <c r="N209" t="s">
        <v>9716</v>
      </c>
      <c r="O209" t="s">
        <v>4887</v>
      </c>
      <c r="P209" s="614">
        <f>COUNTIF(EducPlans_кодНАЦИД_Спец[аФакСец],EducPlans_кодНАЦИД_Спец[[#This Row],[аФакСец]])</f>
        <v>1</v>
      </c>
    </row>
    <row r="210" spans="3:16" x14ac:dyDescent="0.25">
      <c r="C210" s="614">
        <v>204</v>
      </c>
      <c r="D210" s="614">
        <v>584067</v>
      </c>
      <c r="E210" s="64" t="s">
        <v>1370</v>
      </c>
      <c r="F210" s="64" t="s">
        <v>4889</v>
      </c>
      <c r="G210" s="614" t="s">
        <v>647</v>
      </c>
      <c r="H210" s="614" t="s">
        <v>682</v>
      </c>
      <c r="I210" s="614" t="s">
        <v>1149</v>
      </c>
      <c r="J210" s="64" t="s">
        <v>4890</v>
      </c>
      <c r="K210" s="1940" t="s">
        <v>4891</v>
      </c>
      <c r="L210" s="1940" t="s">
        <v>8002</v>
      </c>
      <c r="M210" t="s">
        <v>11400</v>
      </c>
      <c r="N210" t="s">
        <v>9717</v>
      </c>
      <c r="O210" t="s">
        <v>4889</v>
      </c>
      <c r="P210" s="614">
        <f>COUNTIF(EducPlans_кодНАЦИД_Спец[аФакСец],EducPlans_кодНАЦИД_Спец[[#This Row],[аФакСец]])</f>
        <v>1</v>
      </c>
    </row>
    <row r="211" spans="3:16" x14ac:dyDescent="0.25">
      <c r="C211" s="614">
        <v>205</v>
      </c>
      <c r="D211" s="614">
        <v>11091</v>
      </c>
      <c r="E211" s="64" t="s">
        <v>1530</v>
      </c>
      <c r="F211" s="64" t="s">
        <v>4892</v>
      </c>
      <c r="G211" s="614" t="s">
        <v>48</v>
      </c>
      <c r="H211" s="614" t="s">
        <v>682</v>
      </c>
      <c r="I211" s="614" t="s">
        <v>1153</v>
      </c>
      <c r="J211" s="64" t="s">
        <v>3091</v>
      </c>
      <c r="K211" s="1940" t="s">
        <v>4893</v>
      </c>
      <c r="L211" s="1940" t="s">
        <v>8003</v>
      </c>
      <c r="M211" t="s">
        <v>11401</v>
      </c>
      <c r="N211" t="s">
        <v>9718</v>
      </c>
      <c r="O211" t="s">
        <v>4892</v>
      </c>
      <c r="P211" s="614">
        <f>COUNTIF(EducPlans_кодНАЦИД_Спец[аФакСец],EducPlans_кодНАЦИД_Спец[[#This Row],[аФакСец]])</f>
        <v>1</v>
      </c>
    </row>
    <row r="212" spans="3:16" x14ac:dyDescent="0.25">
      <c r="C212" s="614">
        <v>206</v>
      </c>
      <c r="D212" s="614">
        <v>11091</v>
      </c>
      <c r="E212" s="64" t="s">
        <v>1530</v>
      </c>
      <c r="F212" s="64" t="s">
        <v>4894</v>
      </c>
      <c r="G212" s="614" t="s">
        <v>48</v>
      </c>
      <c r="H212" s="614" t="s">
        <v>682</v>
      </c>
      <c r="I212" s="614" t="s">
        <v>1153</v>
      </c>
      <c r="J212" s="64" t="s">
        <v>3092</v>
      </c>
      <c r="K212" s="1940" t="s">
        <v>4893</v>
      </c>
      <c r="L212" s="1940" t="s">
        <v>8004</v>
      </c>
      <c r="M212" t="s">
        <v>11402</v>
      </c>
      <c r="N212" t="s">
        <v>9719</v>
      </c>
      <c r="O212" t="s">
        <v>4894</v>
      </c>
      <c r="P212" s="614">
        <f>COUNTIF(EducPlans_кодНАЦИД_Спец[аФакСец],EducPlans_кодНАЦИД_Спец[[#This Row],[аФакСец]])</f>
        <v>1</v>
      </c>
    </row>
    <row r="213" spans="3:16" x14ac:dyDescent="0.25">
      <c r="C213" s="614">
        <v>207</v>
      </c>
      <c r="D213" s="614">
        <v>11110</v>
      </c>
      <c r="E213" s="64" t="s">
        <v>1530</v>
      </c>
      <c r="F213" s="64" t="s">
        <v>4895</v>
      </c>
      <c r="G213" s="614" t="s">
        <v>48</v>
      </c>
      <c r="H213" s="614" t="s">
        <v>682</v>
      </c>
      <c r="I213" s="614" t="s">
        <v>1153</v>
      </c>
      <c r="J213" s="64" t="s">
        <v>4896</v>
      </c>
      <c r="K213" s="1940" t="s">
        <v>4897</v>
      </c>
      <c r="L213" s="1940" t="s">
        <v>8005</v>
      </c>
      <c r="M213" t="s">
        <v>11403</v>
      </c>
      <c r="N213" t="s">
        <v>9720</v>
      </c>
      <c r="O213" t="s">
        <v>4895</v>
      </c>
      <c r="P213" s="614">
        <f>COUNTIF(EducPlans_кодНАЦИД_Спец[аФакСец],EducPlans_кодНАЦИД_Спец[[#This Row],[аФакСец]])</f>
        <v>1</v>
      </c>
    </row>
    <row r="214" spans="3:16" x14ac:dyDescent="0.25">
      <c r="C214" s="614">
        <v>208</v>
      </c>
      <c r="D214" s="614">
        <v>11110</v>
      </c>
      <c r="E214" s="64" t="s">
        <v>1530</v>
      </c>
      <c r="F214" s="64" t="s">
        <v>4898</v>
      </c>
      <c r="G214" s="614" t="s">
        <v>48</v>
      </c>
      <c r="H214" s="614" t="s">
        <v>682</v>
      </c>
      <c r="I214" s="614" t="s">
        <v>1153</v>
      </c>
      <c r="J214" s="64" t="s">
        <v>4899</v>
      </c>
      <c r="K214" s="1940" t="s">
        <v>4897</v>
      </c>
      <c r="L214" s="1940" t="s">
        <v>8006</v>
      </c>
      <c r="M214" t="s">
        <v>11404</v>
      </c>
      <c r="N214" t="s">
        <v>9721</v>
      </c>
      <c r="O214" t="s">
        <v>4898</v>
      </c>
      <c r="P214" s="614">
        <f>COUNTIF(EducPlans_кодНАЦИД_Спец[аФакСец],EducPlans_кодНАЦИД_Спец[[#This Row],[аФакСец]])</f>
        <v>1</v>
      </c>
    </row>
    <row r="215" spans="3:16" x14ac:dyDescent="0.25">
      <c r="C215" s="614">
        <v>209</v>
      </c>
      <c r="D215" s="614">
        <v>11092</v>
      </c>
      <c r="E215" s="64" t="s">
        <v>1530</v>
      </c>
      <c r="F215" s="64" t="s">
        <v>4900</v>
      </c>
      <c r="G215" s="614" t="s">
        <v>48</v>
      </c>
      <c r="H215" s="614" t="s">
        <v>682</v>
      </c>
      <c r="I215" s="614" t="s">
        <v>1149</v>
      </c>
      <c r="J215" s="64" t="s">
        <v>3090</v>
      </c>
      <c r="K215" s="1940" t="s">
        <v>4901</v>
      </c>
      <c r="L215" s="1940" t="s">
        <v>8007</v>
      </c>
      <c r="M215" t="s">
        <v>11405</v>
      </c>
      <c r="N215" t="s">
        <v>9722</v>
      </c>
      <c r="O215" t="s">
        <v>4900</v>
      </c>
      <c r="P215" s="614">
        <f>COUNTIF(EducPlans_кодНАЦИД_Спец[аФакСец],EducPlans_кодНАЦИД_Спец[[#This Row],[аФакСец]])</f>
        <v>1</v>
      </c>
    </row>
    <row r="216" spans="3:16" x14ac:dyDescent="0.25">
      <c r="C216" s="614">
        <v>210</v>
      </c>
      <c r="D216" s="614">
        <v>11092</v>
      </c>
      <c r="E216" s="64" t="s">
        <v>1530</v>
      </c>
      <c r="F216" s="64" t="s">
        <v>4902</v>
      </c>
      <c r="G216" s="614" t="s">
        <v>48</v>
      </c>
      <c r="H216" s="614" t="s">
        <v>682</v>
      </c>
      <c r="I216" s="614" t="s">
        <v>1149</v>
      </c>
      <c r="J216" s="64" t="s">
        <v>3089</v>
      </c>
      <c r="K216" s="1940" t="s">
        <v>4901</v>
      </c>
      <c r="L216" s="1940" t="s">
        <v>8008</v>
      </c>
      <c r="M216" t="s">
        <v>11406</v>
      </c>
      <c r="N216" t="s">
        <v>9723</v>
      </c>
      <c r="O216" t="s">
        <v>4902</v>
      </c>
      <c r="P216" s="614">
        <f>COUNTIF(EducPlans_кодНАЦИД_Спец[аФакСец],EducPlans_кодНАЦИД_Спец[[#This Row],[аФакСец]])</f>
        <v>1</v>
      </c>
    </row>
    <row r="217" spans="3:16" x14ac:dyDescent="0.25">
      <c r="C217" s="614">
        <v>211</v>
      </c>
      <c r="D217" s="614">
        <v>11111</v>
      </c>
      <c r="E217" s="64" t="s">
        <v>1530</v>
      </c>
      <c r="F217" s="64" t="s">
        <v>4903</v>
      </c>
      <c r="G217" s="614" t="s">
        <v>48</v>
      </c>
      <c r="H217" s="614" t="s">
        <v>682</v>
      </c>
      <c r="I217" s="614" t="s">
        <v>1149</v>
      </c>
      <c r="J217" s="64" t="s">
        <v>4904</v>
      </c>
      <c r="K217" s="1940" t="s">
        <v>4905</v>
      </c>
      <c r="L217" s="1940" t="s">
        <v>8009</v>
      </c>
      <c r="M217" t="s">
        <v>11407</v>
      </c>
      <c r="N217" t="s">
        <v>9724</v>
      </c>
      <c r="O217" t="s">
        <v>4903</v>
      </c>
      <c r="P217" s="614">
        <f>COUNTIF(EducPlans_кодНАЦИД_Спец[аФакСец],EducPlans_кодНАЦИД_Спец[[#This Row],[аФакСец]])</f>
        <v>1</v>
      </c>
    </row>
    <row r="218" spans="3:16" x14ac:dyDescent="0.25">
      <c r="C218" s="614">
        <v>212</v>
      </c>
      <c r="D218" s="614">
        <v>11111</v>
      </c>
      <c r="E218" s="64" t="s">
        <v>1530</v>
      </c>
      <c r="F218" s="64" t="s">
        <v>4906</v>
      </c>
      <c r="G218" s="614" t="s">
        <v>48</v>
      </c>
      <c r="H218" s="614" t="s">
        <v>682</v>
      </c>
      <c r="I218" s="614" t="s">
        <v>1149</v>
      </c>
      <c r="J218" s="64" t="s">
        <v>4907</v>
      </c>
      <c r="K218" s="1940" t="s">
        <v>4905</v>
      </c>
      <c r="L218" s="1940" t="s">
        <v>8010</v>
      </c>
      <c r="M218" t="s">
        <v>11408</v>
      </c>
      <c r="N218" t="s">
        <v>9725</v>
      </c>
      <c r="O218" t="s">
        <v>4906</v>
      </c>
      <c r="P218" s="614">
        <f>COUNTIF(EducPlans_кодНАЦИД_Спец[аФакСец],EducPlans_кодНАЦИД_Спец[[#This Row],[аФакСец]])</f>
        <v>1</v>
      </c>
    </row>
    <row r="219" spans="3:16" x14ac:dyDescent="0.25">
      <c r="C219" s="614">
        <v>213</v>
      </c>
      <c r="D219" s="614">
        <v>11061</v>
      </c>
      <c r="E219" s="64" t="s">
        <v>1531</v>
      </c>
      <c r="F219" s="64" t="s">
        <v>4908</v>
      </c>
      <c r="G219" s="614" t="s">
        <v>48</v>
      </c>
      <c r="H219" s="614" t="s">
        <v>682</v>
      </c>
      <c r="I219" s="614" t="s">
        <v>1153</v>
      </c>
      <c r="J219" s="64" t="s">
        <v>3094</v>
      </c>
      <c r="K219" s="1940" t="s">
        <v>4909</v>
      </c>
      <c r="L219" s="1940" t="s">
        <v>8011</v>
      </c>
      <c r="M219" t="s">
        <v>11409</v>
      </c>
      <c r="N219" t="s">
        <v>9726</v>
      </c>
      <c r="O219" t="s">
        <v>4908</v>
      </c>
      <c r="P219" s="614">
        <f>COUNTIF(EducPlans_кодНАЦИД_Спец[аФакСец],EducPlans_кодНАЦИД_Спец[[#This Row],[аФакСец]])</f>
        <v>1</v>
      </c>
    </row>
    <row r="220" spans="3:16" x14ac:dyDescent="0.25">
      <c r="C220" s="614">
        <v>214</v>
      </c>
      <c r="D220" s="614">
        <v>11063</v>
      </c>
      <c r="E220" s="64" t="s">
        <v>1531</v>
      </c>
      <c r="F220" s="64" t="s">
        <v>4910</v>
      </c>
      <c r="G220" s="614" t="s">
        <v>48</v>
      </c>
      <c r="H220" s="614" t="s">
        <v>682</v>
      </c>
      <c r="I220" s="614" t="s">
        <v>1149</v>
      </c>
      <c r="J220" s="64" t="s">
        <v>3093</v>
      </c>
      <c r="K220" s="1940" t="s">
        <v>4911</v>
      </c>
      <c r="L220" s="1940" t="s">
        <v>8012</v>
      </c>
      <c r="M220" t="s">
        <v>11410</v>
      </c>
      <c r="N220" t="s">
        <v>9727</v>
      </c>
      <c r="O220" t="s">
        <v>4910</v>
      </c>
      <c r="P220" s="614">
        <f>COUNTIF(EducPlans_кодНАЦИД_Спец[аФакСец],EducPlans_кодНАЦИД_Спец[[#This Row],[аФакСец]])</f>
        <v>1</v>
      </c>
    </row>
    <row r="221" spans="3:16" x14ac:dyDescent="0.25">
      <c r="C221" s="614">
        <v>215</v>
      </c>
      <c r="D221" s="614">
        <v>11057</v>
      </c>
      <c r="E221" s="64" t="s">
        <v>1532</v>
      </c>
      <c r="F221" s="64" t="s">
        <v>4912</v>
      </c>
      <c r="G221" s="614" t="s">
        <v>48</v>
      </c>
      <c r="H221" s="614" t="s">
        <v>682</v>
      </c>
      <c r="I221" s="614" t="s">
        <v>1153</v>
      </c>
      <c r="J221" s="64" t="s">
        <v>3096</v>
      </c>
      <c r="K221" s="1940" t="s">
        <v>4913</v>
      </c>
      <c r="L221" s="1940" t="s">
        <v>8013</v>
      </c>
      <c r="M221" t="s">
        <v>11411</v>
      </c>
      <c r="N221" t="s">
        <v>9728</v>
      </c>
      <c r="O221" t="s">
        <v>4912</v>
      </c>
      <c r="P221" s="614">
        <f>COUNTIF(EducPlans_кодНАЦИД_Спец[аФакСец],EducPlans_кодНАЦИД_Спец[[#This Row],[аФакСец]])</f>
        <v>1</v>
      </c>
    </row>
    <row r="222" spans="3:16" x14ac:dyDescent="0.25">
      <c r="C222" s="614">
        <v>216</v>
      </c>
      <c r="D222" s="614">
        <v>11059</v>
      </c>
      <c r="E222" s="64" t="s">
        <v>1532</v>
      </c>
      <c r="F222" s="64" t="s">
        <v>4914</v>
      </c>
      <c r="G222" s="614" t="s">
        <v>48</v>
      </c>
      <c r="H222" s="614" t="s">
        <v>682</v>
      </c>
      <c r="I222" s="614" t="s">
        <v>1149</v>
      </c>
      <c r="J222" s="64" t="s">
        <v>3095</v>
      </c>
      <c r="K222" s="1940" t="s">
        <v>4915</v>
      </c>
      <c r="L222" s="1940" t="s">
        <v>8014</v>
      </c>
      <c r="M222" t="s">
        <v>11412</v>
      </c>
      <c r="N222" t="s">
        <v>9729</v>
      </c>
      <c r="O222" t="s">
        <v>4914</v>
      </c>
      <c r="P222" s="614">
        <f>COUNTIF(EducPlans_кодНАЦИД_Спец[аФакСец],EducPlans_кодНАЦИД_Спец[[#This Row],[аФакСец]])</f>
        <v>1</v>
      </c>
    </row>
    <row r="223" spans="3:16" x14ac:dyDescent="0.25">
      <c r="C223" s="614">
        <v>217</v>
      </c>
      <c r="D223" s="614">
        <v>11857</v>
      </c>
      <c r="E223" s="64" t="s">
        <v>2315</v>
      </c>
      <c r="F223" s="64" t="s">
        <v>4916</v>
      </c>
      <c r="G223" s="614" t="s">
        <v>26</v>
      </c>
      <c r="H223" s="614" t="s">
        <v>682</v>
      </c>
      <c r="I223" s="614" t="s">
        <v>1153</v>
      </c>
      <c r="J223" s="64" t="s">
        <v>3655</v>
      </c>
      <c r="K223" s="1940" t="s">
        <v>4917</v>
      </c>
      <c r="L223" s="1940" t="s">
        <v>8015</v>
      </c>
      <c r="M223" t="s">
        <v>11413</v>
      </c>
      <c r="N223" t="s">
        <v>9730</v>
      </c>
      <c r="O223" t="s">
        <v>4916</v>
      </c>
      <c r="P223" s="614">
        <f>COUNTIF(EducPlans_кодНАЦИД_Спец[аФакСец],EducPlans_кодНАЦИД_Спец[[#This Row],[аФакСец]])</f>
        <v>2</v>
      </c>
    </row>
    <row r="224" spans="3:16" x14ac:dyDescent="0.25">
      <c r="C224" s="614">
        <v>218</v>
      </c>
      <c r="D224" s="614">
        <v>11864</v>
      </c>
      <c r="E224" s="64" t="s">
        <v>2315</v>
      </c>
      <c r="F224" s="64" t="s">
        <v>4918</v>
      </c>
      <c r="G224" s="614" t="s">
        <v>26</v>
      </c>
      <c r="H224" s="614" t="s">
        <v>682</v>
      </c>
      <c r="I224" s="614" t="s">
        <v>1153</v>
      </c>
      <c r="J224" s="64" t="s">
        <v>3654</v>
      </c>
      <c r="K224" s="1940" t="s">
        <v>4919</v>
      </c>
      <c r="L224" s="1940" t="s">
        <v>8016</v>
      </c>
      <c r="M224" t="s">
        <v>11414</v>
      </c>
      <c r="N224" t="s">
        <v>9731</v>
      </c>
      <c r="O224" t="s">
        <v>4918</v>
      </c>
      <c r="P224" s="614">
        <f>COUNTIF(EducPlans_кодНАЦИД_Спец[аФакСец],EducPlans_кодНАЦИД_Спец[[#This Row],[аФакСец]])</f>
        <v>1</v>
      </c>
    </row>
    <row r="225" spans="3:16" x14ac:dyDescent="0.25">
      <c r="C225" s="614">
        <v>219</v>
      </c>
      <c r="D225" s="614">
        <v>11795</v>
      </c>
      <c r="E225" s="64" t="s">
        <v>2294</v>
      </c>
      <c r="F225" s="64" t="s">
        <v>4920</v>
      </c>
      <c r="G225" s="614" t="s">
        <v>26</v>
      </c>
      <c r="H225" s="614" t="s">
        <v>682</v>
      </c>
      <c r="I225" s="614" t="s">
        <v>1153</v>
      </c>
      <c r="J225" s="64" t="s">
        <v>3656</v>
      </c>
      <c r="K225" s="1940" t="s">
        <v>4921</v>
      </c>
      <c r="L225" s="1940" t="s">
        <v>8017</v>
      </c>
      <c r="M225" t="s">
        <v>11415</v>
      </c>
      <c r="N225" t="s">
        <v>9732</v>
      </c>
      <c r="O225" t="s">
        <v>4920</v>
      </c>
      <c r="P225" s="614">
        <f>COUNTIF(EducPlans_кодНАЦИД_Спец[аФакСец],EducPlans_кодНАЦИД_Спец[[#This Row],[аФакСец]])</f>
        <v>1</v>
      </c>
    </row>
    <row r="226" spans="3:16" x14ac:dyDescent="0.25">
      <c r="C226" s="614">
        <v>220</v>
      </c>
      <c r="D226" s="614">
        <v>533298</v>
      </c>
      <c r="E226" s="64" t="s">
        <v>2294</v>
      </c>
      <c r="F226" s="64" t="s">
        <v>4922</v>
      </c>
      <c r="G226" s="614" t="s">
        <v>26</v>
      </c>
      <c r="H226" s="614" t="s">
        <v>682</v>
      </c>
      <c r="I226" s="614" t="s">
        <v>1153</v>
      </c>
      <c r="J226" s="64" t="s">
        <v>3657</v>
      </c>
      <c r="K226" s="1940" t="s">
        <v>4921</v>
      </c>
      <c r="L226" s="1940" t="s">
        <v>8018</v>
      </c>
      <c r="M226" t="s">
        <v>11416</v>
      </c>
      <c r="N226" t="s">
        <v>9733</v>
      </c>
      <c r="O226" t="s">
        <v>4922</v>
      </c>
      <c r="P226" s="614">
        <f>COUNTIF(EducPlans_кодНАЦИД_Спец[аФакСец],EducPlans_кодНАЦИД_Спец[[#This Row],[аФакСец]])</f>
        <v>1</v>
      </c>
    </row>
    <row r="227" spans="3:16" x14ac:dyDescent="0.25">
      <c r="C227" s="614">
        <v>221</v>
      </c>
      <c r="D227" s="614">
        <v>533298</v>
      </c>
      <c r="E227" s="64" t="s">
        <v>2294</v>
      </c>
      <c r="F227" s="64" t="s">
        <v>4923</v>
      </c>
      <c r="G227" s="614" t="s">
        <v>26</v>
      </c>
      <c r="H227" s="614" t="s">
        <v>682</v>
      </c>
      <c r="I227" s="614" t="s">
        <v>1153</v>
      </c>
      <c r="J227" s="64" t="s">
        <v>3658</v>
      </c>
      <c r="K227" s="1940" t="s">
        <v>4921</v>
      </c>
      <c r="L227" s="1940" t="s">
        <v>8019</v>
      </c>
      <c r="M227" t="s">
        <v>11417</v>
      </c>
      <c r="N227" t="s">
        <v>9734</v>
      </c>
      <c r="O227" t="s">
        <v>4923</v>
      </c>
      <c r="P227" s="614">
        <f>COUNTIF(EducPlans_кодНАЦИД_Спец[аФакСец],EducPlans_кодНАЦИД_Спец[[#This Row],[аФакСец]])</f>
        <v>1</v>
      </c>
    </row>
    <row r="228" spans="3:16" x14ac:dyDescent="0.25">
      <c r="C228" s="614">
        <v>222</v>
      </c>
      <c r="D228" s="614">
        <v>533298</v>
      </c>
      <c r="E228" s="64" t="s">
        <v>2294</v>
      </c>
      <c r="F228" s="64" t="s">
        <v>4924</v>
      </c>
      <c r="G228" s="614" t="s">
        <v>26</v>
      </c>
      <c r="H228" s="614" t="s">
        <v>682</v>
      </c>
      <c r="I228" s="614" t="s">
        <v>1153</v>
      </c>
      <c r="J228" s="64" t="s">
        <v>3655</v>
      </c>
      <c r="K228" s="1940" t="s">
        <v>4921</v>
      </c>
      <c r="L228" s="1940" t="s">
        <v>8015</v>
      </c>
      <c r="M228" t="s">
        <v>11418</v>
      </c>
      <c r="N228" t="s">
        <v>9730</v>
      </c>
      <c r="O228" t="s">
        <v>4924</v>
      </c>
      <c r="P228" s="614">
        <f>COUNTIF(EducPlans_кодНАЦИД_Спец[аФакСец],EducPlans_кодНАЦИД_Спец[[#This Row],[аФакСец]])</f>
        <v>2</v>
      </c>
    </row>
    <row r="229" spans="3:16" x14ac:dyDescent="0.25">
      <c r="C229" s="614">
        <v>223</v>
      </c>
      <c r="D229" s="614">
        <v>11809</v>
      </c>
      <c r="E229" s="64" t="s">
        <v>2295</v>
      </c>
      <c r="F229" s="64" t="s">
        <v>4925</v>
      </c>
      <c r="G229" s="614" t="s">
        <v>26</v>
      </c>
      <c r="H229" s="614" t="s">
        <v>682</v>
      </c>
      <c r="I229" s="614" t="s">
        <v>1153</v>
      </c>
      <c r="J229" s="64" t="s">
        <v>3659</v>
      </c>
      <c r="K229" s="1940" t="s">
        <v>4926</v>
      </c>
      <c r="L229" s="1940" t="s">
        <v>8020</v>
      </c>
      <c r="M229" t="s">
        <v>11419</v>
      </c>
      <c r="N229" t="s">
        <v>9735</v>
      </c>
      <c r="O229" t="s">
        <v>4925</v>
      </c>
      <c r="P229" s="614">
        <f>COUNTIF(EducPlans_кодНАЦИД_Спец[аФакСец],EducPlans_кодНАЦИД_Спец[[#This Row],[аФакСец]])</f>
        <v>1</v>
      </c>
    </row>
    <row r="230" spans="3:16" x14ac:dyDescent="0.25">
      <c r="C230" s="614">
        <v>224</v>
      </c>
      <c r="D230" s="614">
        <v>11807</v>
      </c>
      <c r="E230" s="64" t="s">
        <v>2296</v>
      </c>
      <c r="F230" s="64" t="s">
        <v>4927</v>
      </c>
      <c r="G230" s="614" t="s">
        <v>26</v>
      </c>
      <c r="H230" s="614" t="s">
        <v>682</v>
      </c>
      <c r="I230" s="614" t="s">
        <v>1153</v>
      </c>
      <c r="J230" s="64" t="s">
        <v>3660</v>
      </c>
      <c r="K230" s="1940" t="s">
        <v>4928</v>
      </c>
      <c r="L230" s="1940" t="s">
        <v>8021</v>
      </c>
      <c r="M230" t="s">
        <v>11420</v>
      </c>
      <c r="N230" t="s">
        <v>9736</v>
      </c>
      <c r="O230" t="s">
        <v>4927</v>
      </c>
      <c r="P230" s="614">
        <f>COUNTIF(EducPlans_кодНАЦИД_Спец[аФакСец],EducPlans_кодНАЦИД_Спец[[#This Row],[аФакСец]])</f>
        <v>1</v>
      </c>
    </row>
    <row r="231" spans="3:16" x14ac:dyDescent="0.25">
      <c r="C231" s="614">
        <v>225</v>
      </c>
      <c r="D231" s="614">
        <v>11732</v>
      </c>
      <c r="E231" s="64" t="s">
        <v>2297</v>
      </c>
      <c r="F231" s="64" t="s">
        <v>4929</v>
      </c>
      <c r="G231" s="614" t="s">
        <v>26</v>
      </c>
      <c r="H231" s="614" t="s">
        <v>682</v>
      </c>
      <c r="I231" s="614" t="s">
        <v>1149</v>
      </c>
      <c r="J231" s="64" t="s">
        <v>3663</v>
      </c>
      <c r="K231" s="1940" t="s">
        <v>4930</v>
      </c>
      <c r="L231" s="1940" t="s">
        <v>8022</v>
      </c>
      <c r="M231" t="s">
        <v>11421</v>
      </c>
      <c r="N231" t="s">
        <v>9737</v>
      </c>
      <c r="O231" t="s">
        <v>4929</v>
      </c>
      <c r="P231" s="614">
        <f>COUNTIF(EducPlans_кодНАЦИД_Спец[аФакСец],EducPlans_кодНАЦИД_Спец[[#This Row],[аФакСец]])</f>
        <v>1</v>
      </c>
    </row>
    <row r="232" spans="3:16" x14ac:dyDescent="0.25">
      <c r="C232" s="614">
        <v>226</v>
      </c>
      <c r="D232" s="614">
        <v>11732</v>
      </c>
      <c r="E232" s="64" t="s">
        <v>2297</v>
      </c>
      <c r="F232" s="64" t="s">
        <v>4931</v>
      </c>
      <c r="G232" s="614" t="s">
        <v>26</v>
      </c>
      <c r="H232" s="614" t="s">
        <v>682</v>
      </c>
      <c r="I232" s="614" t="s">
        <v>1149</v>
      </c>
      <c r="J232" s="64" t="s">
        <v>3662</v>
      </c>
      <c r="K232" s="1940" t="s">
        <v>4930</v>
      </c>
      <c r="L232" s="1940" t="s">
        <v>8023</v>
      </c>
      <c r="M232" t="s">
        <v>11422</v>
      </c>
      <c r="N232" t="s">
        <v>9738</v>
      </c>
      <c r="O232" t="s">
        <v>4931</v>
      </c>
      <c r="P232" s="614">
        <f>COUNTIF(EducPlans_кодНАЦИД_Спец[аФакСец],EducPlans_кодНАЦИД_Спец[[#This Row],[аФакСец]])</f>
        <v>1</v>
      </c>
    </row>
    <row r="233" spans="3:16" x14ac:dyDescent="0.25">
      <c r="C233" s="614">
        <v>227</v>
      </c>
      <c r="D233" s="614">
        <v>549416</v>
      </c>
      <c r="E233" s="64" t="s">
        <v>4932</v>
      </c>
      <c r="F233" s="64" t="s">
        <v>4933</v>
      </c>
      <c r="G233" s="614" t="s">
        <v>296</v>
      </c>
      <c r="H233" s="614" t="s">
        <v>682</v>
      </c>
      <c r="I233" s="614" t="s">
        <v>1153</v>
      </c>
      <c r="J233" s="64" t="s">
        <v>4934</v>
      </c>
      <c r="K233" s="1940" t="s">
        <v>4935</v>
      </c>
      <c r="L233" s="1940" t="s">
        <v>8024</v>
      </c>
      <c r="M233" t="s">
        <v>11423</v>
      </c>
      <c r="N233" t="s">
        <v>9739</v>
      </c>
      <c r="O233" t="s">
        <v>4933</v>
      </c>
      <c r="P233" s="614">
        <f>COUNTIF(EducPlans_кодНАЦИД_Спец[аФакСец],EducPlans_кодНАЦИД_Спец[[#This Row],[аФакСец]])</f>
        <v>1</v>
      </c>
    </row>
    <row r="234" spans="3:16" x14ac:dyDescent="0.25">
      <c r="C234" s="614">
        <v>228</v>
      </c>
      <c r="D234" s="614">
        <v>10876</v>
      </c>
      <c r="E234" s="64" t="s">
        <v>1598</v>
      </c>
      <c r="F234" s="64" t="s">
        <v>4936</v>
      </c>
      <c r="G234" s="614" t="s">
        <v>35</v>
      </c>
      <c r="H234" s="614" t="s">
        <v>682</v>
      </c>
      <c r="I234" s="614" t="s">
        <v>1153</v>
      </c>
      <c r="J234" s="64" t="s">
        <v>3985</v>
      </c>
      <c r="K234" s="1940" t="s">
        <v>4937</v>
      </c>
      <c r="L234" s="1940" t="s">
        <v>8025</v>
      </c>
      <c r="M234" t="s">
        <v>11424</v>
      </c>
      <c r="N234" t="s">
        <v>9740</v>
      </c>
      <c r="O234" t="s">
        <v>4936</v>
      </c>
      <c r="P234" s="614">
        <f>COUNTIF(EducPlans_кодНАЦИД_Спец[аФакСец],EducPlans_кодНАЦИД_Спец[[#This Row],[аФакСец]])</f>
        <v>1</v>
      </c>
    </row>
    <row r="235" spans="3:16" x14ac:dyDescent="0.25">
      <c r="C235" s="614">
        <v>229</v>
      </c>
      <c r="D235" s="614">
        <v>10876</v>
      </c>
      <c r="E235" s="64" t="s">
        <v>1598</v>
      </c>
      <c r="F235" s="64" t="s">
        <v>4938</v>
      </c>
      <c r="G235" s="614" t="s">
        <v>35</v>
      </c>
      <c r="H235" s="614" t="s">
        <v>682</v>
      </c>
      <c r="I235" s="614" t="s">
        <v>1153</v>
      </c>
      <c r="J235" s="64" t="s">
        <v>3986</v>
      </c>
      <c r="K235" s="1940" t="s">
        <v>4937</v>
      </c>
      <c r="L235" s="1940" t="s">
        <v>8026</v>
      </c>
      <c r="M235" t="s">
        <v>11425</v>
      </c>
      <c r="N235" t="s">
        <v>9741</v>
      </c>
      <c r="O235" t="s">
        <v>4938</v>
      </c>
      <c r="P235" s="614">
        <f>COUNTIF(EducPlans_кодНАЦИД_Спец[аФакСец],EducPlans_кодНАЦИД_Спец[[#This Row],[аФакСец]])</f>
        <v>1</v>
      </c>
    </row>
    <row r="236" spans="3:16" x14ac:dyDescent="0.25">
      <c r="C236" s="614">
        <v>230</v>
      </c>
      <c r="D236" s="614">
        <v>12736</v>
      </c>
      <c r="E236" s="64" t="s">
        <v>2656</v>
      </c>
      <c r="F236" s="64" t="s">
        <v>4939</v>
      </c>
      <c r="G236" s="614" t="s">
        <v>296</v>
      </c>
      <c r="H236" s="614" t="s">
        <v>682</v>
      </c>
      <c r="I236" s="614" t="s">
        <v>1149</v>
      </c>
      <c r="J236" s="64" t="s">
        <v>3761</v>
      </c>
      <c r="K236" s="1940" t="s">
        <v>4940</v>
      </c>
      <c r="L236" s="1940" t="s">
        <v>8027</v>
      </c>
      <c r="M236" t="s">
        <v>11426</v>
      </c>
      <c r="N236" t="s">
        <v>9742</v>
      </c>
      <c r="O236" t="s">
        <v>4939</v>
      </c>
      <c r="P236" s="614">
        <f>COUNTIF(EducPlans_кодНАЦИД_Спец[аФакСец],EducPlans_кодНАЦИД_Спец[[#This Row],[аФакСец]])</f>
        <v>1</v>
      </c>
    </row>
    <row r="237" spans="3:16" x14ac:dyDescent="0.25">
      <c r="C237" s="614">
        <v>231</v>
      </c>
      <c r="D237" s="614">
        <v>12273</v>
      </c>
      <c r="E237" s="64" t="s">
        <v>2212</v>
      </c>
      <c r="F237" s="64" t="s">
        <v>4941</v>
      </c>
      <c r="G237" s="614" t="s">
        <v>31</v>
      </c>
      <c r="H237" s="614" t="s">
        <v>682</v>
      </c>
      <c r="I237" s="614" t="s">
        <v>1153</v>
      </c>
      <c r="J237" s="64" t="s">
        <v>2928</v>
      </c>
      <c r="K237" s="1940" t="s">
        <v>4942</v>
      </c>
      <c r="L237" s="1940" t="s">
        <v>8028</v>
      </c>
      <c r="M237" t="s">
        <v>11427</v>
      </c>
      <c r="N237" t="s">
        <v>9743</v>
      </c>
      <c r="O237" t="s">
        <v>4941</v>
      </c>
      <c r="P237" s="614">
        <f>COUNTIF(EducPlans_кодНАЦИД_Спец[аФакСец],EducPlans_кодНАЦИД_Спец[[#This Row],[аФакСец]])</f>
        <v>1</v>
      </c>
    </row>
    <row r="238" spans="3:16" x14ac:dyDescent="0.25">
      <c r="C238" s="614">
        <v>232</v>
      </c>
      <c r="D238" s="614">
        <v>12197</v>
      </c>
      <c r="E238" s="64" t="s">
        <v>2212</v>
      </c>
      <c r="F238" s="64" t="s">
        <v>4943</v>
      </c>
      <c r="G238" s="614" t="s">
        <v>31</v>
      </c>
      <c r="H238" s="614" t="s">
        <v>682</v>
      </c>
      <c r="I238" s="614" t="s">
        <v>1149</v>
      </c>
      <c r="J238" s="64" t="s">
        <v>2927</v>
      </c>
      <c r="K238" s="1940" t="s">
        <v>4944</v>
      </c>
      <c r="L238" s="1940" t="s">
        <v>8029</v>
      </c>
      <c r="M238" t="s">
        <v>11428</v>
      </c>
      <c r="N238" t="s">
        <v>9744</v>
      </c>
      <c r="O238" t="s">
        <v>4943</v>
      </c>
      <c r="P238" s="614">
        <f>COUNTIF(EducPlans_кодНАЦИД_Спец[аФакСец],EducPlans_кодНАЦИД_Спец[[#This Row],[аФакСец]])</f>
        <v>1</v>
      </c>
    </row>
    <row r="239" spans="3:16" x14ac:dyDescent="0.25">
      <c r="C239" s="614">
        <v>233</v>
      </c>
      <c r="D239" s="614">
        <v>1113454</v>
      </c>
      <c r="E239" s="64" t="s">
        <v>13230</v>
      </c>
      <c r="F239" s="64" t="s">
        <v>13231</v>
      </c>
      <c r="G239" s="614" t="s">
        <v>31</v>
      </c>
      <c r="H239" s="614" t="s">
        <v>682</v>
      </c>
      <c r="I239" s="614" t="s">
        <v>1153</v>
      </c>
      <c r="J239" s="64" t="s">
        <v>13232</v>
      </c>
      <c r="K239" s="1940" t="s">
        <v>13233</v>
      </c>
      <c r="L239" s="1940" t="s">
        <v>13234</v>
      </c>
      <c r="M239" t="s">
        <v>13235</v>
      </c>
      <c r="N239" t="s">
        <v>13236</v>
      </c>
      <c r="O239" t="s">
        <v>13231</v>
      </c>
      <c r="P239" s="614">
        <f>COUNTIF(EducPlans_кодНАЦИД_Спец[аФакСец],EducPlans_кодНАЦИД_Спец[[#This Row],[аФакСец]])</f>
        <v>1</v>
      </c>
    </row>
    <row r="240" spans="3:16" x14ac:dyDescent="0.25">
      <c r="C240" s="614">
        <v>234</v>
      </c>
      <c r="D240" s="614">
        <v>1113455</v>
      </c>
      <c r="E240" s="64" t="s">
        <v>13230</v>
      </c>
      <c r="F240" s="64" t="s">
        <v>13237</v>
      </c>
      <c r="G240" s="614" t="s">
        <v>31</v>
      </c>
      <c r="H240" s="614" t="s">
        <v>682</v>
      </c>
      <c r="I240" s="614" t="s">
        <v>1149</v>
      </c>
      <c r="J240" s="64" t="s">
        <v>13238</v>
      </c>
      <c r="K240" s="1940" t="s">
        <v>13239</v>
      </c>
      <c r="L240" s="1940" t="s">
        <v>13240</v>
      </c>
      <c r="M240" t="s">
        <v>13241</v>
      </c>
      <c r="N240" t="s">
        <v>13242</v>
      </c>
      <c r="O240" t="s">
        <v>13237</v>
      </c>
      <c r="P240" s="614">
        <f>COUNTIF(EducPlans_кодНАЦИД_Спец[аФакСец],EducPlans_кодНАЦИД_Спец[[#This Row],[аФакСец]])</f>
        <v>1</v>
      </c>
    </row>
    <row r="241" spans="3:16" x14ac:dyDescent="0.25">
      <c r="C241" s="614">
        <v>235</v>
      </c>
      <c r="D241" s="614">
        <v>704952</v>
      </c>
      <c r="E241" s="64" t="s">
        <v>7749</v>
      </c>
      <c r="F241" s="64" t="s">
        <v>7750</v>
      </c>
      <c r="G241" s="614" t="s">
        <v>26</v>
      </c>
      <c r="H241" s="614" t="s">
        <v>682</v>
      </c>
      <c r="I241" s="614" t="s">
        <v>1153</v>
      </c>
      <c r="J241" s="64" t="s">
        <v>7751</v>
      </c>
      <c r="K241" s="1940" t="s">
        <v>7752</v>
      </c>
      <c r="L241" s="1940" t="s">
        <v>8030</v>
      </c>
      <c r="M241" t="s">
        <v>11429</v>
      </c>
      <c r="N241" t="s">
        <v>9745</v>
      </c>
      <c r="O241" t="s">
        <v>7750</v>
      </c>
      <c r="P241" s="614">
        <f>COUNTIF(EducPlans_кодНАЦИД_Спец[аФакСец],EducPlans_кодНАЦИД_Спец[[#This Row],[аФакСец]])</f>
        <v>1</v>
      </c>
    </row>
    <row r="242" spans="3:16" x14ac:dyDescent="0.25">
      <c r="C242" s="614">
        <v>236</v>
      </c>
      <c r="D242" s="614">
        <v>12905</v>
      </c>
      <c r="E242" s="64" t="s">
        <v>1794</v>
      </c>
      <c r="F242" s="64" t="s">
        <v>4945</v>
      </c>
      <c r="G242" s="614" t="s">
        <v>42</v>
      </c>
      <c r="H242" s="614" t="s">
        <v>681</v>
      </c>
      <c r="I242" s="614" t="s">
        <v>1153</v>
      </c>
      <c r="J242" s="64" t="s">
        <v>3464</v>
      </c>
      <c r="K242" s="1940" t="s">
        <v>4946</v>
      </c>
      <c r="L242" s="1940" t="s">
        <v>8031</v>
      </c>
      <c r="M242" t="s">
        <v>11430</v>
      </c>
      <c r="N242" t="s">
        <v>9746</v>
      </c>
      <c r="O242" t="s">
        <v>4945</v>
      </c>
      <c r="P242" s="614">
        <f>COUNTIF(EducPlans_кодНАЦИД_Спец[аФакСец],EducPlans_кодНАЦИД_Спец[[#This Row],[аФакСец]])</f>
        <v>1</v>
      </c>
    </row>
    <row r="243" spans="3:16" x14ac:dyDescent="0.25">
      <c r="C243" s="614">
        <v>237</v>
      </c>
      <c r="D243" s="614">
        <v>12907</v>
      </c>
      <c r="E243" s="64" t="s">
        <v>1794</v>
      </c>
      <c r="F243" s="64" t="s">
        <v>4947</v>
      </c>
      <c r="G243" s="614" t="s">
        <v>42</v>
      </c>
      <c r="H243" s="614" t="s">
        <v>681</v>
      </c>
      <c r="I243" s="614" t="s">
        <v>1149</v>
      </c>
      <c r="J243" s="64" t="s">
        <v>3462</v>
      </c>
      <c r="K243" s="1940" t="s">
        <v>4948</v>
      </c>
      <c r="L243" s="1940" t="s">
        <v>8032</v>
      </c>
      <c r="M243" t="s">
        <v>11431</v>
      </c>
      <c r="N243" t="s">
        <v>9747</v>
      </c>
      <c r="O243" t="s">
        <v>4947</v>
      </c>
      <c r="P243" s="614">
        <f>COUNTIF(EducPlans_кодНАЦИД_Спец[аФакСец],EducPlans_кодНАЦИД_Спец[[#This Row],[аФакСец]])</f>
        <v>1</v>
      </c>
    </row>
    <row r="244" spans="3:16" x14ac:dyDescent="0.25">
      <c r="C244" s="614">
        <v>238</v>
      </c>
      <c r="D244" s="614">
        <v>12922</v>
      </c>
      <c r="E244" s="64" t="s">
        <v>1794</v>
      </c>
      <c r="F244" s="64" t="s">
        <v>4949</v>
      </c>
      <c r="G244" s="614" t="s">
        <v>42</v>
      </c>
      <c r="H244" s="614" t="s">
        <v>682</v>
      </c>
      <c r="I244" s="614" t="s">
        <v>1153</v>
      </c>
      <c r="J244" s="64" t="s">
        <v>4950</v>
      </c>
      <c r="K244" s="1940" t="s">
        <v>4951</v>
      </c>
      <c r="L244" s="1940" t="s">
        <v>8033</v>
      </c>
      <c r="M244" t="s">
        <v>11432</v>
      </c>
      <c r="N244" t="s">
        <v>9748</v>
      </c>
      <c r="O244" t="s">
        <v>4949</v>
      </c>
      <c r="P244" s="614">
        <f>COUNTIF(EducPlans_кодНАЦИД_Спец[аФакСец],EducPlans_кодНАЦИД_Спец[[#This Row],[аФакСец]])</f>
        <v>1</v>
      </c>
    </row>
    <row r="245" spans="3:16" x14ac:dyDescent="0.25">
      <c r="C245" s="614">
        <v>239</v>
      </c>
      <c r="D245" s="614">
        <v>12924</v>
      </c>
      <c r="E245" s="64" t="s">
        <v>1794</v>
      </c>
      <c r="F245" s="64" t="s">
        <v>4952</v>
      </c>
      <c r="G245" s="614" t="s">
        <v>42</v>
      </c>
      <c r="H245" s="614" t="s">
        <v>682</v>
      </c>
      <c r="I245" s="614" t="s">
        <v>1149</v>
      </c>
      <c r="J245" s="64" t="s">
        <v>3463</v>
      </c>
      <c r="K245" s="1940" t="s">
        <v>4953</v>
      </c>
      <c r="L245" s="1940" t="s">
        <v>8034</v>
      </c>
      <c r="M245" t="s">
        <v>11433</v>
      </c>
      <c r="N245" t="s">
        <v>9749</v>
      </c>
      <c r="O245" t="s">
        <v>4952</v>
      </c>
      <c r="P245" s="614">
        <f>COUNTIF(EducPlans_кодНАЦИД_Спец[аФакСец],EducPlans_кодНАЦИД_Спец[[#This Row],[аФакСец]])</f>
        <v>1</v>
      </c>
    </row>
    <row r="246" spans="3:16" x14ac:dyDescent="0.25">
      <c r="C246" s="614">
        <v>240</v>
      </c>
      <c r="D246" s="614">
        <v>11121</v>
      </c>
      <c r="E246" s="64" t="s">
        <v>1534</v>
      </c>
      <c r="F246" s="64" t="s">
        <v>4954</v>
      </c>
      <c r="G246" s="614" t="s">
        <v>48</v>
      </c>
      <c r="H246" s="614" t="s">
        <v>682</v>
      </c>
      <c r="I246" s="614" t="s">
        <v>1153</v>
      </c>
      <c r="J246" s="64" t="s">
        <v>3099</v>
      </c>
      <c r="K246" s="1940" t="s">
        <v>4955</v>
      </c>
      <c r="L246" s="1940" t="s">
        <v>8035</v>
      </c>
      <c r="M246" t="s">
        <v>11434</v>
      </c>
      <c r="N246" t="s">
        <v>9750</v>
      </c>
      <c r="O246" t="s">
        <v>4954</v>
      </c>
      <c r="P246" s="614">
        <f>COUNTIF(EducPlans_кодНАЦИД_Спец[аФакСец],EducPlans_кодНАЦИД_Спец[[#This Row],[аФакСец]])</f>
        <v>1</v>
      </c>
    </row>
    <row r="247" spans="3:16" x14ac:dyDescent="0.25">
      <c r="C247" s="614">
        <v>241</v>
      </c>
      <c r="D247" s="614">
        <v>11121</v>
      </c>
      <c r="E247" s="64" t="s">
        <v>1534</v>
      </c>
      <c r="F247" s="64" t="s">
        <v>4956</v>
      </c>
      <c r="G247" s="614" t="s">
        <v>48</v>
      </c>
      <c r="H247" s="614" t="s">
        <v>682</v>
      </c>
      <c r="I247" s="614" t="s">
        <v>1153</v>
      </c>
      <c r="J247" s="64" t="s">
        <v>3100</v>
      </c>
      <c r="K247" s="1940" t="s">
        <v>4955</v>
      </c>
      <c r="L247" s="1940" t="s">
        <v>8036</v>
      </c>
      <c r="M247" t="s">
        <v>11435</v>
      </c>
      <c r="N247" t="s">
        <v>9751</v>
      </c>
      <c r="O247" t="s">
        <v>4956</v>
      </c>
      <c r="P247" s="614">
        <f>COUNTIF(EducPlans_кодНАЦИД_Спец[аФакСец],EducPlans_кодНАЦИД_Спец[[#This Row],[аФакСец]])</f>
        <v>1</v>
      </c>
    </row>
    <row r="248" spans="3:16" x14ac:dyDescent="0.25">
      <c r="C248" s="614">
        <v>242</v>
      </c>
      <c r="D248" s="614">
        <v>11121</v>
      </c>
      <c r="E248" s="64" t="s">
        <v>1534</v>
      </c>
      <c r="F248" s="64" t="s">
        <v>4957</v>
      </c>
      <c r="G248" s="614" t="s">
        <v>48</v>
      </c>
      <c r="H248" s="614" t="s">
        <v>682</v>
      </c>
      <c r="I248" s="614" t="s">
        <v>1153</v>
      </c>
      <c r="J248" s="64" t="s">
        <v>3101</v>
      </c>
      <c r="K248" s="1940" t="s">
        <v>4955</v>
      </c>
      <c r="L248" s="1940" t="s">
        <v>8037</v>
      </c>
      <c r="M248" t="s">
        <v>11436</v>
      </c>
      <c r="N248" t="s">
        <v>9752</v>
      </c>
      <c r="O248" t="s">
        <v>4957</v>
      </c>
      <c r="P248" s="614">
        <f>COUNTIF(EducPlans_кодНАЦИД_Спец[аФакСец],EducPlans_кодНАЦИД_Спец[[#This Row],[аФакСец]])</f>
        <v>1</v>
      </c>
    </row>
    <row r="249" spans="3:16" x14ac:dyDescent="0.25">
      <c r="C249" s="614">
        <v>243</v>
      </c>
      <c r="D249" s="614">
        <v>11123</v>
      </c>
      <c r="E249" s="64" t="s">
        <v>1534</v>
      </c>
      <c r="F249" s="64" t="s">
        <v>4958</v>
      </c>
      <c r="G249" s="614" t="s">
        <v>48</v>
      </c>
      <c r="H249" s="614" t="s">
        <v>682</v>
      </c>
      <c r="I249" s="614" t="s">
        <v>1149</v>
      </c>
      <c r="J249" s="64" t="s">
        <v>3098</v>
      </c>
      <c r="K249" s="1940" t="s">
        <v>4959</v>
      </c>
      <c r="L249" s="1940" t="s">
        <v>8038</v>
      </c>
      <c r="M249" t="s">
        <v>11437</v>
      </c>
      <c r="N249" t="s">
        <v>9753</v>
      </c>
      <c r="O249" t="s">
        <v>4958</v>
      </c>
      <c r="P249" s="614">
        <f>COUNTIF(EducPlans_кодНАЦИД_Спец[аФакСец],EducPlans_кодНАЦИД_Спец[[#This Row],[аФакСец]])</f>
        <v>1</v>
      </c>
    </row>
    <row r="250" spans="3:16" x14ac:dyDescent="0.25">
      <c r="C250" s="614">
        <v>244</v>
      </c>
      <c r="D250" s="614">
        <v>11123</v>
      </c>
      <c r="E250" s="64" t="s">
        <v>1534</v>
      </c>
      <c r="F250" s="64" t="s">
        <v>4960</v>
      </c>
      <c r="G250" s="614" t="s">
        <v>48</v>
      </c>
      <c r="H250" s="614" t="s">
        <v>682</v>
      </c>
      <c r="I250" s="614" t="s">
        <v>1149</v>
      </c>
      <c r="J250" s="64" t="s">
        <v>3097</v>
      </c>
      <c r="K250" s="1940" t="s">
        <v>4959</v>
      </c>
      <c r="L250" s="1940" t="s">
        <v>8039</v>
      </c>
      <c r="M250" t="s">
        <v>11438</v>
      </c>
      <c r="N250" t="s">
        <v>9754</v>
      </c>
      <c r="O250" t="s">
        <v>4960</v>
      </c>
      <c r="P250" s="614">
        <f>COUNTIF(EducPlans_кодНАЦИД_Спец[аФакСец],EducPlans_кодНАЦИД_Спец[[#This Row],[аФакСец]])</f>
        <v>1</v>
      </c>
    </row>
    <row r="251" spans="3:16" x14ac:dyDescent="0.25">
      <c r="C251" s="614">
        <v>245</v>
      </c>
      <c r="D251" s="614">
        <v>295149</v>
      </c>
      <c r="E251" s="64" t="s">
        <v>1535</v>
      </c>
      <c r="F251" s="64" t="s">
        <v>4961</v>
      </c>
      <c r="G251" s="614" t="s">
        <v>48</v>
      </c>
      <c r="H251" s="614" t="s">
        <v>682</v>
      </c>
      <c r="I251" s="614" t="s">
        <v>1153</v>
      </c>
      <c r="J251" s="64" t="s">
        <v>3105</v>
      </c>
      <c r="K251" s="1940" t="s">
        <v>4962</v>
      </c>
      <c r="L251" s="1940" t="s">
        <v>8040</v>
      </c>
      <c r="M251" t="s">
        <v>11439</v>
      </c>
      <c r="N251" t="s">
        <v>9755</v>
      </c>
      <c r="O251" t="s">
        <v>4961</v>
      </c>
      <c r="P251" s="614">
        <f>COUNTIF(EducPlans_кодНАЦИД_Спец[аФакСец],EducPlans_кодНАЦИД_Спец[[#This Row],[аФакСец]])</f>
        <v>1</v>
      </c>
    </row>
    <row r="252" spans="3:16" x14ac:dyDescent="0.25">
      <c r="C252" s="614">
        <v>246</v>
      </c>
      <c r="D252" s="614">
        <v>295149</v>
      </c>
      <c r="E252" s="64" t="s">
        <v>1535</v>
      </c>
      <c r="F252" s="64" t="s">
        <v>4963</v>
      </c>
      <c r="G252" s="614" t="s">
        <v>48</v>
      </c>
      <c r="H252" s="614" t="s">
        <v>682</v>
      </c>
      <c r="I252" s="614" t="s">
        <v>1153</v>
      </c>
      <c r="J252" s="64" t="s">
        <v>3104</v>
      </c>
      <c r="K252" s="1940" t="s">
        <v>4962</v>
      </c>
      <c r="L252" s="1940" t="s">
        <v>8041</v>
      </c>
      <c r="M252" t="s">
        <v>11440</v>
      </c>
      <c r="N252" t="s">
        <v>9756</v>
      </c>
      <c r="O252" t="s">
        <v>4963</v>
      </c>
      <c r="P252" s="614">
        <f>COUNTIF(EducPlans_кодНАЦИД_Спец[аФакСец],EducPlans_кодНАЦИД_Спец[[#This Row],[аФакСец]])</f>
        <v>1</v>
      </c>
    </row>
    <row r="253" spans="3:16" x14ac:dyDescent="0.25">
      <c r="C253" s="614">
        <v>247</v>
      </c>
      <c r="D253" s="614">
        <v>259753</v>
      </c>
      <c r="E253" s="64" t="s">
        <v>1535</v>
      </c>
      <c r="F253" s="64" t="s">
        <v>4964</v>
      </c>
      <c r="G253" s="614" t="s">
        <v>48</v>
      </c>
      <c r="H253" s="614" t="s">
        <v>682</v>
      </c>
      <c r="I253" s="614" t="s">
        <v>1149</v>
      </c>
      <c r="J253" s="64" t="s">
        <v>3103</v>
      </c>
      <c r="K253" s="1940" t="s">
        <v>4965</v>
      </c>
      <c r="L253" s="1940" t="s">
        <v>8042</v>
      </c>
      <c r="M253" t="s">
        <v>11441</v>
      </c>
      <c r="N253" t="s">
        <v>9757</v>
      </c>
      <c r="O253" t="s">
        <v>4964</v>
      </c>
      <c r="P253" s="614">
        <f>COUNTIF(EducPlans_кодНАЦИД_Спец[аФакСец],EducPlans_кодНАЦИД_Спец[[#This Row],[аФакСец]])</f>
        <v>1</v>
      </c>
    </row>
    <row r="254" spans="3:16" x14ac:dyDescent="0.25">
      <c r="C254" s="614">
        <v>248</v>
      </c>
      <c r="D254" s="614">
        <v>259753</v>
      </c>
      <c r="E254" s="64" t="s">
        <v>1535</v>
      </c>
      <c r="F254" s="64" t="s">
        <v>4966</v>
      </c>
      <c r="G254" s="614" t="s">
        <v>48</v>
      </c>
      <c r="H254" s="614" t="s">
        <v>682</v>
      </c>
      <c r="I254" s="614" t="s">
        <v>1149</v>
      </c>
      <c r="J254" s="64" t="s">
        <v>3102</v>
      </c>
      <c r="K254" s="1940" t="s">
        <v>4965</v>
      </c>
      <c r="L254" s="1940" t="s">
        <v>8043</v>
      </c>
      <c r="M254" t="s">
        <v>11442</v>
      </c>
      <c r="N254" t="s">
        <v>9758</v>
      </c>
      <c r="O254" t="s">
        <v>4966</v>
      </c>
      <c r="P254" s="614">
        <f>COUNTIF(EducPlans_кодНАЦИД_Спец[аФакСец],EducPlans_кодНАЦИД_Спец[[#This Row],[аФакСец]])</f>
        <v>1</v>
      </c>
    </row>
    <row r="255" spans="3:16" x14ac:dyDescent="0.25">
      <c r="C255" s="614">
        <v>249</v>
      </c>
      <c r="D255" s="614">
        <v>12929</v>
      </c>
      <c r="E255" s="64" t="s">
        <v>1795</v>
      </c>
      <c r="F255" s="64" t="s">
        <v>4967</v>
      </c>
      <c r="G255" s="614" t="s">
        <v>42</v>
      </c>
      <c r="H255" s="614" t="s">
        <v>682</v>
      </c>
      <c r="I255" s="614" t="s">
        <v>1153</v>
      </c>
      <c r="J255" s="64" t="s">
        <v>4968</v>
      </c>
      <c r="K255" s="1940" t="s">
        <v>4969</v>
      </c>
      <c r="L255" s="1940" t="s">
        <v>8044</v>
      </c>
      <c r="M255" t="s">
        <v>11443</v>
      </c>
      <c r="N255" t="s">
        <v>9759</v>
      </c>
      <c r="O255" t="s">
        <v>4967</v>
      </c>
      <c r="P255" s="614">
        <f>COUNTIF(EducPlans_кодНАЦИД_Спец[аФакСец],EducPlans_кодНАЦИД_Спец[[#This Row],[аФакСец]])</f>
        <v>1</v>
      </c>
    </row>
    <row r="256" spans="3:16" x14ac:dyDescent="0.25">
      <c r="C256" s="614">
        <v>250</v>
      </c>
      <c r="D256" s="614">
        <v>12930</v>
      </c>
      <c r="E256" s="64" t="s">
        <v>1795</v>
      </c>
      <c r="F256" s="64" t="s">
        <v>4970</v>
      </c>
      <c r="G256" s="614" t="s">
        <v>42</v>
      </c>
      <c r="H256" s="614" t="s">
        <v>682</v>
      </c>
      <c r="I256" s="614" t="s">
        <v>1149</v>
      </c>
      <c r="J256" s="64" t="s">
        <v>3465</v>
      </c>
      <c r="K256" s="1940" t="s">
        <v>4971</v>
      </c>
      <c r="L256" s="1940" t="s">
        <v>8045</v>
      </c>
      <c r="M256" t="s">
        <v>11444</v>
      </c>
      <c r="N256" t="s">
        <v>9760</v>
      </c>
      <c r="O256" t="s">
        <v>4970</v>
      </c>
      <c r="P256" s="614">
        <f>COUNTIF(EducPlans_кодНАЦИД_Спец[аФакСец],EducPlans_кодНАЦИД_Спец[[#This Row],[аФакСец]])</f>
        <v>1</v>
      </c>
    </row>
    <row r="257" spans="3:16" x14ac:dyDescent="0.25">
      <c r="C257" s="614">
        <v>251</v>
      </c>
      <c r="D257" s="614">
        <v>11461</v>
      </c>
      <c r="E257" s="64" t="s">
        <v>1629</v>
      </c>
      <c r="F257" s="64" t="s">
        <v>4972</v>
      </c>
      <c r="G257" s="614" t="s">
        <v>2788</v>
      </c>
      <c r="H257" s="614" t="s">
        <v>682</v>
      </c>
      <c r="I257" s="614" t="s">
        <v>1153</v>
      </c>
      <c r="J257" s="64" t="s">
        <v>4333</v>
      </c>
      <c r="K257" s="1940" t="s">
        <v>4973</v>
      </c>
      <c r="L257" s="1940" t="s">
        <v>8046</v>
      </c>
      <c r="M257" t="s">
        <v>11445</v>
      </c>
      <c r="N257" t="s">
        <v>9761</v>
      </c>
      <c r="O257" t="s">
        <v>4972</v>
      </c>
      <c r="P257" s="614">
        <f>COUNTIF(EducPlans_кодНАЦИД_Спец[аФакСец],EducPlans_кодНАЦИД_Спец[[#This Row],[аФакСец]])</f>
        <v>1</v>
      </c>
    </row>
    <row r="258" spans="3:16" x14ac:dyDescent="0.25">
      <c r="C258" s="614">
        <v>252</v>
      </c>
      <c r="D258" s="614">
        <v>11465</v>
      </c>
      <c r="E258" s="64" t="s">
        <v>1629</v>
      </c>
      <c r="F258" s="64" t="s">
        <v>4974</v>
      </c>
      <c r="G258" s="614" t="s">
        <v>2788</v>
      </c>
      <c r="H258" s="614" t="s">
        <v>682</v>
      </c>
      <c r="I258" s="614" t="s">
        <v>1153</v>
      </c>
      <c r="J258" s="64" t="s">
        <v>4332</v>
      </c>
      <c r="K258" s="1940" t="s">
        <v>4975</v>
      </c>
      <c r="L258" s="1940" t="s">
        <v>8047</v>
      </c>
      <c r="M258" t="s">
        <v>11446</v>
      </c>
      <c r="N258" t="s">
        <v>9762</v>
      </c>
      <c r="O258" t="s">
        <v>4974</v>
      </c>
      <c r="P258" s="614">
        <f>COUNTIF(EducPlans_кодНАЦИД_Спец[аФакСец],EducPlans_кодНАЦИД_Спец[[#This Row],[аФакСец]])</f>
        <v>1</v>
      </c>
    </row>
    <row r="259" spans="3:16" x14ac:dyDescent="0.25">
      <c r="C259" s="614">
        <v>253</v>
      </c>
      <c r="D259" s="614">
        <v>11463</v>
      </c>
      <c r="E259" s="64" t="s">
        <v>1629</v>
      </c>
      <c r="F259" s="64" t="s">
        <v>4976</v>
      </c>
      <c r="G259" s="614" t="s">
        <v>2788</v>
      </c>
      <c r="H259" s="614" t="s">
        <v>682</v>
      </c>
      <c r="I259" s="614" t="s">
        <v>1149</v>
      </c>
      <c r="J259" s="64" t="s">
        <v>4331</v>
      </c>
      <c r="K259" s="1940" t="s">
        <v>4977</v>
      </c>
      <c r="L259" s="1940" t="s">
        <v>8048</v>
      </c>
      <c r="M259" t="s">
        <v>11447</v>
      </c>
      <c r="N259" t="s">
        <v>9763</v>
      </c>
      <c r="O259" t="s">
        <v>4976</v>
      </c>
      <c r="P259" s="614">
        <f>COUNTIF(EducPlans_кодНАЦИД_Спец[аФакСец],EducPlans_кодНАЦИД_Спец[[#This Row],[аФакСец]])</f>
        <v>1</v>
      </c>
    </row>
    <row r="260" spans="3:16" x14ac:dyDescent="0.25">
      <c r="C260" s="614">
        <v>254</v>
      </c>
      <c r="D260" s="614">
        <v>11467</v>
      </c>
      <c r="E260" s="64" t="s">
        <v>1629</v>
      </c>
      <c r="F260" s="64" t="s">
        <v>4978</v>
      </c>
      <c r="G260" s="614" t="s">
        <v>2788</v>
      </c>
      <c r="H260" s="614" t="s">
        <v>682</v>
      </c>
      <c r="I260" s="614" t="s">
        <v>1149</v>
      </c>
      <c r="J260" s="64" t="s">
        <v>4330</v>
      </c>
      <c r="K260" s="1940" t="s">
        <v>4979</v>
      </c>
      <c r="L260" s="1940" t="s">
        <v>8049</v>
      </c>
      <c r="M260" t="s">
        <v>11448</v>
      </c>
      <c r="N260" t="s">
        <v>9764</v>
      </c>
      <c r="O260" t="s">
        <v>4978</v>
      </c>
      <c r="P260" s="614">
        <f>COUNTIF(EducPlans_кодНАЦИД_Спец[аФакСец],EducPlans_кодНАЦИД_Спец[[#This Row],[аФакСец]])</f>
        <v>1</v>
      </c>
    </row>
    <row r="261" spans="3:16" x14ac:dyDescent="0.25">
      <c r="C261" s="614">
        <v>255</v>
      </c>
      <c r="D261" s="614">
        <v>287085</v>
      </c>
      <c r="E261" s="64" t="s">
        <v>1869</v>
      </c>
      <c r="F261" s="64" t="s">
        <v>4980</v>
      </c>
      <c r="G261" s="614" t="s">
        <v>626</v>
      </c>
      <c r="H261" s="614" t="s">
        <v>682</v>
      </c>
      <c r="I261" s="614" t="s">
        <v>1153</v>
      </c>
      <c r="J261" s="64" t="s">
        <v>3255</v>
      </c>
      <c r="K261" s="1940" t="s">
        <v>4981</v>
      </c>
      <c r="L261" s="1940" t="s">
        <v>8050</v>
      </c>
      <c r="M261" t="s">
        <v>11449</v>
      </c>
      <c r="N261" t="s">
        <v>9765</v>
      </c>
      <c r="O261" t="s">
        <v>4980</v>
      </c>
      <c r="P261" s="614">
        <f>COUNTIF(EducPlans_кодНАЦИД_Спец[аФакСец],EducPlans_кодНАЦИД_Спец[[#This Row],[аФакСец]])</f>
        <v>1</v>
      </c>
    </row>
    <row r="262" spans="3:16" x14ac:dyDescent="0.25">
      <c r="C262" s="614">
        <v>256</v>
      </c>
      <c r="D262" s="614">
        <v>287085</v>
      </c>
      <c r="E262" s="64" t="s">
        <v>1869</v>
      </c>
      <c r="F262" s="64" t="s">
        <v>4982</v>
      </c>
      <c r="G262" s="614" t="s">
        <v>626</v>
      </c>
      <c r="H262" s="614" t="s">
        <v>682</v>
      </c>
      <c r="I262" s="614" t="s">
        <v>1153</v>
      </c>
      <c r="J262" s="64" t="s">
        <v>3256</v>
      </c>
      <c r="K262" s="1940" t="s">
        <v>4981</v>
      </c>
      <c r="L262" s="1940" t="s">
        <v>8051</v>
      </c>
      <c r="M262" t="s">
        <v>11450</v>
      </c>
      <c r="N262" t="s">
        <v>9766</v>
      </c>
      <c r="O262" t="s">
        <v>4982</v>
      </c>
      <c r="P262" s="614">
        <f>COUNTIF(EducPlans_кодНАЦИД_Спец[аФакСец],EducPlans_кодНАЦИД_Спец[[#This Row],[аФакСец]])</f>
        <v>1</v>
      </c>
    </row>
    <row r="263" spans="3:16" x14ac:dyDescent="0.25">
      <c r="C263" s="614">
        <v>257</v>
      </c>
      <c r="D263" s="614">
        <v>12467</v>
      </c>
      <c r="E263" s="64" t="s">
        <v>2242</v>
      </c>
      <c r="F263" s="64" t="s">
        <v>4983</v>
      </c>
      <c r="G263" s="614" t="s">
        <v>50</v>
      </c>
      <c r="H263" s="614" t="s">
        <v>682</v>
      </c>
      <c r="I263" s="614" t="s">
        <v>1153</v>
      </c>
      <c r="J263" s="64" t="s">
        <v>2977</v>
      </c>
      <c r="K263" s="1940" t="s">
        <v>4984</v>
      </c>
      <c r="L263" s="1940" t="s">
        <v>8052</v>
      </c>
      <c r="M263" t="s">
        <v>11451</v>
      </c>
      <c r="N263" t="s">
        <v>9767</v>
      </c>
      <c r="O263" t="s">
        <v>4983</v>
      </c>
      <c r="P263" s="614">
        <f>COUNTIF(EducPlans_кодНАЦИД_Спец[аФакСец],EducPlans_кодНАЦИД_Спец[[#This Row],[аФакСец]])</f>
        <v>1</v>
      </c>
    </row>
    <row r="264" spans="3:16" x14ac:dyDescent="0.25">
      <c r="C264" s="614">
        <v>258</v>
      </c>
      <c r="D264" s="614">
        <v>12274</v>
      </c>
      <c r="E264" s="64" t="s">
        <v>2213</v>
      </c>
      <c r="F264" s="64" t="s">
        <v>4985</v>
      </c>
      <c r="G264" s="614" t="s">
        <v>31</v>
      </c>
      <c r="H264" s="614" t="s">
        <v>682</v>
      </c>
      <c r="I264" s="614" t="s">
        <v>1153</v>
      </c>
      <c r="J264" s="64" t="s">
        <v>2930</v>
      </c>
      <c r="K264" s="1940" t="s">
        <v>4986</v>
      </c>
      <c r="L264" s="1940" t="s">
        <v>8053</v>
      </c>
      <c r="M264" t="s">
        <v>11452</v>
      </c>
      <c r="N264" t="s">
        <v>9768</v>
      </c>
      <c r="O264" t="s">
        <v>4985</v>
      </c>
      <c r="P264" s="614">
        <f>COUNTIF(EducPlans_кодНАЦИД_Спец[аФакСец],EducPlans_кодНАЦИД_Спец[[#This Row],[аФакСец]])</f>
        <v>1</v>
      </c>
    </row>
    <row r="265" spans="3:16" x14ac:dyDescent="0.25">
      <c r="C265" s="614">
        <v>259</v>
      </c>
      <c r="D265" s="614">
        <v>12274</v>
      </c>
      <c r="E265" s="64" t="s">
        <v>2213</v>
      </c>
      <c r="F265" s="64" t="s">
        <v>4987</v>
      </c>
      <c r="G265" s="614" t="s">
        <v>31</v>
      </c>
      <c r="H265" s="614" t="s">
        <v>682</v>
      </c>
      <c r="I265" s="614" t="s">
        <v>1153</v>
      </c>
      <c r="J265" s="64" t="s">
        <v>2929</v>
      </c>
      <c r="K265" s="1940" t="s">
        <v>4986</v>
      </c>
      <c r="L265" s="1940" t="s">
        <v>8054</v>
      </c>
      <c r="M265" t="s">
        <v>11453</v>
      </c>
      <c r="N265" t="s">
        <v>9769</v>
      </c>
      <c r="O265" t="s">
        <v>4987</v>
      </c>
      <c r="P265" s="614">
        <f>COUNTIF(EducPlans_кодНАЦИД_Спец[аФакСец],EducPlans_кодНАЦИД_Спец[[#This Row],[аФакСец]])</f>
        <v>1</v>
      </c>
    </row>
    <row r="266" spans="3:16" x14ac:dyDescent="0.25">
      <c r="C266" s="614">
        <v>260</v>
      </c>
      <c r="D266" s="614">
        <v>12286</v>
      </c>
      <c r="E266" s="64" t="s">
        <v>2214</v>
      </c>
      <c r="F266" s="64" t="s">
        <v>4988</v>
      </c>
      <c r="G266" s="614" t="s">
        <v>31</v>
      </c>
      <c r="H266" s="614" t="s">
        <v>682</v>
      </c>
      <c r="I266" s="614" t="s">
        <v>1153</v>
      </c>
      <c r="J266" s="64" t="s">
        <v>2932</v>
      </c>
      <c r="K266" s="1940" t="s">
        <v>4989</v>
      </c>
      <c r="L266" s="1940" t="s">
        <v>8055</v>
      </c>
      <c r="M266" t="s">
        <v>11454</v>
      </c>
      <c r="N266" t="s">
        <v>9770</v>
      </c>
      <c r="O266" t="s">
        <v>4988</v>
      </c>
      <c r="P266" s="614">
        <f>COUNTIF(EducPlans_кодНАЦИД_Спец[аФакСец],EducPlans_кодНАЦИД_Спец[[#This Row],[аФакСец]])</f>
        <v>1</v>
      </c>
    </row>
    <row r="267" spans="3:16" x14ac:dyDescent="0.25">
      <c r="C267" s="614">
        <v>261</v>
      </c>
      <c r="D267" s="614">
        <v>281063</v>
      </c>
      <c r="E267" s="64" t="s">
        <v>2214</v>
      </c>
      <c r="F267" s="64" t="s">
        <v>4990</v>
      </c>
      <c r="G267" s="614" t="s">
        <v>31</v>
      </c>
      <c r="H267" s="614" t="s">
        <v>682</v>
      </c>
      <c r="I267" s="614" t="s">
        <v>1149</v>
      </c>
      <c r="J267" s="64" t="s">
        <v>2931</v>
      </c>
      <c r="K267" s="1940" t="s">
        <v>4991</v>
      </c>
      <c r="L267" s="1940" t="s">
        <v>8056</v>
      </c>
      <c r="M267" t="s">
        <v>11455</v>
      </c>
      <c r="N267" t="s">
        <v>9771</v>
      </c>
      <c r="O267" t="s">
        <v>4990</v>
      </c>
      <c r="P267" s="614">
        <f>COUNTIF(EducPlans_кодНАЦИД_Спец[аФакСец],EducPlans_кодНАЦИД_Спец[[#This Row],[аФакСец]])</f>
        <v>1</v>
      </c>
    </row>
    <row r="268" spans="3:16" x14ac:dyDescent="0.25">
      <c r="C268" s="614">
        <v>262</v>
      </c>
      <c r="D268" s="614">
        <v>66485</v>
      </c>
      <c r="E268" s="64" t="s">
        <v>2215</v>
      </c>
      <c r="F268" s="64" t="s">
        <v>4992</v>
      </c>
      <c r="G268" s="614" t="s">
        <v>31</v>
      </c>
      <c r="H268" s="614" t="s">
        <v>682</v>
      </c>
      <c r="I268" s="614" t="s">
        <v>1153</v>
      </c>
      <c r="J268" s="64" t="s">
        <v>2933</v>
      </c>
      <c r="K268" s="1940" t="s">
        <v>4993</v>
      </c>
      <c r="L268" s="1940" t="s">
        <v>8057</v>
      </c>
      <c r="M268" t="s">
        <v>11456</v>
      </c>
      <c r="N268" t="s">
        <v>9772</v>
      </c>
      <c r="O268" t="s">
        <v>4992</v>
      </c>
      <c r="P268" s="614">
        <f>COUNTIF(EducPlans_кодНАЦИД_Спец[аФакСец],EducPlans_кодНАЦИД_Спец[[#This Row],[аФакСец]])</f>
        <v>1</v>
      </c>
    </row>
    <row r="269" spans="3:16" x14ac:dyDescent="0.25">
      <c r="C269" s="614">
        <v>263</v>
      </c>
      <c r="D269" s="614">
        <v>66485</v>
      </c>
      <c r="E269" s="64" t="s">
        <v>2215</v>
      </c>
      <c r="F269" s="64" t="s">
        <v>4994</v>
      </c>
      <c r="G269" s="614" t="s">
        <v>31</v>
      </c>
      <c r="H269" s="614" t="s">
        <v>682</v>
      </c>
      <c r="I269" s="614" t="s">
        <v>1153</v>
      </c>
      <c r="J269" s="64" t="s">
        <v>2934</v>
      </c>
      <c r="K269" s="1940" t="s">
        <v>4993</v>
      </c>
      <c r="L269" s="1940" t="s">
        <v>8058</v>
      </c>
      <c r="M269" t="s">
        <v>11457</v>
      </c>
      <c r="N269" t="s">
        <v>9773</v>
      </c>
      <c r="O269" t="s">
        <v>4994</v>
      </c>
      <c r="P269" s="614">
        <f>COUNTIF(EducPlans_кодНАЦИД_Спец[аФакСец],EducPlans_кодНАЦИД_Спец[[#This Row],[аФакСец]])</f>
        <v>1</v>
      </c>
    </row>
    <row r="270" spans="3:16" x14ac:dyDescent="0.25">
      <c r="C270" s="614">
        <v>264</v>
      </c>
      <c r="D270" s="614">
        <v>12288</v>
      </c>
      <c r="E270" s="64" t="s">
        <v>2216</v>
      </c>
      <c r="F270" s="64" t="s">
        <v>4995</v>
      </c>
      <c r="G270" s="614" t="s">
        <v>31</v>
      </c>
      <c r="H270" s="614" t="s">
        <v>682</v>
      </c>
      <c r="I270" s="614" t="s">
        <v>1153</v>
      </c>
      <c r="J270" s="64" t="s">
        <v>2935</v>
      </c>
      <c r="K270" s="1940" t="s">
        <v>4996</v>
      </c>
      <c r="L270" s="1940" t="s">
        <v>8059</v>
      </c>
      <c r="M270" t="s">
        <v>11458</v>
      </c>
      <c r="N270" t="s">
        <v>9774</v>
      </c>
      <c r="O270" t="s">
        <v>4995</v>
      </c>
      <c r="P270" s="614">
        <f>COUNTIF(EducPlans_кодНАЦИД_Спец[аФакСец],EducPlans_кодНАЦИД_Спец[[#This Row],[аФакСец]])</f>
        <v>1</v>
      </c>
    </row>
    <row r="271" spans="3:16" x14ac:dyDescent="0.25">
      <c r="C271" s="614">
        <v>265</v>
      </c>
      <c r="D271" s="614">
        <v>12208</v>
      </c>
      <c r="E271" s="64" t="s">
        <v>2217</v>
      </c>
      <c r="F271" s="64" t="s">
        <v>4997</v>
      </c>
      <c r="G271" s="614" t="s">
        <v>31</v>
      </c>
      <c r="H271" s="614" t="s">
        <v>682</v>
      </c>
      <c r="I271" s="614" t="s">
        <v>1153</v>
      </c>
      <c r="J271" s="64" t="s">
        <v>2937</v>
      </c>
      <c r="K271" s="1940" t="s">
        <v>4998</v>
      </c>
      <c r="L271" s="1940" t="s">
        <v>8060</v>
      </c>
      <c r="M271" t="s">
        <v>11459</v>
      </c>
      <c r="N271" t="s">
        <v>9775</v>
      </c>
      <c r="O271" t="s">
        <v>4997</v>
      </c>
      <c r="P271" s="614">
        <f>COUNTIF(EducPlans_кодНАЦИД_Спец[аФакСец],EducPlans_кодНАЦИД_Спец[[#This Row],[аФакСец]])</f>
        <v>1</v>
      </c>
    </row>
    <row r="272" spans="3:16" x14ac:dyDescent="0.25">
      <c r="C272" s="614">
        <v>266</v>
      </c>
      <c r="D272" s="614">
        <v>12208</v>
      </c>
      <c r="E272" s="64" t="s">
        <v>2217</v>
      </c>
      <c r="F272" s="64" t="s">
        <v>4999</v>
      </c>
      <c r="G272" s="614" t="s">
        <v>31</v>
      </c>
      <c r="H272" s="614" t="s">
        <v>682</v>
      </c>
      <c r="I272" s="614" t="s">
        <v>1153</v>
      </c>
      <c r="J272" s="64" t="s">
        <v>2936</v>
      </c>
      <c r="K272" s="1940" t="s">
        <v>4998</v>
      </c>
      <c r="L272" s="1940" t="s">
        <v>8061</v>
      </c>
      <c r="M272" t="s">
        <v>11460</v>
      </c>
      <c r="N272" t="s">
        <v>9776</v>
      </c>
      <c r="O272" t="s">
        <v>4999</v>
      </c>
      <c r="P272" s="614">
        <f>COUNTIF(EducPlans_кодНАЦИД_Спец[аФакСец],EducPlans_кодНАЦИД_Спец[[#This Row],[аФакСец]])</f>
        <v>1</v>
      </c>
    </row>
    <row r="273" spans="3:16" x14ac:dyDescent="0.25">
      <c r="C273" s="614">
        <v>267</v>
      </c>
      <c r="D273" s="614">
        <v>12298</v>
      </c>
      <c r="E273" s="64" t="s">
        <v>2399</v>
      </c>
      <c r="F273" s="64" t="s">
        <v>5000</v>
      </c>
      <c r="G273" s="614" t="s">
        <v>31</v>
      </c>
      <c r="H273" s="614" t="s">
        <v>682</v>
      </c>
      <c r="I273" s="614" t="s">
        <v>1153</v>
      </c>
      <c r="J273" s="64" t="s">
        <v>2939</v>
      </c>
      <c r="K273" s="1940" t="s">
        <v>5001</v>
      </c>
      <c r="L273" s="1940" t="s">
        <v>8062</v>
      </c>
      <c r="M273" t="s">
        <v>11461</v>
      </c>
      <c r="N273" t="s">
        <v>9777</v>
      </c>
      <c r="O273" t="s">
        <v>5000</v>
      </c>
      <c r="P273" s="614">
        <f>COUNTIF(EducPlans_кодНАЦИД_Спец[аФакСец],EducPlans_кодНАЦИД_Спец[[#This Row],[аФакСец]])</f>
        <v>1</v>
      </c>
    </row>
    <row r="274" spans="3:16" x14ac:dyDescent="0.25">
      <c r="C274" s="614">
        <v>268</v>
      </c>
      <c r="D274" s="614">
        <v>12299</v>
      </c>
      <c r="E274" s="64" t="s">
        <v>2399</v>
      </c>
      <c r="F274" s="64" t="s">
        <v>5002</v>
      </c>
      <c r="G274" s="614" t="s">
        <v>31</v>
      </c>
      <c r="H274" s="614" t="s">
        <v>682</v>
      </c>
      <c r="I274" s="614" t="s">
        <v>1149</v>
      </c>
      <c r="J274" s="64" t="s">
        <v>2938</v>
      </c>
      <c r="K274" s="1940" t="s">
        <v>5003</v>
      </c>
      <c r="L274" s="1940" t="s">
        <v>8063</v>
      </c>
      <c r="M274" t="s">
        <v>11462</v>
      </c>
      <c r="N274" t="s">
        <v>9778</v>
      </c>
      <c r="O274" t="s">
        <v>5002</v>
      </c>
      <c r="P274" s="614">
        <f>COUNTIF(EducPlans_кодНАЦИД_Спец[аФакСец],EducPlans_кодНАЦИД_Спец[[#This Row],[аФакСец]])</f>
        <v>1</v>
      </c>
    </row>
    <row r="275" spans="3:16" x14ac:dyDescent="0.25">
      <c r="C275" s="614">
        <v>269</v>
      </c>
      <c r="D275" s="614">
        <v>12306</v>
      </c>
      <c r="E275" s="64" t="s">
        <v>2400</v>
      </c>
      <c r="F275" s="64" t="s">
        <v>5004</v>
      </c>
      <c r="G275" s="614" t="s">
        <v>31</v>
      </c>
      <c r="H275" s="614" t="s">
        <v>682</v>
      </c>
      <c r="I275" s="614" t="s">
        <v>1153</v>
      </c>
      <c r="J275" s="64" t="s">
        <v>2940</v>
      </c>
      <c r="K275" s="1940" t="s">
        <v>5005</v>
      </c>
      <c r="L275" s="1940" t="s">
        <v>8064</v>
      </c>
      <c r="M275" t="s">
        <v>11463</v>
      </c>
      <c r="N275" t="s">
        <v>9779</v>
      </c>
      <c r="O275" t="s">
        <v>5004</v>
      </c>
      <c r="P275" s="614">
        <f>COUNTIF(EducPlans_кодНАЦИД_Спец[аФакСец],EducPlans_кодНАЦИД_Спец[[#This Row],[аФакСец]])</f>
        <v>1</v>
      </c>
    </row>
    <row r="276" spans="3:16" x14ac:dyDescent="0.25">
      <c r="C276" s="614">
        <v>270</v>
      </c>
      <c r="D276" s="614">
        <v>12331</v>
      </c>
      <c r="E276" s="64" t="s">
        <v>2243</v>
      </c>
      <c r="F276" s="64" t="s">
        <v>5006</v>
      </c>
      <c r="G276" s="614" t="s">
        <v>50</v>
      </c>
      <c r="H276" s="614" t="s">
        <v>681</v>
      </c>
      <c r="I276" s="614" t="s">
        <v>1153</v>
      </c>
      <c r="J276" s="64" t="s">
        <v>2979</v>
      </c>
      <c r="K276" s="1940" t="s">
        <v>5007</v>
      </c>
      <c r="L276" s="1940" t="s">
        <v>8065</v>
      </c>
      <c r="M276" t="s">
        <v>11464</v>
      </c>
      <c r="N276" t="s">
        <v>9780</v>
      </c>
      <c r="O276" t="s">
        <v>5006</v>
      </c>
      <c r="P276" s="614">
        <f>COUNTIF(EducPlans_кодНАЦИД_Спец[аФакСец],EducPlans_кодНАЦИД_Спец[[#This Row],[аФакСец]])</f>
        <v>1</v>
      </c>
    </row>
    <row r="277" spans="3:16" x14ac:dyDescent="0.25">
      <c r="C277" s="614">
        <v>271</v>
      </c>
      <c r="D277" s="614">
        <v>12333</v>
      </c>
      <c r="E277" s="64" t="s">
        <v>2243</v>
      </c>
      <c r="F277" s="64" t="s">
        <v>5008</v>
      </c>
      <c r="G277" s="614" t="s">
        <v>50</v>
      </c>
      <c r="H277" s="614" t="s">
        <v>681</v>
      </c>
      <c r="I277" s="614" t="s">
        <v>1149</v>
      </c>
      <c r="J277" s="64" t="s">
        <v>2978</v>
      </c>
      <c r="K277" s="1940" t="s">
        <v>5009</v>
      </c>
      <c r="L277" s="1940" t="s">
        <v>8066</v>
      </c>
      <c r="M277" t="s">
        <v>11465</v>
      </c>
      <c r="N277" t="s">
        <v>9781</v>
      </c>
      <c r="O277" t="s">
        <v>5008</v>
      </c>
      <c r="P277" s="614">
        <f>COUNTIF(EducPlans_кодНАЦИД_Спец[аФакСец],EducPlans_кодНАЦИД_Спец[[#This Row],[аФакСец]])</f>
        <v>1</v>
      </c>
    </row>
    <row r="278" spans="3:16" x14ac:dyDescent="0.25">
      <c r="C278" s="614">
        <v>272</v>
      </c>
      <c r="D278" s="614">
        <v>12336</v>
      </c>
      <c r="E278" s="64" t="s">
        <v>2244</v>
      </c>
      <c r="F278" s="64" t="s">
        <v>5010</v>
      </c>
      <c r="G278" s="614" t="s">
        <v>50</v>
      </c>
      <c r="H278" s="614" t="s">
        <v>682</v>
      </c>
      <c r="I278" s="614" t="s">
        <v>1153</v>
      </c>
      <c r="J278" s="64" t="s">
        <v>5011</v>
      </c>
      <c r="K278" s="1940" t="s">
        <v>5012</v>
      </c>
      <c r="L278" s="1940" t="s">
        <v>8067</v>
      </c>
      <c r="M278" t="s">
        <v>11466</v>
      </c>
      <c r="N278" t="s">
        <v>9782</v>
      </c>
      <c r="O278" t="s">
        <v>5010</v>
      </c>
      <c r="P278" s="614">
        <f>COUNTIF(EducPlans_кодНАЦИД_Спец[аФакСец],EducPlans_кодНАЦИД_Спец[[#This Row],[аФакСец]])</f>
        <v>1</v>
      </c>
    </row>
    <row r="279" spans="3:16" x14ac:dyDescent="0.25">
      <c r="C279" s="614">
        <v>273</v>
      </c>
      <c r="D279" s="614">
        <v>12311</v>
      </c>
      <c r="E279" s="64" t="s">
        <v>1282</v>
      </c>
      <c r="F279" s="64" t="s">
        <v>5013</v>
      </c>
      <c r="G279" s="614" t="s">
        <v>50</v>
      </c>
      <c r="H279" s="614" t="s">
        <v>681</v>
      </c>
      <c r="I279" s="614" t="s">
        <v>1153</v>
      </c>
      <c r="J279" s="64" t="s">
        <v>2980</v>
      </c>
      <c r="K279" s="1940" t="s">
        <v>5014</v>
      </c>
      <c r="L279" s="1940" t="s">
        <v>8068</v>
      </c>
      <c r="M279" t="s">
        <v>11467</v>
      </c>
      <c r="N279" t="s">
        <v>9783</v>
      </c>
      <c r="O279" t="s">
        <v>5013</v>
      </c>
      <c r="P279" s="614">
        <f>COUNTIF(EducPlans_кодНАЦИД_Спец[аФакСец],EducPlans_кодНАЦИД_Спец[[#This Row],[аФакСец]])</f>
        <v>1</v>
      </c>
    </row>
    <row r="280" spans="3:16" x14ac:dyDescent="0.25">
      <c r="C280" s="614">
        <v>274</v>
      </c>
      <c r="D280" s="614">
        <v>12149</v>
      </c>
      <c r="E280" s="64" t="s">
        <v>1283</v>
      </c>
      <c r="F280" s="64" t="s">
        <v>5015</v>
      </c>
      <c r="G280" s="614" t="s">
        <v>31</v>
      </c>
      <c r="H280" s="614" t="s">
        <v>681</v>
      </c>
      <c r="I280" s="614" t="s">
        <v>1153</v>
      </c>
      <c r="J280" s="64" t="s">
        <v>2941</v>
      </c>
      <c r="K280" s="1940" t="s">
        <v>5016</v>
      </c>
      <c r="L280" s="1940" t="s">
        <v>8069</v>
      </c>
      <c r="M280" t="s">
        <v>11468</v>
      </c>
      <c r="N280" t="s">
        <v>9784</v>
      </c>
      <c r="O280" t="s">
        <v>5015</v>
      </c>
      <c r="P280" s="614">
        <f>COUNTIF(EducPlans_кодНАЦИД_Спец[аФакСец],EducPlans_кодНАЦИД_Спец[[#This Row],[аФакСец]])</f>
        <v>1</v>
      </c>
    </row>
    <row r="281" spans="3:16" x14ac:dyDescent="0.25">
      <c r="C281" s="614">
        <v>275</v>
      </c>
      <c r="D281" s="614">
        <v>12151</v>
      </c>
      <c r="E281" s="64" t="s">
        <v>1283</v>
      </c>
      <c r="F281" s="64" t="s">
        <v>5017</v>
      </c>
      <c r="G281" s="614" t="s">
        <v>31</v>
      </c>
      <c r="H281" s="614" t="s">
        <v>681</v>
      </c>
      <c r="I281" s="614" t="s">
        <v>1149</v>
      </c>
      <c r="J281" s="64" t="s">
        <v>5018</v>
      </c>
      <c r="K281" s="1940" t="s">
        <v>5019</v>
      </c>
      <c r="L281" s="1940" t="s">
        <v>8070</v>
      </c>
      <c r="M281" t="s">
        <v>11469</v>
      </c>
      <c r="N281" t="s">
        <v>9785</v>
      </c>
      <c r="O281" t="s">
        <v>5017</v>
      </c>
      <c r="P281" s="614">
        <f>COUNTIF(EducPlans_кодНАЦИД_Спец[аФакСец],EducPlans_кодНАЦИД_Спец[[#This Row],[аФакСец]])</f>
        <v>1</v>
      </c>
    </row>
    <row r="282" spans="3:16" x14ac:dyDescent="0.25">
      <c r="C282" s="614">
        <v>276</v>
      </c>
      <c r="D282" s="614">
        <v>12415</v>
      </c>
      <c r="E282" s="64" t="s">
        <v>2245</v>
      </c>
      <c r="F282" s="64" t="s">
        <v>5020</v>
      </c>
      <c r="G282" s="614" t="s">
        <v>50</v>
      </c>
      <c r="H282" s="614" t="s">
        <v>682</v>
      </c>
      <c r="I282" s="614" t="s">
        <v>1153</v>
      </c>
      <c r="J282" s="64" t="s">
        <v>5021</v>
      </c>
      <c r="K282" s="1940" t="s">
        <v>5022</v>
      </c>
      <c r="L282" s="1940" t="s">
        <v>8071</v>
      </c>
      <c r="M282" t="s">
        <v>11470</v>
      </c>
      <c r="N282" t="s">
        <v>9786</v>
      </c>
      <c r="O282" t="s">
        <v>5020</v>
      </c>
      <c r="P282" s="614">
        <f>COUNTIF(EducPlans_кодНАЦИД_Спец[аФакСец],EducPlans_кодНАЦИД_Спец[[#This Row],[аФакСец]])</f>
        <v>1</v>
      </c>
    </row>
    <row r="283" spans="3:16" x14ac:dyDescent="0.25">
      <c r="C283" s="614">
        <v>277</v>
      </c>
      <c r="D283" s="614">
        <v>12416</v>
      </c>
      <c r="E283" s="64" t="s">
        <v>2245</v>
      </c>
      <c r="F283" s="64" t="s">
        <v>5023</v>
      </c>
      <c r="G283" s="614" t="s">
        <v>50</v>
      </c>
      <c r="H283" s="614" t="s">
        <v>682</v>
      </c>
      <c r="I283" s="614" t="s">
        <v>1149</v>
      </c>
      <c r="J283" s="64" t="s">
        <v>5024</v>
      </c>
      <c r="K283" s="1940" t="s">
        <v>5025</v>
      </c>
      <c r="L283" s="1940" t="s">
        <v>8072</v>
      </c>
      <c r="M283" t="s">
        <v>11471</v>
      </c>
      <c r="N283" t="s">
        <v>9787</v>
      </c>
      <c r="O283" t="s">
        <v>5023</v>
      </c>
      <c r="P283" s="614">
        <f>COUNTIF(EducPlans_кодНАЦИД_Спец[аФакСец],EducPlans_кодНАЦИД_Спец[[#This Row],[аФакСец]])</f>
        <v>1</v>
      </c>
    </row>
    <row r="284" spans="3:16" x14ac:dyDescent="0.25">
      <c r="C284" s="614">
        <v>278</v>
      </c>
      <c r="D284" s="614">
        <v>12443</v>
      </c>
      <c r="E284" s="64" t="s">
        <v>2247</v>
      </c>
      <c r="F284" s="64" t="s">
        <v>5026</v>
      </c>
      <c r="G284" s="614" t="s">
        <v>50</v>
      </c>
      <c r="H284" s="614" t="s">
        <v>682</v>
      </c>
      <c r="I284" s="614" t="s">
        <v>1153</v>
      </c>
      <c r="J284" s="64" t="s">
        <v>2982</v>
      </c>
      <c r="K284" s="1940" t="s">
        <v>5027</v>
      </c>
      <c r="L284" s="1940" t="s">
        <v>8073</v>
      </c>
      <c r="M284" t="s">
        <v>11472</v>
      </c>
      <c r="N284" t="s">
        <v>9788</v>
      </c>
      <c r="O284" t="s">
        <v>5026</v>
      </c>
      <c r="P284" s="614">
        <f>COUNTIF(EducPlans_кодНАЦИД_Спец[аФакСец],EducPlans_кодНАЦИД_Спец[[#This Row],[аФакСец]])</f>
        <v>1</v>
      </c>
    </row>
    <row r="285" spans="3:16" x14ac:dyDescent="0.25">
      <c r="C285" s="614">
        <v>279</v>
      </c>
      <c r="D285" s="614">
        <v>12445</v>
      </c>
      <c r="E285" s="64" t="s">
        <v>2247</v>
      </c>
      <c r="F285" s="64" t="s">
        <v>5028</v>
      </c>
      <c r="G285" s="614" t="s">
        <v>50</v>
      </c>
      <c r="H285" s="614" t="s">
        <v>682</v>
      </c>
      <c r="I285" s="614" t="s">
        <v>1149</v>
      </c>
      <c r="J285" s="64" t="s">
        <v>2981</v>
      </c>
      <c r="K285" s="1940" t="s">
        <v>5029</v>
      </c>
      <c r="L285" s="1940" t="s">
        <v>8074</v>
      </c>
      <c r="M285" t="s">
        <v>11473</v>
      </c>
      <c r="N285" t="s">
        <v>9789</v>
      </c>
      <c r="O285" t="s">
        <v>5028</v>
      </c>
      <c r="P285" s="614">
        <f>COUNTIF(EducPlans_кодНАЦИД_Спец[аФакСец],EducPlans_кодНАЦИД_Спец[[#This Row],[аФакСец]])</f>
        <v>1</v>
      </c>
    </row>
    <row r="286" spans="3:16" x14ac:dyDescent="0.25">
      <c r="C286" s="614">
        <v>280</v>
      </c>
      <c r="D286" s="614">
        <v>12446</v>
      </c>
      <c r="E286" s="64" t="s">
        <v>2248</v>
      </c>
      <c r="F286" s="64" t="s">
        <v>5030</v>
      </c>
      <c r="G286" s="614" t="s">
        <v>50</v>
      </c>
      <c r="H286" s="614" t="s">
        <v>682</v>
      </c>
      <c r="I286" s="614" t="s">
        <v>1153</v>
      </c>
      <c r="J286" s="64" t="s">
        <v>2986</v>
      </c>
      <c r="K286" s="1940" t="s">
        <v>5031</v>
      </c>
      <c r="L286" s="1940" t="s">
        <v>8075</v>
      </c>
      <c r="M286" t="s">
        <v>11474</v>
      </c>
      <c r="N286" t="s">
        <v>9790</v>
      </c>
      <c r="O286" t="s">
        <v>5030</v>
      </c>
      <c r="P286" s="614">
        <f>COUNTIF(EducPlans_кодНАЦИД_Спец[аФакСец],EducPlans_кодНАЦИД_Спец[[#This Row],[аФакСец]])</f>
        <v>1</v>
      </c>
    </row>
    <row r="287" spans="3:16" x14ac:dyDescent="0.25">
      <c r="C287" s="614">
        <v>281</v>
      </c>
      <c r="D287" s="614">
        <v>12446</v>
      </c>
      <c r="E287" s="64" t="s">
        <v>2248</v>
      </c>
      <c r="F287" s="64" t="s">
        <v>5032</v>
      </c>
      <c r="G287" s="614" t="s">
        <v>50</v>
      </c>
      <c r="H287" s="614" t="s">
        <v>682</v>
      </c>
      <c r="I287" s="614" t="s">
        <v>1153</v>
      </c>
      <c r="J287" s="64" t="s">
        <v>2985</v>
      </c>
      <c r="K287" s="1940" t="s">
        <v>5031</v>
      </c>
      <c r="L287" s="1940" t="s">
        <v>8076</v>
      </c>
      <c r="M287" t="s">
        <v>11475</v>
      </c>
      <c r="N287" t="s">
        <v>9791</v>
      </c>
      <c r="O287" t="s">
        <v>5032</v>
      </c>
      <c r="P287" s="614">
        <f>COUNTIF(EducPlans_кодНАЦИД_Спец[аФакСец],EducPlans_кодНАЦИД_Спец[[#This Row],[аФакСец]])</f>
        <v>1</v>
      </c>
    </row>
    <row r="288" spans="3:16" x14ac:dyDescent="0.25">
      <c r="C288" s="614">
        <v>282</v>
      </c>
      <c r="D288" s="614">
        <v>12448</v>
      </c>
      <c r="E288" s="64" t="s">
        <v>2248</v>
      </c>
      <c r="F288" s="64" t="s">
        <v>5033</v>
      </c>
      <c r="G288" s="614" t="s">
        <v>50</v>
      </c>
      <c r="H288" s="614" t="s">
        <v>682</v>
      </c>
      <c r="I288" s="614" t="s">
        <v>1149</v>
      </c>
      <c r="J288" s="64" t="s">
        <v>2983</v>
      </c>
      <c r="K288" s="1940" t="s">
        <v>5034</v>
      </c>
      <c r="L288" s="1940" t="s">
        <v>8077</v>
      </c>
      <c r="M288" t="s">
        <v>11476</v>
      </c>
      <c r="N288" t="s">
        <v>9792</v>
      </c>
      <c r="O288" t="s">
        <v>5033</v>
      </c>
      <c r="P288" s="614">
        <f>COUNTIF(EducPlans_кодНАЦИД_Спец[аФакСец],EducPlans_кодНАЦИД_Спец[[#This Row],[аФакСец]])</f>
        <v>1</v>
      </c>
    </row>
    <row r="289" spans="3:16" x14ac:dyDescent="0.25">
      <c r="C289" s="614">
        <v>283</v>
      </c>
      <c r="D289" s="614">
        <v>12448</v>
      </c>
      <c r="E289" s="64" t="s">
        <v>2248</v>
      </c>
      <c r="F289" s="64" t="s">
        <v>5035</v>
      </c>
      <c r="G289" s="614" t="s">
        <v>50</v>
      </c>
      <c r="H289" s="614" t="s">
        <v>682</v>
      </c>
      <c r="I289" s="614" t="s">
        <v>1149</v>
      </c>
      <c r="J289" s="64" t="s">
        <v>2984</v>
      </c>
      <c r="K289" s="1940" t="s">
        <v>5034</v>
      </c>
      <c r="L289" s="1940" t="s">
        <v>8078</v>
      </c>
      <c r="M289" t="s">
        <v>11477</v>
      </c>
      <c r="N289" t="s">
        <v>9793</v>
      </c>
      <c r="O289" t="s">
        <v>5035</v>
      </c>
      <c r="P289" s="614">
        <f>COUNTIF(EducPlans_кодНАЦИД_Спец[аФакСец],EducPlans_кодНАЦИД_Спец[[#This Row],[аФакСец]])</f>
        <v>1</v>
      </c>
    </row>
    <row r="290" spans="3:16" x14ac:dyDescent="0.25">
      <c r="C290" s="614">
        <v>284</v>
      </c>
      <c r="D290" s="614">
        <v>12418</v>
      </c>
      <c r="E290" s="64" t="s">
        <v>2249</v>
      </c>
      <c r="F290" s="64" t="s">
        <v>5036</v>
      </c>
      <c r="G290" s="614" t="s">
        <v>50</v>
      </c>
      <c r="H290" s="614" t="s">
        <v>682</v>
      </c>
      <c r="I290" s="614" t="s">
        <v>1153</v>
      </c>
      <c r="J290" s="64" t="s">
        <v>2987</v>
      </c>
      <c r="K290" s="1940" t="s">
        <v>5037</v>
      </c>
      <c r="L290" s="1940" t="s">
        <v>8079</v>
      </c>
      <c r="M290" t="s">
        <v>11478</v>
      </c>
      <c r="N290" t="s">
        <v>9794</v>
      </c>
      <c r="O290" t="s">
        <v>5036</v>
      </c>
      <c r="P290" s="614">
        <f>COUNTIF(EducPlans_кодНАЦИД_Спец[аФакСец],EducPlans_кодНАЦИД_Спец[[#This Row],[аФакСец]])</f>
        <v>1</v>
      </c>
    </row>
    <row r="291" spans="3:16" x14ac:dyDescent="0.25">
      <c r="C291" s="614">
        <v>285</v>
      </c>
      <c r="D291" s="614">
        <v>12419</v>
      </c>
      <c r="E291" s="64" t="s">
        <v>2249</v>
      </c>
      <c r="F291" s="64" t="s">
        <v>5038</v>
      </c>
      <c r="G291" s="614" t="s">
        <v>50</v>
      </c>
      <c r="H291" s="614" t="s">
        <v>682</v>
      </c>
      <c r="I291" s="614" t="s">
        <v>1149</v>
      </c>
      <c r="J291" s="64" t="s">
        <v>5039</v>
      </c>
      <c r="K291" s="1940" t="s">
        <v>5040</v>
      </c>
      <c r="L291" s="1940" t="s">
        <v>8080</v>
      </c>
      <c r="M291" t="s">
        <v>11479</v>
      </c>
      <c r="N291" t="s">
        <v>9795</v>
      </c>
      <c r="O291" t="s">
        <v>5038</v>
      </c>
      <c r="P291" s="614">
        <f>COUNTIF(EducPlans_кодНАЦИД_Спец[аФакСец],EducPlans_кодНАЦИД_Спец[[#This Row],[аФакСец]])</f>
        <v>1</v>
      </c>
    </row>
    <row r="292" spans="3:16" x14ac:dyDescent="0.25">
      <c r="C292" s="614">
        <v>286</v>
      </c>
      <c r="D292" s="614">
        <v>12419</v>
      </c>
      <c r="E292" s="64" t="s">
        <v>2249</v>
      </c>
      <c r="F292" s="64" t="s">
        <v>5041</v>
      </c>
      <c r="G292" s="614" t="s">
        <v>50</v>
      </c>
      <c r="H292" s="614" t="s">
        <v>682</v>
      </c>
      <c r="I292" s="614" t="s">
        <v>1149</v>
      </c>
      <c r="J292" s="64" t="s">
        <v>5042</v>
      </c>
      <c r="K292" s="1940" t="s">
        <v>5040</v>
      </c>
      <c r="L292" s="1940" t="s">
        <v>8081</v>
      </c>
      <c r="M292" t="s">
        <v>11480</v>
      </c>
      <c r="N292" t="s">
        <v>9796</v>
      </c>
      <c r="O292" t="s">
        <v>5041</v>
      </c>
      <c r="P292" s="614">
        <f>COUNTIF(EducPlans_кодНАЦИД_Спец[аФакСец],EducPlans_кодНАЦИД_Спец[[#This Row],[аФакСец]])</f>
        <v>1</v>
      </c>
    </row>
    <row r="293" spans="3:16" x14ac:dyDescent="0.25">
      <c r="C293" s="614">
        <v>287</v>
      </c>
      <c r="D293" s="614">
        <v>12335</v>
      </c>
      <c r="E293" s="64" t="s">
        <v>2250</v>
      </c>
      <c r="F293" s="64" t="s">
        <v>5043</v>
      </c>
      <c r="G293" s="614" t="s">
        <v>50</v>
      </c>
      <c r="H293" s="614" t="s">
        <v>681</v>
      </c>
      <c r="I293" s="614" t="s">
        <v>1153</v>
      </c>
      <c r="J293" s="64" t="s">
        <v>2988</v>
      </c>
      <c r="K293" s="1940" t="s">
        <v>5044</v>
      </c>
      <c r="L293" s="1940" t="s">
        <v>8082</v>
      </c>
      <c r="M293" t="s">
        <v>11481</v>
      </c>
      <c r="N293" t="s">
        <v>9797</v>
      </c>
      <c r="O293" t="s">
        <v>5043</v>
      </c>
      <c r="P293" s="614">
        <f>COUNTIF(EducPlans_кодНАЦИД_Спец[аФакСец],EducPlans_кодНАЦИД_Спец[[#This Row],[аФакСец]])</f>
        <v>1</v>
      </c>
    </row>
    <row r="294" spans="3:16" x14ac:dyDescent="0.25">
      <c r="C294" s="614">
        <v>288</v>
      </c>
      <c r="D294" s="614">
        <v>12469</v>
      </c>
      <c r="E294" s="64" t="s">
        <v>2252</v>
      </c>
      <c r="F294" s="64" t="s">
        <v>5045</v>
      </c>
      <c r="G294" s="614" t="s">
        <v>50</v>
      </c>
      <c r="H294" s="614" t="s">
        <v>682</v>
      </c>
      <c r="I294" s="614" t="s">
        <v>1153</v>
      </c>
      <c r="J294" s="64" t="s">
        <v>2989</v>
      </c>
      <c r="K294" s="1940" t="s">
        <v>5046</v>
      </c>
      <c r="L294" s="1940" t="s">
        <v>8083</v>
      </c>
      <c r="M294" t="s">
        <v>11482</v>
      </c>
      <c r="N294" t="s">
        <v>9798</v>
      </c>
      <c r="O294" t="s">
        <v>5045</v>
      </c>
      <c r="P294" s="614">
        <f>COUNTIF(EducPlans_кодНАЦИД_Спец[аФакСец],EducPlans_кодНАЦИД_Спец[[#This Row],[аФакСец]])</f>
        <v>1</v>
      </c>
    </row>
    <row r="295" spans="3:16" x14ac:dyDescent="0.25">
      <c r="C295" s="614">
        <v>289</v>
      </c>
      <c r="D295" s="614">
        <v>214501</v>
      </c>
      <c r="E295" s="64" t="s">
        <v>2253</v>
      </c>
      <c r="F295" s="64" t="s">
        <v>5047</v>
      </c>
      <c r="G295" s="614" t="s">
        <v>50</v>
      </c>
      <c r="H295" s="614" t="s">
        <v>681</v>
      </c>
      <c r="I295" s="614" t="s">
        <v>1153</v>
      </c>
      <c r="J295" s="64" t="s">
        <v>2990</v>
      </c>
      <c r="K295" s="1940" t="s">
        <v>5048</v>
      </c>
      <c r="L295" s="1940" t="s">
        <v>8084</v>
      </c>
      <c r="M295" t="s">
        <v>11483</v>
      </c>
      <c r="N295" t="s">
        <v>9799</v>
      </c>
      <c r="O295" t="s">
        <v>5047</v>
      </c>
      <c r="P295" s="614">
        <f>COUNTIF(EducPlans_кодНАЦИД_Спец[аФакСец],EducPlans_кодНАЦИД_Спец[[#This Row],[аФакСец]])</f>
        <v>1</v>
      </c>
    </row>
    <row r="296" spans="3:16" x14ac:dyDescent="0.25">
      <c r="C296" s="614">
        <v>290</v>
      </c>
      <c r="D296" s="614">
        <v>12420</v>
      </c>
      <c r="E296" s="64" t="s">
        <v>2254</v>
      </c>
      <c r="F296" s="64" t="s">
        <v>5049</v>
      </c>
      <c r="G296" s="614" t="s">
        <v>50</v>
      </c>
      <c r="H296" s="614" t="s">
        <v>682</v>
      </c>
      <c r="I296" s="614" t="s">
        <v>1153</v>
      </c>
      <c r="J296" s="64" t="s">
        <v>5050</v>
      </c>
      <c r="K296" s="1940" t="s">
        <v>5051</v>
      </c>
      <c r="L296" s="1940" t="s">
        <v>8085</v>
      </c>
      <c r="M296" t="s">
        <v>11484</v>
      </c>
      <c r="N296" t="s">
        <v>9800</v>
      </c>
      <c r="O296" t="s">
        <v>5049</v>
      </c>
      <c r="P296" s="614">
        <f>COUNTIF(EducPlans_кодНАЦИД_Спец[аФакСец],EducPlans_кодНАЦИД_Спец[[#This Row],[аФакСец]])</f>
        <v>1</v>
      </c>
    </row>
    <row r="297" spans="3:16" x14ac:dyDescent="0.25">
      <c r="C297" s="614">
        <v>291</v>
      </c>
      <c r="D297" s="614">
        <v>12458</v>
      </c>
      <c r="E297" s="64" t="s">
        <v>2254</v>
      </c>
      <c r="F297" s="64" t="s">
        <v>5052</v>
      </c>
      <c r="G297" s="614" t="s">
        <v>50</v>
      </c>
      <c r="H297" s="614" t="s">
        <v>682</v>
      </c>
      <c r="I297" s="614" t="s">
        <v>1153</v>
      </c>
      <c r="J297" s="64" t="s">
        <v>2994</v>
      </c>
      <c r="K297" s="1940" t="s">
        <v>5053</v>
      </c>
      <c r="L297" s="1940" t="s">
        <v>8086</v>
      </c>
      <c r="M297" t="s">
        <v>11485</v>
      </c>
      <c r="N297" t="s">
        <v>9801</v>
      </c>
      <c r="O297" t="s">
        <v>5052</v>
      </c>
      <c r="P297" s="614">
        <f>COUNTIF(EducPlans_кодНАЦИД_Спец[аФакСец],EducPlans_кодНАЦИД_Спец[[#This Row],[аФакСец]])</f>
        <v>1</v>
      </c>
    </row>
    <row r="298" spans="3:16" x14ac:dyDescent="0.25">
      <c r="C298" s="614">
        <v>292</v>
      </c>
      <c r="D298" s="614">
        <v>12421</v>
      </c>
      <c r="E298" s="64" t="s">
        <v>2254</v>
      </c>
      <c r="F298" s="64" t="s">
        <v>5054</v>
      </c>
      <c r="G298" s="614" t="s">
        <v>50</v>
      </c>
      <c r="H298" s="614" t="s">
        <v>682</v>
      </c>
      <c r="I298" s="614" t="s">
        <v>1149</v>
      </c>
      <c r="J298" s="64" t="s">
        <v>2991</v>
      </c>
      <c r="K298" s="1940" t="s">
        <v>5055</v>
      </c>
      <c r="L298" s="1940" t="s">
        <v>8087</v>
      </c>
      <c r="M298" t="s">
        <v>11486</v>
      </c>
      <c r="N298" t="s">
        <v>9802</v>
      </c>
      <c r="O298" t="s">
        <v>5054</v>
      </c>
      <c r="P298" s="614">
        <f>COUNTIF(EducPlans_кодНАЦИД_Спец[аФакСец],EducPlans_кодНАЦИД_Спец[[#This Row],[аФакСец]])</f>
        <v>1</v>
      </c>
    </row>
    <row r="299" spans="3:16" x14ac:dyDescent="0.25">
      <c r="C299" s="614">
        <v>293</v>
      </c>
      <c r="D299" s="614">
        <v>12421</v>
      </c>
      <c r="E299" s="64" t="s">
        <v>2254</v>
      </c>
      <c r="F299" s="64" t="s">
        <v>5056</v>
      </c>
      <c r="G299" s="614" t="s">
        <v>50</v>
      </c>
      <c r="H299" s="614" t="s">
        <v>682</v>
      </c>
      <c r="I299" s="614" t="s">
        <v>1149</v>
      </c>
      <c r="J299" s="64" t="s">
        <v>2993</v>
      </c>
      <c r="K299" s="1940" t="s">
        <v>5055</v>
      </c>
      <c r="L299" s="1940" t="s">
        <v>8088</v>
      </c>
      <c r="M299" t="s">
        <v>11487</v>
      </c>
      <c r="N299" t="s">
        <v>9803</v>
      </c>
      <c r="O299" t="s">
        <v>5056</v>
      </c>
      <c r="P299" s="614">
        <f>COUNTIF(EducPlans_кодНАЦИД_Спец[аФакСец],EducPlans_кодНАЦИД_Спец[[#This Row],[аФакСец]])</f>
        <v>1</v>
      </c>
    </row>
    <row r="300" spans="3:16" x14ac:dyDescent="0.25">
      <c r="C300" s="614">
        <v>294</v>
      </c>
      <c r="D300" s="614">
        <v>12464</v>
      </c>
      <c r="E300" s="64" t="s">
        <v>2256</v>
      </c>
      <c r="F300" s="64" t="s">
        <v>13243</v>
      </c>
      <c r="G300" s="614" t="s">
        <v>50</v>
      </c>
      <c r="H300" s="614" t="s">
        <v>682</v>
      </c>
      <c r="I300" s="614" t="s">
        <v>1153</v>
      </c>
      <c r="J300" s="64" t="s">
        <v>13244</v>
      </c>
      <c r="K300" s="1940" t="s">
        <v>13245</v>
      </c>
      <c r="L300" s="1940" t="s">
        <v>13246</v>
      </c>
      <c r="M300" t="s">
        <v>13247</v>
      </c>
      <c r="N300" t="s">
        <v>13248</v>
      </c>
      <c r="O300" t="s">
        <v>13243</v>
      </c>
      <c r="P300" s="614">
        <f>COUNTIF(EducPlans_кодНАЦИД_Спец[аФакСец],EducPlans_кодНАЦИД_Спец[[#This Row],[аФакСец]])</f>
        <v>1</v>
      </c>
    </row>
    <row r="301" spans="3:16" x14ac:dyDescent="0.25">
      <c r="C301" s="614">
        <v>295</v>
      </c>
      <c r="D301" s="614">
        <v>12463</v>
      </c>
      <c r="E301" s="64" t="s">
        <v>2256</v>
      </c>
      <c r="F301" s="64" t="s">
        <v>5057</v>
      </c>
      <c r="G301" s="614" t="s">
        <v>50</v>
      </c>
      <c r="H301" s="614" t="s">
        <v>682</v>
      </c>
      <c r="I301" s="614" t="s">
        <v>1149</v>
      </c>
      <c r="J301" s="64" t="s">
        <v>2992</v>
      </c>
      <c r="K301" s="1940" t="s">
        <v>5058</v>
      </c>
      <c r="L301" s="1940" t="s">
        <v>8089</v>
      </c>
      <c r="M301" t="s">
        <v>11488</v>
      </c>
      <c r="N301" t="s">
        <v>9804</v>
      </c>
      <c r="O301" t="s">
        <v>5057</v>
      </c>
      <c r="P301" s="614">
        <f>COUNTIF(EducPlans_кодНАЦИД_Спец[аФакСец],EducPlans_кодНАЦИД_Спец[[#This Row],[аФакСец]])</f>
        <v>1</v>
      </c>
    </row>
    <row r="302" spans="3:16" x14ac:dyDescent="0.25">
      <c r="C302" s="614">
        <v>296</v>
      </c>
      <c r="D302" s="614">
        <v>12463</v>
      </c>
      <c r="E302" s="64" t="s">
        <v>2256</v>
      </c>
      <c r="F302" s="64" t="s">
        <v>5059</v>
      </c>
      <c r="G302" s="614" t="s">
        <v>50</v>
      </c>
      <c r="H302" s="614" t="s">
        <v>682</v>
      </c>
      <c r="I302" s="614" t="s">
        <v>1149</v>
      </c>
      <c r="J302" s="64" t="s">
        <v>2995</v>
      </c>
      <c r="K302" s="1940" t="s">
        <v>5058</v>
      </c>
      <c r="L302" s="1940" t="s">
        <v>8090</v>
      </c>
      <c r="M302" t="s">
        <v>11489</v>
      </c>
      <c r="N302" t="s">
        <v>9805</v>
      </c>
      <c r="O302" t="s">
        <v>5059</v>
      </c>
      <c r="P302" s="614">
        <f>COUNTIF(EducPlans_кодНАЦИД_Спец[аФакСец],EducPlans_кодНАЦИД_Спец[[#This Row],[аФакСец]])</f>
        <v>1</v>
      </c>
    </row>
    <row r="303" spans="3:16" x14ac:dyDescent="0.25">
      <c r="C303" s="614">
        <v>297</v>
      </c>
      <c r="D303" s="614">
        <v>12373</v>
      </c>
      <c r="E303" s="64" t="s">
        <v>2257</v>
      </c>
      <c r="F303" s="64" t="s">
        <v>5060</v>
      </c>
      <c r="G303" s="614" t="s">
        <v>50</v>
      </c>
      <c r="H303" s="614" t="s">
        <v>681</v>
      </c>
      <c r="I303" s="614" t="s">
        <v>1153</v>
      </c>
      <c r="J303" s="64" t="s">
        <v>2996</v>
      </c>
      <c r="K303" s="1940" t="s">
        <v>5061</v>
      </c>
      <c r="L303" s="1940" t="s">
        <v>8091</v>
      </c>
      <c r="M303" t="s">
        <v>11490</v>
      </c>
      <c r="N303" t="s">
        <v>9806</v>
      </c>
      <c r="O303" t="s">
        <v>5060</v>
      </c>
      <c r="P303" s="614">
        <f>COUNTIF(EducPlans_кодНАЦИД_Спец[аФакСец],EducPlans_кодНАЦИД_Спец[[#This Row],[аФакСец]])</f>
        <v>1</v>
      </c>
    </row>
    <row r="304" spans="3:16" x14ac:dyDescent="0.25">
      <c r="C304" s="614">
        <v>298</v>
      </c>
      <c r="D304" s="614">
        <v>12002</v>
      </c>
      <c r="E304" s="64" t="s">
        <v>2107</v>
      </c>
      <c r="F304" s="64" t="s">
        <v>5062</v>
      </c>
      <c r="G304" s="614" t="s">
        <v>628</v>
      </c>
      <c r="H304" s="614" t="s">
        <v>682</v>
      </c>
      <c r="I304" s="614" t="s">
        <v>1153</v>
      </c>
      <c r="J304" s="64" t="s">
        <v>2930</v>
      </c>
      <c r="K304" s="1940" t="s">
        <v>5063</v>
      </c>
      <c r="L304" s="1940" t="s">
        <v>8092</v>
      </c>
      <c r="M304" t="s">
        <v>11491</v>
      </c>
      <c r="N304" t="s">
        <v>9807</v>
      </c>
      <c r="O304" t="s">
        <v>5062</v>
      </c>
      <c r="P304" s="614">
        <f>COUNTIF(EducPlans_кодНАЦИД_Спец[аФакСец],EducPlans_кодНАЦИД_Спец[[#This Row],[аФакСец]])</f>
        <v>1</v>
      </c>
    </row>
    <row r="305" spans="3:16" x14ac:dyDescent="0.25">
      <c r="C305" s="614">
        <v>299</v>
      </c>
      <c r="D305" s="614">
        <v>12002</v>
      </c>
      <c r="E305" s="64" t="s">
        <v>2107</v>
      </c>
      <c r="F305" s="64" t="s">
        <v>5064</v>
      </c>
      <c r="G305" s="614" t="s">
        <v>628</v>
      </c>
      <c r="H305" s="614" t="s">
        <v>682</v>
      </c>
      <c r="I305" s="614" t="s">
        <v>1153</v>
      </c>
      <c r="J305" s="64" t="s">
        <v>4199</v>
      </c>
      <c r="K305" s="1940" t="s">
        <v>5063</v>
      </c>
      <c r="L305" s="1940" t="s">
        <v>8093</v>
      </c>
      <c r="M305" t="s">
        <v>11492</v>
      </c>
      <c r="N305" t="s">
        <v>9808</v>
      </c>
      <c r="O305" t="s">
        <v>5064</v>
      </c>
      <c r="P305" s="614">
        <f>COUNTIF(EducPlans_кодНАЦИД_Спец[аФакСец],EducPlans_кодНАЦИД_Спец[[#This Row],[аФакСец]])</f>
        <v>1</v>
      </c>
    </row>
    <row r="306" spans="3:16" x14ac:dyDescent="0.25">
      <c r="C306" s="614">
        <v>300</v>
      </c>
      <c r="D306" s="614">
        <v>12003</v>
      </c>
      <c r="E306" s="64" t="s">
        <v>2107</v>
      </c>
      <c r="F306" s="64" t="s">
        <v>5065</v>
      </c>
      <c r="G306" s="614" t="s">
        <v>628</v>
      </c>
      <c r="H306" s="614" t="s">
        <v>682</v>
      </c>
      <c r="I306" s="614" t="s">
        <v>1149</v>
      </c>
      <c r="J306" s="64" t="s">
        <v>4198</v>
      </c>
      <c r="K306" s="1940" t="s">
        <v>5066</v>
      </c>
      <c r="L306" s="1940" t="s">
        <v>8094</v>
      </c>
      <c r="M306" t="s">
        <v>11493</v>
      </c>
      <c r="N306" t="s">
        <v>9809</v>
      </c>
      <c r="O306" t="s">
        <v>5065</v>
      </c>
      <c r="P306" s="614">
        <f>COUNTIF(EducPlans_кодНАЦИД_Спец[аФакСец],EducPlans_кодНАЦИД_Спец[[#This Row],[аФакСец]])</f>
        <v>1</v>
      </c>
    </row>
    <row r="307" spans="3:16" x14ac:dyDescent="0.25">
      <c r="C307" s="614">
        <v>301</v>
      </c>
      <c r="D307" s="614">
        <v>12003</v>
      </c>
      <c r="E307" s="64" t="s">
        <v>2107</v>
      </c>
      <c r="F307" s="64" t="s">
        <v>5067</v>
      </c>
      <c r="G307" s="614" t="s">
        <v>628</v>
      </c>
      <c r="H307" s="614" t="s">
        <v>682</v>
      </c>
      <c r="I307" s="614" t="s">
        <v>1149</v>
      </c>
      <c r="J307" s="64" t="s">
        <v>4197</v>
      </c>
      <c r="K307" s="1940" t="s">
        <v>5066</v>
      </c>
      <c r="L307" s="1940" t="s">
        <v>8095</v>
      </c>
      <c r="M307" t="s">
        <v>11494</v>
      </c>
      <c r="N307" t="s">
        <v>9810</v>
      </c>
      <c r="O307" t="s">
        <v>5067</v>
      </c>
      <c r="P307" s="614">
        <f>COUNTIF(EducPlans_кодНАЦИД_Спец[аФакСец],EducPlans_кодНАЦИД_Спец[[#This Row],[аФакСец]])</f>
        <v>1</v>
      </c>
    </row>
    <row r="308" spans="3:16" x14ac:dyDescent="0.25">
      <c r="C308" s="614">
        <v>302</v>
      </c>
      <c r="D308" s="614">
        <v>12015</v>
      </c>
      <c r="E308" s="64" t="s">
        <v>2109</v>
      </c>
      <c r="F308" s="64" t="s">
        <v>5068</v>
      </c>
      <c r="G308" s="614" t="s">
        <v>628</v>
      </c>
      <c r="H308" s="614" t="s">
        <v>682</v>
      </c>
      <c r="I308" s="614" t="s">
        <v>1153</v>
      </c>
      <c r="J308" s="64" t="s">
        <v>4202</v>
      </c>
      <c r="K308" s="1940" t="s">
        <v>5069</v>
      </c>
      <c r="L308" s="1940" t="s">
        <v>8096</v>
      </c>
      <c r="M308" t="s">
        <v>11495</v>
      </c>
      <c r="N308" t="s">
        <v>9811</v>
      </c>
      <c r="O308" t="s">
        <v>5068</v>
      </c>
      <c r="P308" s="614">
        <f>COUNTIF(EducPlans_кодНАЦИД_Спец[аФакСец],EducPlans_кодНАЦИД_Спец[[#This Row],[аФакСец]])</f>
        <v>1</v>
      </c>
    </row>
    <row r="309" spans="3:16" x14ac:dyDescent="0.25">
      <c r="C309" s="614">
        <v>303</v>
      </c>
      <c r="D309" s="614">
        <v>12015</v>
      </c>
      <c r="E309" s="64" t="s">
        <v>2109</v>
      </c>
      <c r="F309" s="64" t="s">
        <v>5070</v>
      </c>
      <c r="G309" s="614" t="s">
        <v>628</v>
      </c>
      <c r="H309" s="614" t="s">
        <v>682</v>
      </c>
      <c r="I309" s="614" t="s">
        <v>1153</v>
      </c>
      <c r="J309" s="64" t="s">
        <v>4203</v>
      </c>
      <c r="K309" s="1940" t="s">
        <v>5069</v>
      </c>
      <c r="L309" s="1940" t="s">
        <v>8097</v>
      </c>
      <c r="M309" t="s">
        <v>11496</v>
      </c>
      <c r="N309" t="s">
        <v>9812</v>
      </c>
      <c r="O309" t="s">
        <v>5070</v>
      </c>
      <c r="P309" s="614">
        <f>COUNTIF(EducPlans_кодНАЦИД_Спец[аФакСец],EducPlans_кодНАЦИД_Спец[[#This Row],[аФакСец]])</f>
        <v>1</v>
      </c>
    </row>
    <row r="310" spans="3:16" x14ac:dyDescent="0.25">
      <c r="C310" s="614">
        <v>304</v>
      </c>
      <c r="D310" s="614">
        <v>12016</v>
      </c>
      <c r="E310" s="64" t="s">
        <v>2109</v>
      </c>
      <c r="F310" s="64" t="s">
        <v>5071</v>
      </c>
      <c r="G310" s="614" t="s">
        <v>628</v>
      </c>
      <c r="H310" s="614" t="s">
        <v>682</v>
      </c>
      <c r="I310" s="614" t="s">
        <v>1149</v>
      </c>
      <c r="J310" s="64" t="s">
        <v>4201</v>
      </c>
      <c r="K310" s="1940" t="s">
        <v>5072</v>
      </c>
      <c r="L310" s="1940" t="s">
        <v>8098</v>
      </c>
      <c r="M310" t="s">
        <v>11497</v>
      </c>
      <c r="N310" t="s">
        <v>9813</v>
      </c>
      <c r="O310" t="s">
        <v>5071</v>
      </c>
      <c r="P310" s="614">
        <f>COUNTIF(EducPlans_кодНАЦИД_Спец[аФакСец],EducPlans_кодНАЦИД_Спец[[#This Row],[аФакСец]])</f>
        <v>2</v>
      </c>
    </row>
    <row r="311" spans="3:16" x14ac:dyDescent="0.25">
      <c r="C311" s="614">
        <v>305</v>
      </c>
      <c r="D311" s="614">
        <v>12016</v>
      </c>
      <c r="E311" s="64" t="s">
        <v>2109</v>
      </c>
      <c r="F311" s="64" t="s">
        <v>5073</v>
      </c>
      <c r="G311" s="614" t="s">
        <v>628</v>
      </c>
      <c r="H311" s="614" t="s">
        <v>682</v>
      </c>
      <c r="I311" s="614" t="s">
        <v>1149</v>
      </c>
      <c r="J311" s="64" t="s">
        <v>4200</v>
      </c>
      <c r="K311" s="1940" t="s">
        <v>5072</v>
      </c>
      <c r="L311" s="1940" t="s">
        <v>8099</v>
      </c>
      <c r="M311" t="s">
        <v>11498</v>
      </c>
      <c r="N311" t="s">
        <v>9814</v>
      </c>
      <c r="O311" t="s">
        <v>5073</v>
      </c>
      <c r="P311" s="614">
        <f>COUNTIF(EducPlans_кодНАЦИД_Спец[аФакСец],EducPlans_кодНАЦИД_Спец[[#This Row],[аФакСец]])</f>
        <v>2</v>
      </c>
    </row>
    <row r="312" spans="3:16" x14ac:dyDescent="0.25">
      <c r="C312" s="614">
        <v>306</v>
      </c>
      <c r="D312" s="614">
        <v>12014</v>
      </c>
      <c r="E312" s="64" t="s">
        <v>2110</v>
      </c>
      <c r="F312" s="64" t="s">
        <v>5074</v>
      </c>
      <c r="G312" s="614" t="s">
        <v>628</v>
      </c>
      <c r="H312" s="614" t="s">
        <v>682</v>
      </c>
      <c r="I312" s="614" t="s">
        <v>1153</v>
      </c>
      <c r="J312" s="64" t="s">
        <v>4204</v>
      </c>
      <c r="K312" s="1940" t="s">
        <v>5075</v>
      </c>
      <c r="L312" s="1940" t="s">
        <v>8100</v>
      </c>
      <c r="M312" t="s">
        <v>11499</v>
      </c>
      <c r="N312" t="s">
        <v>9815</v>
      </c>
      <c r="O312" t="s">
        <v>5074</v>
      </c>
      <c r="P312" s="614">
        <f>COUNTIF(EducPlans_кодНАЦИД_Спец[аФакСец],EducPlans_кодНАЦИД_Спец[[#This Row],[аФакСец]])</f>
        <v>1</v>
      </c>
    </row>
    <row r="313" spans="3:16" x14ac:dyDescent="0.25">
      <c r="C313" s="614">
        <v>307</v>
      </c>
      <c r="D313" s="614">
        <v>842520</v>
      </c>
      <c r="E313" s="64" t="s">
        <v>2110</v>
      </c>
      <c r="F313" s="64" t="s">
        <v>13249</v>
      </c>
      <c r="G313" s="614" t="s">
        <v>628</v>
      </c>
      <c r="H313" s="614" t="s">
        <v>682</v>
      </c>
      <c r="I313" s="614" t="s">
        <v>1149</v>
      </c>
      <c r="J313" s="64" t="s">
        <v>13250</v>
      </c>
      <c r="K313" s="1940" t="s">
        <v>13251</v>
      </c>
      <c r="L313" s="1940" t="s">
        <v>13252</v>
      </c>
      <c r="M313" t="s">
        <v>13253</v>
      </c>
      <c r="N313" t="s">
        <v>13254</v>
      </c>
      <c r="O313" t="s">
        <v>13249</v>
      </c>
      <c r="P313" s="614">
        <f>COUNTIF(EducPlans_кодНАЦИД_Спец[аФакСец],EducPlans_кодНАЦИД_Спец[[#This Row],[аФакСец]])</f>
        <v>1</v>
      </c>
    </row>
    <row r="314" spans="3:16" x14ac:dyDescent="0.25">
      <c r="C314" s="614">
        <v>308</v>
      </c>
      <c r="D314" s="614">
        <v>12470</v>
      </c>
      <c r="E314" s="64" t="s">
        <v>2258</v>
      </c>
      <c r="F314" s="64" t="s">
        <v>5076</v>
      </c>
      <c r="G314" s="614" t="s">
        <v>50</v>
      </c>
      <c r="H314" s="614" t="s">
        <v>682</v>
      </c>
      <c r="I314" s="614" t="s">
        <v>1153</v>
      </c>
      <c r="J314" s="64" t="s">
        <v>2997</v>
      </c>
      <c r="K314" s="1940" t="s">
        <v>5077</v>
      </c>
      <c r="L314" s="1940" t="s">
        <v>8101</v>
      </c>
      <c r="M314" t="s">
        <v>11500</v>
      </c>
      <c r="N314" t="s">
        <v>9816</v>
      </c>
      <c r="O314" t="s">
        <v>5076</v>
      </c>
      <c r="P314" s="614">
        <f>COUNTIF(EducPlans_кодНАЦИД_Спец[аФакСец],EducPlans_кодНАЦИД_Спец[[#This Row],[аФакСец]])</f>
        <v>1</v>
      </c>
    </row>
    <row r="315" spans="3:16" x14ac:dyDescent="0.25">
      <c r="C315" s="614">
        <v>309</v>
      </c>
      <c r="D315" s="614">
        <v>12471</v>
      </c>
      <c r="E315" s="64" t="s">
        <v>2259</v>
      </c>
      <c r="F315" s="64" t="s">
        <v>5078</v>
      </c>
      <c r="G315" s="614" t="s">
        <v>50</v>
      </c>
      <c r="H315" s="614" t="s">
        <v>682</v>
      </c>
      <c r="I315" s="614" t="s">
        <v>1153</v>
      </c>
      <c r="J315" s="64" t="s">
        <v>2998</v>
      </c>
      <c r="K315" s="1940" t="s">
        <v>5079</v>
      </c>
      <c r="L315" s="1940" t="s">
        <v>8102</v>
      </c>
      <c r="M315" t="s">
        <v>11501</v>
      </c>
      <c r="N315" t="s">
        <v>9817</v>
      </c>
      <c r="O315" t="s">
        <v>5078</v>
      </c>
      <c r="P315" s="614">
        <f>COUNTIF(EducPlans_кодНАЦИД_Спец[аФакСец],EducPlans_кодНАЦИД_Спец[[#This Row],[аФакСец]])</f>
        <v>1</v>
      </c>
    </row>
    <row r="316" spans="3:16" x14ac:dyDescent="0.25">
      <c r="C316" s="614">
        <v>310</v>
      </c>
      <c r="D316" s="614">
        <v>12785</v>
      </c>
      <c r="E316" s="64" t="s">
        <v>1870</v>
      </c>
      <c r="F316" s="64" t="s">
        <v>5080</v>
      </c>
      <c r="G316" s="614" t="s">
        <v>626</v>
      </c>
      <c r="H316" s="614" t="s">
        <v>682</v>
      </c>
      <c r="I316" s="614" t="s">
        <v>1153</v>
      </c>
      <c r="J316" s="64" t="s">
        <v>3989</v>
      </c>
      <c r="K316" s="1940" t="s">
        <v>5081</v>
      </c>
      <c r="L316" s="1940" t="s">
        <v>8103</v>
      </c>
      <c r="M316" t="s">
        <v>11502</v>
      </c>
      <c r="N316" t="s">
        <v>9818</v>
      </c>
      <c r="O316" t="s">
        <v>5080</v>
      </c>
      <c r="P316" s="614">
        <f>COUNTIF(EducPlans_кодНАЦИД_Спец[аФакСец],EducPlans_кодНАЦИД_Спец[[#This Row],[аФакСец]])</f>
        <v>1</v>
      </c>
    </row>
    <row r="317" spans="3:16" x14ac:dyDescent="0.25">
      <c r="C317" s="614">
        <v>311</v>
      </c>
      <c r="D317" s="614">
        <v>12785</v>
      </c>
      <c r="E317" s="64" t="s">
        <v>1870</v>
      </c>
      <c r="F317" s="64" t="s">
        <v>5082</v>
      </c>
      <c r="G317" s="614" t="s">
        <v>626</v>
      </c>
      <c r="H317" s="614" t="s">
        <v>682</v>
      </c>
      <c r="I317" s="614" t="s">
        <v>1153</v>
      </c>
      <c r="J317" s="64" t="s">
        <v>5083</v>
      </c>
      <c r="K317" s="1940" t="s">
        <v>5081</v>
      </c>
      <c r="L317" s="1940" t="s">
        <v>8104</v>
      </c>
      <c r="M317" t="s">
        <v>11503</v>
      </c>
      <c r="N317" t="s">
        <v>9819</v>
      </c>
      <c r="O317" t="s">
        <v>5082</v>
      </c>
      <c r="P317" s="614">
        <f>COUNTIF(EducPlans_кодНАЦИД_Спец[аФакСец],EducPlans_кодНАЦИД_Спец[[#This Row],[аФакСец]])</f>
        <v>1</v>
      </c>
    </row>
    <row r="318" spans="3:16" x14ac:dyDescent="0.25">
      <c r="C318" s="614">
        <v>312</v>
      </c>
      <c r="D318" s="614">
        <v>10877</v>
      </c>
      <c r="E318" s="64" t="s">
        <v>1599</v>
      </c>
      <c r="F318" s="64" t="s">
        <v>5084</v>
      </c>
      <c r="G318" s="614" t="s">
        <v>35</v>
      </c>
      <c r="H318" s="614" t="s">
        <v>682</v>
      </c>
      <c r="I318" s="614" t="s">
        <v>1153</v>
      </c>
      <c r="J318" s="64" t="s">
        <v>2930</v>
      </c>
      <c r="K318" s="1940" t="s">
        <v>5085</v>
      </c>
      <c r="L318" s="1940" t="s">
        <v>8105</v>
      </c>
      <c r="M318" t="s">
        <v>11504</v>
      </c>
      <c r="N318" t="s">
        <v>9820</v>
      </c>
      <c r="O318" t="s">
        <v>5084</v>
      </c>
      <c r="P318" s="614">
        <f>COUNTIF(EducPlans_кодНАЦИД_Спец[аФакСец],EducPlans_кодНАЦИД_Спец[[#This Row],[аФакСец]])</f>
        <v>1</v>
      </c>
    </row>
    <row r="319" spans="3:16" x14ac:dyDescent="0.25">
      <c r="C319" s="614">
        <v>313</v>
      </c>
      <c r="D319" s="614">
        <v>10877</v>
      </c>
      <c r="E319" s="64" t="s">
        <v>1599</v>
      </c>
      <c r="F319" s="64" t="s">
        <v>5086</v>
      </c>
      <c r="G319" s="614" t="s">
        <v>35</v>
      </c>
      <c r="H319" s="614" t="s">
        <v>682</v>
      </c>
      <c r="I319" s="614" t="s">
        <v>1153</v>
      </c>
      <c r="J319" s="64" t="s">
        <v>3987</v>
      </c>
      <c r="K319" s="1940" t="s">
        <v>5085</v>
      </c>
      <c r="L319" s="1940" t="s">
        <v>8106</v>
      </c>
      <c r="M319" t="s">
        <v>11505</v>
      </c>
      <c r="N319" t="s">
        <v>9821</v>
      </c>
      <c r="O319" t="s">
        <v>5086</v>
      </c>
      <c r="P319" s="614">
        <f>COUNTIF(EducPlans_кодНАЦИД_Спец[аФакСец],EducPlans_кодНАЦИД_Спец[[#This Row],[аФакСец]])</f>
        <v>1</v>
      </c>
    </row>
    <row r="320" spans="3:16" x14ac:dyDescent="0.25">
      <c r="C320" s="614">
        <v>314</v>
      </c>
      <c r="D320" s="614">
        <v>10911</v>
      </c>
      <c r="E320" s="64" t="s">
        <v>1654</v>
      </c>
      <c r="F320" s="64" t="s">
        <v>5087</v>
      </c>
      <c r="G320" s="614" t="s">
        <v>35</v>
      </c>
      <c r="H320" s="614" t="s">
        <v>682</v>
      </c>
      <c r="I320" s="614" t="s">
        <v>1153</v>
      </c>
      <c r="J320" s="64" t="s">
        <v>3989</v>
      </c>
      <c r="K320" s="1940" t="s">
        <v>5088</v>
      </c>
      <c r="L320" s="1940" t="s">
        <v>8107</v>
      </c>
      <c r="M320" t="s">
        <v>11506</v>
      </c>
      <c r="N320" t="s">
        <v>9822</v>
      </c>
      <c r="O320" t="s">
        <v>5087</v>
      </c>
      <c r="P320" s="614">
        <f>COUNTIF(EducPlans_кодНАЦИД_Спец[аФакСец],EducPlans_кодНАЦИД_Спец[[#This Row],[аФакСец]])</f>
        <v>1</v>
      </c>
    </row>
    <row r="321" spans="3:16" x14ac:dyDescent="0.25">
      <c r="C321" s="614">
        <v>315</v>
      </c>
      <c r="D321" s="614">
        <v>10911</v>
      </c>
      <c r="E321" s="64" t="s">
        <v>1654</v>
      </c>
      <c r="F321" s="64" t="s">
        <v>5089</v>
      </c>
      <c r="G321" s="614" t="s">
        <v>35</v>
      </c>
      <c r="H321" s="614" t="s">
        <v>682</v>
      </c>
      <c r="I321" s="614" t="s">
        <v>1153</v>
      </c>
      <c r="J321" s="64" t="s">
        <v>3988</v>
      </c>
      <c r="K321" s="1940" t="s">
        <v>5088</v>
      </c>
      <c r="L321" s="1940" t="s">
        <v>8108</v>
      </c>
      <c r="M321" t="s">
        <v>11507</v>
      </c>
      <c r="N321" t="s">
        <v>9823</v>
      </c>
      <c r="O321" t="s">
        <v>5089</v>
      </c>
      <c r="P321" s="614">
        <f>COUNTIF(EducPlans_кодНАЦИД_Спец[аФакСец],EducPlans_кодНАЦИД_Спец[[#This Row],[аФакСец]])</f>
        <v>1</v>
      </c>
    </row>
    <row r="322" spans="3:16" x14ac:dyDescent="0.25">
      <c r="C322" s="614">
        <v>316</v>
      </c>
      <c r="D322" s="614">
        <v>12385</v>
      </c>
      <c r="E322" s="64" t="s">
        <v>1871</v>
      </c>
      <c r="F322" s="64" t="s">
        <v>5090</v>
      </c>
      <c r="G322" s="614" t="s">
        <v>50</v>
      </c>
      <c r="H322" s="614" t="s">
        <v>682</v>
      </c>
      <c r="I322" s="614" t="s">
        <v>1153</v>
      </c>
      <c r="J322" s="64" t="s">
        <v>5091</v>
      </c>
      <c r="K322" s="1940" t="s">
        <v>5092</v>
      </c>
      <c r="L322" s="1940" t="s">
        <v>8109</v>
      </c>
      <c r="M322" t="s">
        <v>11508</v>
      </c>
      <c r="N322" t="s">
        <v>9824</v>
      </c>
      <c r="O322" t="s">
        <v>5090</v>
      </c>
      <c r="P322" s="614">
        <f>COUNTIF(EducPlans_кодНАЦИД_Спец[аФакСец],EducPlans_кодНАЦИД_Спец[[#This Row],[аФакСец]])</f>
        <v>1</v>
      </c>
    </row>
    <row r="323" spans="3:16" x14ac:dyDescent="0.25">
      <c r="C323" s="614">
        <v>317</v>
      </c>
      <c r="D323" s="614">
        <v>12385</v>
      </c>
      <c r="E323" s="64" t="s">
        <v>1871</v>
      </c>
      <c r="F323" s="64" t="s">
        <v>5093</v>
      </c>
      <c r="G323" s="614" t="s">
        <v>50</v>
      </c>
      <c r="H323" s="614" t="s">
        <v>682</v>
      </c>
      <c r="I323" s="614" t="s">
        <v>1153</v>
      </c>
      <c r="J323" s="64" t="s">
        <v>5094</v>
      </c>
      <c r="K323" s="1940" t="s">
        <v>5092</v>
      </c>
      <c r="L323" s="1940" t="s">
        <v>8110</v>
      </c>
      <c r="M323" t="s">
        <v>11509</v>
      </c>
      <c r="N323" t="s">
        <v>9825</v>
      </c>
      <c r="O323" t="s">
        <v>5093</v>
      </c>
      <c r="P323" s="614">
        <f>COUNTIF(EducPlans_кодНАЦИД_Спец[аФакСец],EducPlans_кодНАЦИД_Спец[[#This Row],[аФакСец]])</f>
        <v>1</v>
      </c>
    </row>
    <row r="324" spans="3:16" x14ac:dyDescent="0.25">
      <c r="C324" s="614">
        <v>318</v>
      </c>
      <c r="D324" s="614">
        <v>12386</v>
      </c>
      <c r="E324" s="64" t="s">
        <v>1871</v>
      </c>
      <c r="F324" s="64" t="s">
        <v>5095</v>
      </c>
      <c r="G324" s="614" t="s">
        <v>50</v>
      </c>
      <c r="H324" s="614" t="s">
        <v>682</v>
      </c>
      <c r="I324" s="614" t="s">
        <v>1149</v>
      </c>
      <c r="J324" s="64" t="s">
        <v>5096</v>
      </c>
      <c r="K324" s="1940" t="s">
        <v>5097</v>
      </c>
      <c r="L324" s="1940" t="s">
        <v>8111</v>
      </c>
      <c r="M324" t="s">
        <v>11510</v>
      </c>
      <c r="N324" t="s">
        <v>9826</v>
      </c>
      <c r="O324" t="s">
        <v>5095</v>
      </c>
      <c r="P324" s="614">
        <f>COUNTIF(EducPlans_кодНАЦИД_Спец[аФакСец],EducPlans_кодНАЦИД_Спец[[#This Row],[аФакСец]])</f>
        <v>1</v>
      </c>
    </row>
    <row r="325" spans="3:16" x14ac:dyDescent="0.25">
      <c r="C325" s="614">
        <v>319</v>
      </c>
      <c r="D325" s="614">
        <v>11138</v>
      </c>
      <c r="E325" s="64" t="s">
        <v>1536</v>
      </c>
      <c r="F325" s="64" t="s">
        <v>5098</v>
      </c>
      <c r="G325" s="614" t="s">
        <v>48</v>
      </c>
      <c r="H325" s="614" t="s">
        <v>682</v>
      </c>
      <c r="I325" s="614" t="s">
        <v>1153</v>
      </c>
      <c r="J325" s="64" t="s">
        <v>5099</v>
      </c>
      <c r="K325" s="1940" t="s">
        <v>5100</v>
      </c>
      <c r="L325" s="1940" t="s">
        <v>8112</v>
      </c>
      <c r="M325" t="s">
        <v>11511</v>
      </c>
      <c r="N325" t="s">
        <v>9827</v>
      </c>
      <c r="O325" t="s">
        <v>5098</v>
      </c>
      <c r="P325" s="614">
        <f>COUNTIF(EducPlans_кодНАЦИД_Спец[аФакСец],EducPlans_кодНАЦИД_Спец[[#This Row],[аФакСец]])</f>
        <v>1</v>
      </c>
    </row>
    <row r="326" spans="3:16" x14ac:dyDescent="0.25">
      <c r="C326" s="614">
        <v>320</v>
      </c>
      <c r="D326" s="614">
        <v>11139</v>
      </c>
      <c r="E326" s="64" t="s">
        <v>1536</v>
      </c>
      <c r="F326" s="64" t="s">
        <v>5101</v>
      </c>
      <c r="G326" s="614" t="s">
        <v>48</v>
      </c>
      <c r="H326" s="614" t="s">
        <v>682</v>
      </c>
      <c r="I326" s="614" t="s">
        <v>1149</v>
      </c>
      <c r="J326" s="64" t="s">
        <v>5102</v>
      </c>
      <c r="K326" s="1940" t="s">
        <v>5103</v>
      </c>
      <c r="L326" s="1940" t="s">
        <v>8113</v>
      </c>
      <c r="M326" t="s">
        <v>11512</v>
      </c>
      <c r="N326" t="s">
        <v>9828</v>
      </c>
      <c r="O326" t="s">
        <v>5101</v>
      </c>
      <c r="P326" s="614">
        <f>COUNTIF(EducPlans_кодНАЦИД_Спец[аФакСец],EducPlans_кодНАЦИД_Спец[[#This Row],[аФакСец]])</f>
        <v>1</v>
      </c>
    </row>
    <row r="327" spans="3:16" x14ac:dyDescent="0.25">
      <c r="C327" s="614">
        <v>321</v>
      </c>
      <c r="D327" s="614">
        <v>12654</v>
      </c>
      <c r="E327" s="64" t="s">
        <v>2606</v>
      </c>
      <c r="F327" s="64" t="s">
        <v>5104</v>
      </c>
      <c r="G327" s="614" t="s">
        <v>296</v>
      </c>
      <c r="H327" s="614" t="s">
        <v>681</v>
      </c>
      <c r="I327" s="614" t="s">
        <v>1153</v>
      </c>
      <c r="J327" s="64" t="s">
        <v>3762</v>
      </c>
      <c r="K327" s="1940" t="s">
        <v>5105</v>
      </c>
      <c r="L327" s="1940" t="s">
        <v>8114</v>
      </c>
      <c r="M327" t="s">
        <v>11513</v>
      </c>
      <c r="N327" t="s">
        <v>9829</v>
      </c>
      <c r="O327" t="s">
        <v>5104</v>
      </c>
      <c r="P327" s="614">
        <f>COUNTIF(EducPlans_кодНАЦИД_Спец[аФакСец],EducPlans_кодНАЦИД_Спец[[#This Row],[аФакСец]])</f>
        <v>1</v>
      </c>
    </row>
    <row r="328" spans="3:16" x14ac:dyDescent="0.25">
      <c r="C328" s="614">
        <v>322</v>
      </c>
      <c r="D328" s="614">
        <v>12733</v>
      </c>
      <c r="E328" s="64" t="s">
        <v>2607</v>
      </c>
      <c r="F328" s="64" t="s">
        <v>5106</v>
      </c>
      <c r="G328" s="614" t="s">
        <v>296</v>
      </c>
      <c r="H328" s="614" t="s">
        <v>682</v>
      </c>
      <c r="I328" s="614" t="s">
        <v>1153</v>
      </c>
      <c r="J328" s="64" t="s">
        <v>3763</v>
      </c>
      <c r="K328" s="1940" t="s">
        <v>5107</v>
      </c>
      <c r="L328" s="1940" t="s">
        <v>8115</v>
      </c>
      <c r="M328" t="s">
        <v>11514</v>
      </c>
      <c r="N328" t="s">
        <v>9830</v>
      </c>
      <c r="O328" t="s">
        <v>5106</v>
      </c>
      <c r="P328" s="614">
        <f>COUNTIF(EducPlans_кодНАЦИД_Спец[аФакСец],EducPlans_кодНАЦИД_Спец[[#This Row],[аФакСец]])</f>
        <v>1</v>
      </c>
    </row>
    <row r="329" spans="3:16" x14ac:dyDescent="0.25">
      <c r="C329" s="614">
        <v>323</v>
      </c>
      <c r="D329" s="614">
        <v>12735</v>
      </c>
      <c r="E329" s="64" t="s">
        <v>2608</v>
      </c>
      <c r="F329" s="64" t="s">
        <v>5108</v>
      </c>
      <c r="G329" s="614" t="s">
        <v>296</v>
      </c>
      <c r="H329" s="614" t="s">
        <v>682</v>
      </c>
      <c r="I329" s="614" t="s">
        <v>1153</v>
      </c>
      <c r="J329" s="64" t="s">
        <v>3764</v>
      </c>
      <c r="K329" s="1940" t="s">
        <v>5109</v>
      </c>
      <c r="L329" s="1940" t="s">
        <v>8116</v>
      </c>
      <c r="M329" t="s">
        <v>11515</v>
      </c>
      <c r="N329" t="s">
        <v>9831</v>
      </c>
      <c r="O329" t="s">
        <v>5108</v>
      </c>
      <c r="P329" s="614">
        <f>COUNTIF(EducPlans_кодНАЦИД_Спец[аФакСец],EducPlans_кодНАЦИД_Спец[[#This Row],[аФакСец]])</f>
        <v>1</v>
      </c>
    </row>
    <row r="330" spans="3:16" x14ac:dyDescent="0.25">
      <c r="C330" s="614">
        <v>324</v>
      </c>
      <c r="D330" s="614">
        <v>10929</v>
      </c>
      <c r="E330" s="64" t="s">
        <v>1693</v>
      </c>
      <c r="F330" s="64" t="s">
        <v>5110</v>
      </c>
      <c r="G330" s="614" t="s">
        <v>35</v>
      </c>
      <c r="H330" s="614" t="s">
        <v>682</v>
      </c>
      <c r="I330" s="614" t="s">
        <v>1153</v>
      </c>
      <c r="J330" s="64" t="s">
        <v>5111</v>
      </c>
      <c r="K330" s="1940" t="s">
        <v>5112</v>
      </c>
      <c r="L330" s="1940" t="s">
        <v>8117</v>
      </c>
      <c r="M330" t="s">
        <v>11516</v>
      </c>
      <c r="N330" t="s">
        <v>9832</v>
      </c>
      <c r="O330" t="s">
        <v>5110</v>
      </c>
      <c r="P330" s="614">
        <f>COUNTIF(EducPlans_кодНАЦИД_Спец[аФакСец],EducPlans_кодНАЦИД_Спец[[#This Row],[аФакСец]])</f>
        <v>1</v>
      </c>
    </row>
    <row r="331" spans="3:16" x14ac:dyDescent="0.25">
      <c r="C331" s="614">
        <v>325</v>
      </c>
      <c r="D331" s="614">
        <v>10936</v>
      </c>
      <c r="E331" s="64" t="s">
        <v>1694</v>
      </c>
      <c r="F331" s="64" t="s">
        <v>5113</v>
      </c>
      <c r="G331" s="614" t="s">
        <v>35</v>
      </c>
      <c r="H331" s="614" t="s">
        <v>682</v>
      </c>
      <c r="I331" s="614" t="s">
        <v>1153</v>
      </c>
      <c r="J331" s="64" t="s">
        <v>3991</v>
      </c>
      <c r="K331" s="1940" t="s">
        <v>5114</v>
      </c>
      <c r="L331" s="1940" t="s">
        <v>8118</v>
      </c>
      <c r="M331" t="s">
        <v>11517</v>
      </c>
      <c r="N331" t="s">
        <v>9833</v>
      </c>
      <c r="O331" t="s">
        <v>5113</v>
      </c>
      <c r="P331" s="614">
        <f>COUNTIF(EducPlans_кодНАЦИД_Спец[аФакСец],EducPlans_кодНАЦИД_Спец[[#This Row],[аФакСец]])</f>
        <v>1</v>
      </c>
    </row>
    <row r="332" spans="3:16" x14ac:dyDescent="0.25">
      <c r="C332" s="614">
        <v>326</v>
      </c>
      <c r="D332" s="614">
        <v>10938</v>
      </c>
      <c r="E332" s="64" t="s">
        <v>1694</v>
      </c>
      <c r="F332" s="64" t="s">
        <v>5115</v>
      </c>
      <c r="G332" s="614" t="s">
        <v>35</v>
      </c>
      <c r="H332" s="614" t="s">
        <v>682</v>
      </c>
      <c r="I332" s="614" t="s">
        <v>1153</v>
      </c>
      <c r="J332" s="64" t="s">
        <v>3990</v>
      </c>
      <c r="K332" s="1940" t="s">
        <v>5116</v>
      </c>
      <c r="L332" s="1940" t="s">
        <v>8119</v>
      </c>
      <c r="M332" t="s">
        <v>11518</v>
      </c>
      <c r="N332" t="s">
        <v>9834</v>
      </c>
      <c r="O332" t="s">
        <v>5115</v>
      </c>
      <c r="P332" s="614">
        <f>COUNTIF(EducPlans_кодНАЦИД_Спец[аФакСец],EducPlans_кодНАЦИД_Спец[[#This Row],[аФакСец]])</f>
        <v>1</v>
      </c>
    </row>
    <row r="333" spans="3:16" x14ac:dyDescent="0.25">
      <c r="C333" s="614">
        <v>327</v>
      </c>
      <c r="D333" s="614">
        <v>12692</v>
      </c>
      <c r="E333" s="64" t="s">
        <v>1160</v>
      </c>
      <c r="F333" s="64" t="s">
        <v>5117</v>
      </c>
      <c r="G333" s="614" t="s">
        <v>296</v>
      </c>
      <c r="H333" s="614" t="s">
        <v>682</v>
      </c>
      <c r="I333" s="614" t="s">
        <v>1153</v>
      </c>
      <c r="J333" s="64" t="s">
        <v>5118</v>
      </c>
      <c r="K333" s="1940" t="s">
        <v>5119</v>
      </c>
      <c r="L333" s="1940" t="s">
        <v>8120</v>
      </c>
      <c r="M333" t="s">
        <v>11519</v>
      </c>
      <c r="N333" t="s">
        <v>9835</v>
      </c>
      <c r="O333" t="s">
        <v>5117</v>
      </c>
      <c r="P333" s="614">
        <f>COUNTIF(EducPlans_кодНАЦИД_Спец[аФакСец],EducPlans_кодНАЦИД_Спец[[#This Row],[аФакСец]])</f>
        <v>1</v>
      </c>
    </row>
    <row r="334" spans="3:16" x14ac:dyDescent="0.25">
      <c r="C334" s="614">
        <v>328</v>
      </c>
      <c r="D334" s="614">
        <v>12693</v>
      </c>
      <c r="E334" s="64" t="s">
        <v>1160</v>
      </c>
      <c r="F334" s="64" t="s">
        <v>5120</v>
      </c>
      <c r="G334" s="614" t="s">
        <v>296</v>
      </c>
      <c r="H334" s="614" t="s">
        <v>682</v>
      </c>
      <c r="I334" s="614" t="s">
        <v>1149</v>
      </c>
      <c r="J334" s="64" t="s">
        <v>5121</v>
      </c>
      <c r="K334" s="1940" t="s">
        <v>5122</v>
      </c>
      <c r="L334" s="1940" t="s">
        <v>8121</v>
      </c>
      <c r="M334" t="s">
        <v>11520</v>
      </c>
      <c r="N334" t="s">
        <v>9836</v>
      </c>
      <c r="O334" t="s">
        <v>5120</v>
      </c>
      <c r="P334" s="614">
        <f>COUNTIF(EducPlans_кодНАЦИД_Спец[аФакСец],EducPlans_кодНАЦИД_Спец[[#This Row],[аФакСец]])</f>
        <v>1</v>
      </c>
    </row>
    <row r="335" spans="3:16" x14ac:dyDescent="0.25">
      <c r="C335" s="614">
        <v>329</v>
      </c>
      <c r="D335" s="614">
        <v>12811</v>
      </c>
      <c r="E335" s="64" t="s">
        <v>1873</v>
      </c>
      <c r="F335" s="64" t="s">
        <v>5123</v>
      </c>
      <c r="G335" s="614" t="s">
        <v>626</v>
      </c>
      <c r="H335" s="614" t="s">
        <v>682</v>
      </c>
      <c r="I335" s="614" t="s">
        <v>1153</v>
      </c>
      <c r="J335" s="64" t="s">
        <v>3257</v>
      </c>
      <c r="K335" s="1940" t="s">
        <v>5124</v>
      </c>
      <c r="L335" s="1940" t="s">
        <v>8122</v>
      </c>
      <c r="M335" t="s">
        <v>11521</v>
      </c>
      <c r="N335" t="s">
        <v>9837</v>
      </c>
      <c r="O335" t="s">
        <v>5123</v>
      </c>
      <c r="P335" s="614">
        <f>COUNTIF(EducPlans_кодНАЦИД_Спец[аФакСец],EducPlans_кодНАЦИД_Спец[[#This Row],[аФакСец]])</f>
        <v>1</v>
      </c>
    </row>
    <row r="336" spans="3:16" x14ac:dyDescent="0.25">
      <c r="C336" s="614">
        <v>330</v>
      </c>
      <c r="D336" s="614">
        <v>12811</v>
      </c>
      <c r="E336" s="64" t="s">
        <v>1873</v>
      </c>
      <c r="F336" s="64" t="s">
        <v>5125</v>
      </c>
      <c r="G336" s="614" t="s">
        <v>626</v>
      </c>
      <c r="H336" s="614" t="s">
        <v>682</v>
      </c>
      <c r="I336" s="614" t="s">
        <v>1153</v>
      </c>
      <c r="J336" s="64" t="s">
        <v>3258</v>
      </c>
      <c r="K336" s="1940" t="s">
        <v>5124</v>
      </c>
      <c r="L336" s="1940" t="s">
        <v>8123</v>
      </c>
      <c r="M336" t="s">
        <v>11522</v>
      </c>
      <c r="N336" t="s">
        <v>9838</v>
      </c>
      <c r="O336" t="s">
        <v>5125</v>
      </c>
      <c r="P336" s="614">
        <f>COUNTIF(EducPlans_кодНАЦИД_Спец[аФакСец],EducPlans_кодНАЦИД_Спец[[#This Row],[аФакСец]])</f>
        <v>1</v>
      </c>
    </row>
    <row r="337" spans="3:16" x14ac:dyDescent="0.25">
      <c r="C337" s="614">
        <v>331</v>
      </c>
      <c r="D337" s="614">
        <v>12811</v>
      </c>
      <c r="E337" s="64" t="s">
        <v>1873</v>
      </c>
      <c r="F337" s="64" t="s">
        <v>5126</v>
      </c>
      <c r="G337" s="614" t="s">
        <v>626</v>
      </c>
      <c r="H337" s="614" t="s">
        <v>682</v>
      </c>
      <c r="I337" s="614" t="s">
        <v>1153</v>
      </c>
      <c r="J337" s="64" t="s">
        <v>3259</v>
      </c>
      <c r="K337" s="1940" t="s">
        <v>5124</v>
      </c>
      <c r="L337" s="1940" t="s">
        <v>8124</v>
      </c>
      <c r="M337" t="s">
        <v>11523</v>
      </c>
      <c r="N337" t="s">
        <v>9839</v>
      </c>
      <c r="O337" t="s">
        <v>5126</v>
      </c>
      <c r="P337" s="614">
        <f>COUNTIF(EducPlans_кодНАЦИД_Спец[аФакСец],EducPlans_кодНАЦИД_Спец[[#This Row],[аФакСец]])</f>
        <v>1</v>
      </c>
    </row>
    <row r="338" spans="3:16" x14ac:dyDescent="0.25">
      <c r="C338" s="614">
        <v>332</v>
      </c>
      <c r="D338" s="614">
        <v>732465</v>
      </c>
      <c r="E338" s="64" t="s">
        <v>1873</v>
      </c>
      <c r="F338" s="64" t="s">
        <v>12987</v>
      </c>
      <c r="G338" s="614" t="s">
        <v>626</v>
      </c>
      <c r="H338" s="614" t="s">
        <v>682</v>
      </c>
      <c r="I338" s="614" t="s">
        <v>1149</v>
      </c>
      <c r="J338" s="64" t="s">
        <v>12988</v>
      </c>
      <c r="K338" s="1940" t="s">
        <v>12989</v>
      </c>
      <c r="L338" s="1940" t="s">
        <v>12990</v>
      </c>
      <c r="M338" t="s">
        <v>12991</v>
      </c>
      <c r="N338" t="s">
        <v>12992</v>
      </c>
      <c r="O338" t="s">
        <v>12987</v>
      </c>
      <c r="P338" s="614">
        <f>COUNTIF(EducPlans_кодНАЦИД_Спец[аФакСец],EducPlans_кодНАЦИД_Спец[[#This Row],[аФакСец]])</f>
        <v>1</v>
      </c>
    </row>
    <row r="339" spans="3:16" x14ac:dyDescent="0.25">
      <c r="C339" s="614">
        <v>333</v>
      </c>
      <c r="D339" s="614">
        <v>732465</v>
      </c>
      <c r="E339" s="64" t="s">
        <v>1873</v>
      </c>
      <c r="F339" s="64" t="s">
        <v>12993</v>
      </c>
      <c r="G339" s="614" t="s">
        <v>626</v>
      </c>
      <c r="H339" s="614" t="s">
        <v>682</v>
      </c>
      <c r="I339" s="614" t="s">
        <v>1149</v>
      </c>
      <c r="J339" s="64" t="s">
        <v>12994</v>
      </c>
      <c r="K339" s="1940" t="s">
        <v>12989</v>
      </c>
      <c r="L339" s="1940" t="s">
        <v>12995</v>
      </c>
      <c r="M339" t="s">
        <v>12996</v>
      </c>
      <c r="N339" t="s">
        <v>12997</v>
      </c>
      <c r="O339" t="s">
        <v>12993</v>
      </c>
      <c r="P339" s="614">
        <f>COUNTIF(EducPlans_кодНАЦИД_Спец[аФакСец],EducPlans_кодНАЦИД_Спец[[#This Row],[аФакСец]])</f>
        <v>1</v>
      </c>
    </row>
    <row r="340" spans="3:16" x14ac:dyDescent="0.25">
      <c r="C340" s="614">
        <v>334</v>
      </c>
      <c r="D340" s="614">
        <v>970224</v>
      </c>
      <c r="E340" s="64" t="s">
        <v>1873</v>
      </c>
      <c r="F340" s="64" t="s">
        <v>13255</v>
      </c>
      <c r="G340" s="614" t="s">
        <v>626</v>
      </c>
      <c r="H340" s="614" t="s">
        <v>682</v>
      </c>
      <c r="I340" s="614" t="s">
        <v>1167</v>
      </c>
      <c r="J340" s="64" t="s">
        <v>13256</v>
      </c>
      <c r="K340" s="1940" t="s">
        <v>13257</v>
      </c>
      <c r="L340" s="1940" t="s">
        <v>13258</v>
      </c>
      <c r="M340" t="s">
        <v>13259</v>
      </c>
      <c r="N340" t="s">
        <v>13260</v>
      </c>
      <c r="O340" t="s">
        <v>13255</v>
      </c>
      <c r="P340" s="614">
        <f>COUNTIF(EducPlans_кодНАЦИД_Спец[аФакСец],EducPlans_кодНАЦИД_Спец[[#This Row],[аФакСец]])</f>
        <v>1</v>
      </c>
    </row>
    <row r="341" spans="3:16" x14ac:dyDescent="0.25">
      <c r="C341" s="614">
        <v>335</v>
      </c>
      <c r="D341" s="614">
        <v>970224</v>
      </c>
      <c r="E341" s="64" t="s">
        <v>1873</v>
      </c>
      <c r="F341" s="64" t="s">
        <v>13261</v>
      </c>
      <c r="G341" s="614" t="s">
        <v>626</v>
      </c>
      <c r="H341" s="614" t="s">
        <v>682</v>
      </c>
      <c r="I341" s="614" t="s">
        <v>1167</v>
      </c>
      <c r="J341" s="64" t="s">
        <v>13262</v>
      </c>
      <c r="K341" s="1940" t="s">
        <v>13257</v>
      </c>
      <c r="L341" s="1940" t="s">
        <v>13263</v>
      </c>
      <c r="M341" t="s">
        <v>13264</v>
      </c>
      <c r="N341" t="s">
        <v>13265</v>
      </c>
      <c r="O341" t="s">
        <v>13261</v>
      </c>
      <c r="P341" s="614">
        <f>COUNTIF(EducPlans_кодНАЦИД_Спец[аФакСец],EducPlans_кодНАЦИД_Спец[[#This Row],[аФакСец]])</f>
        <v>1</v>
      </c>
    </row>
    <row r="342" spans="3:16" x14ac:dyDescent="0.25">
      <c r="C342" s="614">
        <v>336</v>
      </c>
      <c r="D342" s="614">
        <v>12812</v>
      </c>
      <c r="E342" s="64" t="s">
        <v>1874</v>
      </c>
      <c r="F342" s="64" t="s">
        <v>5127</v>
      </c>
      <c r="G342" s="614" t="s">
        <v>626</v>
      </c>
      <c r="H342" s="614" t="s">
        <v>682</v>
      </c>
      <c r="I342" s="614" t="s">
        <v>1153</v>
      </c>
      <c r="J342" s="64" t="s">
        <v>3260</v>
      </c>
      <c r="K342" s="1940" t="s">
        <v>5128</v>
      </c>
      <c r="L342" s="1940" t="s">
        <v>8125</v>
      </c>
      <c r="M342" t="s">
        <v>11524</v>
      </c>
      <c r="N342" t="s">
        <v>9840</v>
      </c>
      <c r="O342" t="s">
        <v>5127</v>
      </c>
      <c r="P342" s="614">
        <f>COUNTIF(EducPlans_кодНАЦИД_Спец[аФакСец],EducPlans_кодНАЦИД_Спец[[#This Row],[аФакСец]])</f>
        <v>1</v>
      </c>
    </row>
    <row r="343" spans="3:16" x14ac:dyDescent="0.25">
      <c r="C343" s="614">
        <v>337</v>
      </c>
      <c r="D343" s="614">
        <v>154777</v>
      </c>
      <c r="E343" s="64" t="s">
        <v>1875</v>
      </c>
      <c r="F343" s="64" t="s">
        <v>5129</v>
      </c>
      <c r="G343" s="614" t="s">
        <v>626</v>
      </c>
      <c r="H343" s="614" t="s">
        <v>682</v>
      </c>
      <c r="I343" s="614" t="s">
        <v>1149</v>
      </c>
      <c r="J343" s="64" t="s">
        <v>3262</v>
      </c>
      <c r="K343" s="1940" t="s">
        <v>5130</v>
      </c>
      <c r="L343" s="1940" t="s">
        <v>8126</v>
      </c>
      <c r="M343" t="s">
        <v>11525</v>
      </c>
      <c r="N343" t="s">
        <v>9841</v>
      </c>
      <c r="O343" t="s">
        <v>5129</v>
      </c>
      <c r="P343" s="614">
        <f>COUNTIF(EducPlans_кодНАЦИД_Спец[аФакСец],EducPlans_кодНАЦИД_Спец[[#This Row],[аФакСец]])</f>
        <v>1</v>
      </c>
    </row>
    <row r="344" spans="3:16" x14ac:dyDescent="0.25">
      <c r="C344" s="614">
        <v>338</v>
      </c>
      <c r="D344" s="614">
        <v>154777</v>
      </c>
      <c r="E344" s="64" t="s">
        <v>1875</v>
      </c>
      <c r="F344" s="64" t="s">
        <v>5131</v>
      </c>
      <c r="G344" s="614" t="s">
        <v>626</v>
      </c>
      <c r="H344" s="614" t="s">
        <v>682</v>
      </c>
      <c r="I344" s="614" t="s">
        <v>1149</v>
      </c>
      <c r="J344" s="64" t="s">
        <v>3264</v>
      </c>
      <c r="K344" s="1940" t="s">
        <v>5130</v>
      </c>
      <c r="L344" s="1940" t="s">
        <v>8127</v>
      </c>
      <c r="M344" t="s">
        <v>11526</v>
      </c>
      <c r="N344" t="s">
        <v>9842</v>
      </c>
      <c r="O344" t="s">
        <v>5131</v>
      </c>
      <c r="P344" s="614">
        <f>COUNTIF(EducPlans_кодНАЦИД_Спец[аФакСец],EducPlans_кодНАЦИД_Спец[[#This Row],[аФакСец]])</f>
        <v>1</v>
      </c>
    </row>
    <row r="345" spans="3:16" x14ac:dyDescent="0.25">
      <c r="C345" s="614">
        <v>339</v>
      </c>
      <c r="D345" s="614">
        <v>154777</v>
      </c>
      <c r="E345" s="64" t="s">
        <v>1875</v>
      </c>
      <c r="F345" s="64" t="s">
        <v>5132</v>
      </c>
      <c r="G345" s="614" t="s">
        <v>626</v>
      </c>
      <c r="H345" s="614" t="s">
        <v>682</v>
      </c>
      <c r="I345" s="614" t="s">
        <v>1149</v>
      </c>
      <c r="J345" s="64" t="s">
        <v>3265</v>
      </c>
      <c r="K345" s="1940" t="s">
        <v>5130</v>
      </c>
      <c r="L345" s="1940" t="s">
        <v>8128</v>
      </c>
      <c r="M345" t="s">
        <v>11527</v>
      </c>
      <c r="N345" t="s">
        <v>9843</v>
      </c>
      <c r="O345" t="s">
        <v>5132</v>
      </c>
      <c r="P345" s="614">
        <f>COUNTIF(EducPlans_кодНАЦИД_Спец[аФакСец],EducPlans_кодНАЦИД_Спец[[#This Row],[аФакСец]])</f>
        <v>1</v>
      </c>
    </row>
    <row r="346" spans="3:16" x14ac:dyDescent="0.25">
      <c r="C346" s="614">
        <v>340</v>
      </c>
      <c r="D346" s="614">
        <v>154777</v>
      </c>
      <c r="E346" s="64" t="s">
        <v>1875</v>
      </c>
      <c r="F346" s="64" t="s">
        <v>5133</v>
      </c>
      <c r="G346" s="614" t="s">
        <v>626</v>
      </c>
      <c r="H346" s="614" t="s">
        <v>682</v>
      </c>
      <c r="I346" s="614" t="s">
        <v>1149</v>
      </c>
      <c r="J346" s="64" t="s">
        <v>3263</v>
      </c>
      <c r="K346" s="1940" t="s">
        <v>5130</v>
      </c>
      <c r="L346" s="1940" t="s">
        <v>8129</v>
      </c>
      <c r="M346" t="s">
        <v>11528</v>
      </c>
      <c r="N346" t="s">
        <v>9844</v>
      </c>
      <c r="O346" t="s">
        <v>5133</v>
      </c>
      <c r="P346" s="614">
        <f>COUNTIF(EducPlans_кодНАЦИД_Спец[аФакСец],EducPlans_кодНАЦИД_Спец[[#This Row],[аФакСец]])</f>
        <v>1</v>
      </c>
    </row>
    <row r="347" spans="3:16" x14ac:dyDescent="0.25">
      <c r="C347" s="614">
        <v>341</v>
      </c>
      <c r="D347" s="614">
        <v>12890</v>
      </c>
      <c r="E347" s="64" t="s">
        <v>1949</v>
      </c>
      <c r="F347" s="64" t="s">
        <v>5134</v>
      </c>
      <c r="G347" s="614" t="s">
        <v>626</v>
      </c>
      <c r="H347" s="614" t="s">
        <v>682</v>
      </c>
      <c r="I347" s="614" t="s">
        <v>1153</v>
      </c>
      <c r="J347" s="64" t="s">
        <v>3266</v>
      </c>
      <c r="K347" s="1940" t="s">
        <v>5135</v>
      </c>
      <c r="L347" s="1940" t="s">
        <v>8130</v>
      </c>
      <c r="M347" t="s">
        <v>11529</v>
      </c>
      <c r="N347" t="s">
        <v>9845</v>
      </c>
      <c r="O347" t="s">
        <v>5134</v>
      </c>
      <c r="P347" s="614">
        <f>COUNTIF(EducPlans_кодНАЦИД_Спец[аФакСец],EducPlans_кодНАЦИД_Спец[[#This Row],[аФакСец]])</f>
        <v>1</v>
      </c>
    </row>
    <row r="348" spans="3:16" x14ac:dyDescent="0.25">
      <c r="C348" s="614">
        <v>342</v>
      </c>
      <c r="D348" s="614">
        <v>141834</v>
      </c>
      <c r="E348" s="64" t="s">
        <v>1537</v>
      </c>
      <c r="F348" s="64" t="s">
        <v>5136</v>
      </c>
      <c r="G348" s="614" t="s">
        <v>48</v>
      </c>
      <c r="H348" s="614" t="s">
        <v>682</v>
      </c>
      <c r="I348" s="614" t="s">
        <v>1153</v>
      </c>
      <c r="J348" s="64" t="s">
        <v>3106</v>
      </c>
      <c r="K348" s="1940" t="s">
        <v>5137</v>
      </c>
      <c r="L348" s="1940" t="s">
        <v>8131</v>
      </c>
      <c r="M348" t="s">
        <v>11530</v>
      </c>
      <c r="N348" t="s">
        <v>9846</v>
      </c>
      <c r="O348" t="s">
        <v>5136</v>
      </c>
      <c r="P348" s="614">
        <f>COUNTIF(EducPlans_кодНАЦИД_Спец[аФакСец],EducPlans_кодНАЦИД_Спец[[#This Row],[аФакСец]])</f>
        <v>1</v>
      </c>
    </row>
    <row r="349" spans="3:16" x14ac:dyDescent="0.25">
      <c r="C349" s="614">
        <v>343</v>
      </c>
      <c r="D349" s="614">
        <v>550026</v>
      </c>
      <c r="E349" s="64" t="s">
        <v>13266</v>
      </c>
      <c r="F349" s="64" t="s">
        <v>5139</v>
      </c>
      <c r="G349" s="614" t="s">
        <v>33</v>
      </c>
      <c r="H349" s="614" t="s">
        <v>682</v>
      </c>
      <c r="I349" s="614" t="s">
        <v>1153</v>
      </c>
      <c r="J349" s="64" t="s">
        <v>5140</v>
      </c>
      <c r="K349" s="1940" t="s">
        <v>5141</v>
      </c>
      <c r="L349" s="1940" t="s">
        <v>8132</v>
      </c>
      <c r="M349" t="s">
        <v>13267</v>
      </c>
      <c r="N349" t="s">
        <v>9847</v>
      </c>
      <c r="O349" t="s">
        <v>5139</v>
      </c>
      <c r="P349" s="614">
        <f>COUNTIF(EducPlans_кодНАЦИД_Спец[аФакСец],EducPlans_кодНАЦИД_Спец[[#This Row],[аФакСец]])</f>
        <v>2</v>
      </c>
    </row>
    <row r="350" spans="3:16" x14ac:dyDescent="0.25">
      <c r="C350" s="614">
        <v>344</v>
      </c>
      <c r="D350" s="614">
        <v>550026</v>
      </c>
      <c r="E350" s="64" t="s">
        <v>13266</v>
      </c>
      <c r="F350" s="64" t="s">
        <v>5142</v>
      </c>
      <c r="G350" s="614" t="s">
        <v>33</v>
      </c>
      <c r="H350" s="614" t="s">
        <v>682</v>
      </c>
      <c r="I350" s="614" t="s">
        <v>1153</v>
      </c>
      <c r="J350" s="64" t="s">
        <v>5143</v>
      </c>
      <c r="K350" s="1940" t="s">
        <v>5141</v>
      </c>
      <c r="L350" s="1940" t="s">
        <v>8133</v>
      </c>
      <c r="M350" t="s">
        <v>13268</v>
      </c>
      <c r="N350" t="s">
        <v>9848</v>
      </c>
      <c r="O350" t="s">
        <v>5142</v>
      </c>
      <c r="P350" s="614">
        <f>COUNTIF(EducPlans_кодНАЦИД_Спец[аФакСец],EducPlans_кодНАЦИД_Спец[[#This Row],[аФакСец]])</f>
        <v>1</v>
      </c>
    </row>
    <row r="351" spans="3:16" x14ac:dyDescent="0.25">
      <c r="C351" s="614">
        <v>345</v>
      </c>
      <c r="D351" s="614">
        <v>550026</v>
      </c>
      <c r="E351" s="64" t="s">
        <v>13266</v>
      </c>
      <c r="F351" s="64" t="s">
        <v>5144</v>
      </c>
      <c r="G351" s="614" t="s">
        <v>33</v>
      </c>
      <c r="H351" s="614" t="s">
        <v>682</v>
      </c>
      <c r="I351" s="614" t="s">
        <v>1153</v>
      </c>
      <c r="J351" s="64" t="s">
        <v>5145</v>
      </c>
      <c r="K351" s="1940" t="s">
        <v>5141</v>
      </c>
      <c r="L351" s="1940" t="s">
        <v>8134</v>
      </c>
      <c r="M351" t="s">
        <v>13269</v>
      </c>
      <c r="N351" t="s">
        <v>9849</v>
      </c>
      <c r="O351" t="s">
        <v>5144</v>
      </c>
      <c r="P351" s="614">
        <f>COUNTIF(EducPlans_кодНАЦИД_Спец[аФакСец],EducPlans_кодНАЦИД_Спец[[#This Row],[аФакСец]])</f>
        <v>1</v>
      </c>
    </row>
    <row r="352" spans="3:16" x14ac:dyDescent="0.25">
      <c r="C352" s="614">
        <v>346</v>
      </c>
      <c r="D352" s="614">
        <v>550026</v>
      </c>
      <c r="E352" s="64" t="s">
        <v>13266</v>
      </c>
      <c r="F352" s="64" t="s">
        <v>13270</v>
      </c>
      <c r="G352" s="614" t="s">
        <v>33</v>
      </c>
      <c r="H352" s="614" t="s">
        <v>682</v>
      </c>
      <c r="I352" s="614" t="s">
        <v>1153</v>
      </c>
      <c r="J352" s="64" t="s">
        <v>13271</v>
      </c>
      <c r="K352" s="1940" t="s">
        <v>5141</v>
      </c>
      <c r="L352" s="1940" t="s">
        <v>13272</v>
      </c>
      <c r="M352" t="s">
        <v>13273</v>
      </c>
      <c r="N352" t="s">
        <v>13274</v>
      </c>
      <c r="O352" t="s">
        <v>13270</v>
      </c>
      <c r="P352" s="614">
        <f>COUNTIF(EducPlans_кодНАЦИД_Спец[аФакСец],EducPlans_кодНАЦИД_Спец[[#This Row],[аФакСец]])</f>
        <v>1</v>
      </c>
    </row>
    <row r="353" spans="3:16" x14ac:dyDescent="0.25">
      <c r="C353" s="614">
        <v>347</v>
      </c>
      <c r="D353" s="614">
        <v>550026</v>
      </c>
      <c r="E353" s="64" t="s">
        <v>13266</v>
      </c>
      <c r="F353" s="64" t="s">
        <v>5146</v>
      </c>
      <c r="G353" s="614" t="s">
        <v>33</v>
      </c>
      <c r="H353" s="614" t="s">
        <v>682</v>
      </c>
      <c r="I353" s="614" t="s">
        <v>1153</v>
      </c>
      <c r="J353" s="64" t="s">
        <v>5147</v>
      </c>
      <c r="K353" s="1940" t="s">
        <v>5141</v>
      </c>
      <c r="L353" s="1940" t="s">
        <v>8135</v>
      </c>
      <c r="M353" t="s">
        <v>13275</v>
      </c>
      <c r="N353" t="s">
        <v>9850</v>
      </c>
      <c r="O353" t="s">
        <v>5146</v>
      </c>
      <c r="P353" s="614">
        <f>COUNTIF(EducPlans_кодНАЦИД_Спец[аФакСец],EducPlans_кодНАЦИД_Спец[[#This Row],[аФакСец]])</f>
        <v>1</v>
      </c>
    </row>
    <row r="354" spans="3:16" x14ac:dyDescent="0.25">
      <c r="C354" s="614">
        <v>348</v>
      </c>
      <c r="D354" s="614">
        <v>980153</v>
      </c>
      <c r="E354" s="64" t="s">
        <v>13276</v>
      </c>
      <c r="F354" s="64" t="s">
        <v>13277</v>
      </c>
      <c r="G354" s="614" t="s">
        <v>33</v>
      </c>
      <c r="H354" s="614" t="s">
        <v>682</v>
      </c>
      <c r="I354" s="614" t="s">
        <v>1153</v>
      </c>
      <c r="J354" s="64" t="s">
        <v>5140</v>
      </c>
      <c r="K354" s="1940" t="s">
        <v>13278</v>
      </c>
      <c r="L354" s="1940" t="s">
        <v>8132</v>
      </c>
      <c r="M354" t="s">
        <v>13279</v>
      </c>
      <c r="N354" t="s">
        <v>9847</v>
      </c>
      <c r="O354" t="s">
        <v>13277</v>
      </c>
      <c r="P354" s="614">
        <f>COUNTIF(EducPlans_кодНАЦИД_Спец[аФакСец],EducPlans_кодНАЦИД_Спец[[#This Row],[аФакСец]])</f>
        <v>2</v>
      </c>
    </row>
    <row r="355" spans="3:16" x14ac:dyDescent="0.25">
      <c r="C355" s="614">
        <v>349</v>
      </c>
      <c r="D355" s="614">
        <v>12948</v>
      </c>
      <c r="E355" s="64" t="s">
        <v>1796</v>
      </c>
      <c r="F355" s="64" t="s">
        <v>5148</v>
      </c>
      <c r="G355" s="614" t="s">
        <v>42</v>
      </c>
      <c r="H355" s="614" t="s">
        <v>682</v>
      </c>
      <c r="I355" s="614" t="s">
        <v>1149</v>
      </c>
      <c r="J355" s="64" t="s">
        <v>3466</v>
      </c>
      <c r="K355" s="1940" t="s">
        <v>5149</v>
      </c>
      <c r="L355" s="1940" t="s">
        <v>8136</v>
      </c>
      <c r="M355" t="s">
        <v>11531</v>
      </c>
      <c r="N355" t="s">
        <v>9851</v>
      </c>
      <c r="O355" t="s">
        <v>5148</v>
      </c>
      <c r="P355" s="614">
        <f>COUNTIF(EducPlans_кодНАЦИД_Спец[аФакСец],EducPlans_кодНАЦИД_Спец[[#This Row],[аФакСец]])</f>
        <v>1</v>
      </c>
    </row>
    <row r="356" spans="3:16" x14ac:dyDescent="0.25">
      <c r="C356" s="614">
        <v>350</v>
      </c>
      <c r="D356" s="614">
        <v>289337</v>
      </c>
      <c r="E356" s="64" t="s">
        <v>1797</v>
      </c>
      <c r="F356" s="64" t="s">
        <v>5150</v>
      </c>
      <c r="G356" s="614" t="s">
        <v>42</v>
      </c>
      <c r="H356" s="614" t="s">
        <v>682</v>
      </c>
      <c r="I356" s="614" t="s">
        <v>1153</v>
      </c>
      <c r="J356" s="64" t="s">
        <v>3467</v>
      </c>
      <c r="K356" s="1940" t="s">
        <v>5151</v>
      </c>
      <c r="L356" s="1940" t="s">
        <v>8137</v>
      </c>
      <c r="M356" t="s">
        <v>11532</v>
      </c>
      <c r="N356" t="s">
        <v>9852</v>
      </c>
      <c r="O356" t="s">
        <v>5150</v>
      </c>
      <c r="P356" s="614">
        <f>COUNTIF(EducPlans_кодНАЦИД_Спец[аФакСец],EducPlans_кодНАЦИД_Спец[[#This Row],[аФакСец]])</f>
        <v>1</v>
      </c>
    </row>
    <row r="357" spans="3:16" x14ac:dyDescent="0.25">
      <c r="C357" s="614">
        <v>351</v>
      </c>
      <c r="D357" s="614">
        <v>765806</v>
      </c>
      <c r="E357" s="64" t="s">
        <v>1797</v>
      </c>
      <c r="F357" s="64" t="s">
        <v>13280</v>
      </c>
      <c r="G357" s="614" t="s">
        <v>42</v>
      </c>
      <c r="H357" s="614" t="s">
        <v>682</v>
      </c>
      <c r="I357" s="614" t="s">
        <v>1149</v>
      </c>
      <c r="J357" s="64" t="s">
        <v>13281</v>
      </c>
      <c r="K357" s="1940" t="s">
        <v>13282</v>
      </c>
      <c r="L357" s="1940" t="s">
        <v>13283</v>
      </c>
      <c r="M357" t="s">
        <v>13284</v>
      </c>
      <c r="N357" t="s">
        <v>13285</v>
      </c>
      <c r="O357" t="s">
        <v>13280</v>
      </c>
      <c r="P357" s="614">
        <f>COUNTIF(EducPlans_кодНАЦИД_Спец[аФакСец],EducPlans_кодНАЦИД_Спец[[#This Row],[аФакСец]])</f>
        <v>1</v>
      </c>
    </row>
    <row r="358" spans="3:16" x14ac:dyDescent="0.25">
      <c r="C358" s="614">
        <v>352</v>
      </c>
      <c r="D358" s="614">
        <v>548104</v>
      </c>
      <c r="E358" s="64" t="s">
        <v>13286</v>
      </c>
      <c r="F358" s="64" t="s">
        <v>5153</v>
      </c>
      <c r="G358" s="614" t="s">
        <v>39</v>
      </c>
      <c r="H358" s="614" t="s">
        <v>682</v>
      </c>
      <c r="I358" s="614" t="s">
        <v>1153</v>
      </c>
      <c r="J358" s="64" t="s">
        <v>5154</v>
      </c>
      <c r="K358" s="1940" t="s">
        <v>5155</v>
      </c>
      <c r="L358" s="1940" t="s">
        <v>8138</v>
      </c>
      <c r="M358" t="s">
        <v>13287</v>
      </c>
      <c r="N358" t="s">
        <v>9853</v>
      </c>
      <c r="O358" t="s">
        <v>5153</v>
      </c>
      <c r="P358" s="614">
        <f>COUNTIF(EducPlans_кодНАЦИД_Спец[аФакСец],EducPlans_кодНАЦИД_Спец[[#This Row],[аФакСец]])</f>
        <v>2</v>
      </c>
    </row>
    <row r="359" spans="3:16" x14ac:dyDescent="0.25">
      <c r="C359" s="614">
        <v>353</v>
      </c>
      <c r="D359" s="614">
        <v>548104</v>
      </c>
      <c r="E359" s="64" t="s">
        <v>13286</v>
      </c>
      <c r="F359" s="64" t="s">
        <v>13288</v>
      </c>
      <c r="G359" s="614" t="s">
        <v>39</v>
      </c>
      <c r="H359" s="614" t="s">
        <v>682</v>
      </c>
      <c r="I359" s="614" t="s">
        <v>1153</v>
      </c>
      <c r="J359" s="64" t="s">
        <v>13289</v>
      </c>
      <c r="K359" s="1940" t="s">
        <v>5155</v>
      </c>
      <c r="L359" s="1940" t="s">
        <v>13290</v>
      </c>
      <c r="M359" t="s">
        <v>13291</v>
      </c>
      <c r="N359" t="s">
        <v>13292</v>
      </c>
      <c r="O359" t="s">
        <v>13288</v>
      </c>
      <c r="P359" s="614">
        <f>COUNTIF(EducPlans_кодНАЦИД_Спец[аФакСец],EducPlans_кодНАЦИД_Спец[[#This Row],[аФакСец]])</f>
        <v>1</v>
      </c>
    </row>
    <row r="360" spans="3:16" x14ac:dyDescent="0.25">
      <c r="C360" s="614">
        <v>354</v>
      </c>
      <c r="D360" s="614">
        <v>765941</v>
      </c>
      <c r="E360" s="64" t="s">
        <v>13286</v>
      </c>
      <c r="F360" s="64" t="s">
        <v>13293</v>
      </c>
      <c r="G360" s="614" t="s">
        <v>39</v>
      </c>
      <c r="H360" s="614" t="s">
        <v>682</v>
      </c>
      <c r="I360" s="614" t="s">
        <v>1153</v>
      </c>
      <c r="J360" s="64" t="s">
        <v>13294</v>
      </c>
      <c r="K360" s="1940" t="s">
        <v>5155</v>
      </c>
      <c r="L360" s="1940" t="s">
        <v>13295</v>
      </c>
      <c r="M360" t="s">
        <v>13296</v>
      </c>
      <c r="N360" t="s">
        <v>13297</v>
      </c>
      <c r="O360" t="s">
        <v>13293</v>
      </c>
      <c r="P360" s="614">
        <f>COUNTIF(EducPlans_кодНАЦИД_Спец[аФакСец],EducPlans_кодНАЦИД_Спец[[#This Row],[аФакСец]])</f>
        <v>1</v>
      </c>
    </row>
    <row r="361" spans="3:16" x14ac:dyDescent="0.25">
      <c r="C361" s="614">
        <v>355</v>
      </c>
      <c r="D361" s="614">
        <v>765941</v>
      </c>
      <c r="E361" s="64" t="s">
        <v>13286</v>
      </c>
      <c r="F361" s="64" t="s">
        <v>13298</v>
      </c>
      <c r="G361" s="614" t="s">
        <v>39</v>
      </c>
      <c r="H361" s="614" t="s">
        <v>682</v>
      </c>
      <c r="I361" s="614" t="s">
        <v>1153</v>
      </c>
      <c r="J361" s="64" t="s">
        <v>13299</v>
      </c>
      <c r="K361" s="1940" t="s">
        <v>5155</v>
      </c>
      <c r="L361" s="1940" t="s">
        <v>13300</v>
      </c>
      <c r="M361" t="s">
        <v>13301</v>
      </c>
      <c r="N361" t="s">
        <v>13302</v>
      </c>
      <c r="O361" t="s">
        <v>13298</v>
      </c>
      <c r="P361" s="614">
        <f>COUNTIF(EducPlans_кодНАЦИД_Спец[аФакСец],EducPlans_кодНАЦИД_Спец[[#This Row],[аФакСец]])</f>
        <v>1</v>
      </c>
    </row>
    <row r="362" spans="3:16" x14ac:dyDescent="0.25">
      <c r="C362" s="614">
        <v>356</v>
      </c>
      <c r="D362" s="614">
        <v>843260</v>
      </c>
      <c r="E362" s="64" t="s">
        <v>13286</v>
      </c>
      <c r="F362" s="64" t="s">
        <v>13303</v>
      </c>
      <c r="G362" s="614" t="s">
        <v>39</v>
      </c>
      <c r="H362" s="614" t="s">
        <v>682</v>
      </c>
      <c r="I362" s="614" t="s">
        <v>1153</v>
      </c>
      <c r="J362" s="64" t="s">
        <v>5154</v>
      </c>
      <c r="K362" s="1940" t="s">
        <v>5155</v>
      </c>
      <c r="L362" s="1940" t="s">
        <v>8138</v>
      </c>
      <c r="M362" t="s">
        <v>13287</v>
      </c>
      <c r="N362" t="s">
        <v>9853</v>
      </c>
      <c r="O362" t="s">
        <v>13303</v>
      </c>
      <c r="P362" s="614">
        <f>COUNTIF(EducPlans_кодНАЦИД_Спец[аФакСец],EducPlans_кодНАЦИД_Спец[[#This Row],[аФакСец]])</f>
        <v>2</v>
      </c>
    </row>
    <row r="363" spans="3:16" x14ac:dyDescent="0.25">
      <c r="C363" s="614">
        <v>357</v>
      </c>
      <c r="D363" s="614">
        <v>843260</v>
      </c>
      <c r="E363" s="64" t="s">
        <v>13286</v>
      </c>
      <c r="F363" s="64" t="s">
        <v>13304</v>
      </c>
      <c r="G363" s="614" t="s">
        <v>39</v>
      </c>
      <c r="H363" s="614" t="s">
        <v>682</v>
      </c>
      <c r="I363" s="614" t="s">
        <v>1153</v>
      </c>
      <c r="J363" s="64" t="s">
        <v>13305</v>
      </c>
      <c r="K363" s="1940" t="s">
        <v>5155</v>
      </c>
      <c r="L363" s="1940" t="s">
        <v>13306</v>
      </c>
      <c r="M363" t="s">
        <v>13307</v>
      </c>
      <c r="N363" t="s">
        <v>13308</v>
      </c>
      <c r="O363" t="s">
        <v>13304</v>
      </c>
      <c r="P363" s="614">
        <f>COUNTIF(EducPlans_кодНАЦИД_Спец[аФакСец],EducPlans_кодНАЦИД_Спец[[#This Row],[аФакСец]])</f>
        <v>1</v>
      </c>
    </row>
    <row r="364" spans="3:16" x14ac:dyDescent="0.25">
      <c r="C364" s="614">
        <v>358</v>
      </c>
      <c r="D364" s="614">
        <v>845897</v>
      </c>
      <c r="E364" s="64" t="s">
        <v>13286</v>
      </c>
      <c r="F364" s="64" t="s">
        <v>13309</v>
      </c>
      <c r="G364" s="614" t="s">
        <v>39</v>
      </c>
      <c r="H364" s="614" t="s">
        <v>682</v>
      </c>
      <c r="I364" s="614" t="s">
        <v>1153</v>
      </c>
      <c r="J364" s="64" t="s">
        <v>13310</v>
      </c>
      <c r="K364" s="1940" t="s">
        <v>5155</v>
      </c>
      <c r="L364" s="1940" t="s">
        <v>13311</v>
      </c>
      <c r="M364" t="s">
        <v>13312</v>
      </c>
      <c r="N364" t="s">
        <v>13313</v>
      </c>
      <c r="O364" t="s">
        <v>13309</v>
      </c>
      <c r="P364" s="614">
        <f>COUNTIF(EducPlans_кодНАЦИД_Спец[аФакСец],EducPlans_кодНАЦИД_Спец[[#This Row],[аФакСец]])</f>
        <v>1</v>
      </c>
    </row>
    <row r="365" spans="3:16" x14ac:dyDescent="0.25">
      <c r="C365" s="614">
        <v>359</v>
      </c>
      <c r="D365" s="614">
        <v>548106</v>
      </c>
      <c r="E365" s="64" t="s">
        <v>13286</v>
      </c>
      <c r="F365" s="64" t="s">
        <v>5156</v>
      </c>
      <c r="G365" s="614" t="s">
        <v>39</v>
      </c>
      <c r="H365" s="614" t="s">
        <v>682</v>
      </c>
      <c r="I365" s="614" t="s">
        <v>1149</v>
      </c>
      <c r="J365" s="64" t="s">
        <v>5157</v>
      </c>
      <c r="K365" s="1940" t="s">
        <v>5158</v>
      </c>
      <c r="L365" s="1940" t="s">
        <v>8139</v>
      </c>
      <c r="M365" t="s">
        <v>13314</v>
      </c>
      <c r="N365" t="s">
        <v>9854</v>
      </c>
      <c r="O365" t="s">
        <v>5156</v>
      </c>
      <c r="P365" s="614">
        <f>COUNTIF(EducPlans_кодНАЦИД_Спец[аФакСец],EducPlans_кодНАЦИД_Спец[[#This Row],[аФакСец]])</f>
        <v>2</v>
      </c>
    </row>
    <row r="366" spans="3:16" x14ac:dyDescent="0.25">
      <c r="C366" s="614">
        <v>360</v>
      </c>
      <c r="D366" s="614">
        <v>548106</v>
      </c>
      <c r="E366" s="64" t="s">
        <v>13286</v>
      </c>
      <c r="F366" s="64" t="s">
        <v>13315</v>
      </c>
      <c r="G366" s="614" t="s">
        <v>39</v>
      </c>
      <c r="H366" s="614" t="s">
        <v>682</v>
      </c>
      <c r="I366" s="614" t="s">
        <v>1149</v>
      </c>
      <c r="J366" s="64" t="s">
        <v>13316</v>
      </c>
      <c r="K366" s="1940" t="s">
        <v>5158</v>
      </c>
      <c r="L366" s="1940" t="s">
        <v>13317</v>
      </c>
      <c r="M366" t="s">
        <v>13318</v>
      </c>
      <c r="N366" t="s">
        <v>13319</v>
      </c>
      <c r="O366" t="s">
        <v>13315</v>
      </c>
      <c r="P366" s="614">
        <f>COUNTIF(EducPlans_кодНАЦИД_Спец[аФакСец],EducPlans_кодНАЦИД_Спец[[#This Row],[аФакСец]])</f>
        <v>1</v>
      </c>
    </row>
    <row r="367" spans="3:16" x14ac:dyDescent="0.25">
      <c r="C367" s="614">
        <v>361</v>
      </c>
      <c r="D367" s="614">
        <v>548106</v>
      </c>
      <c r="E367" s="64" t="s">
        <v>13286</v>
      </c>
      <c r="F367" s="64" t="s">
        <v>5159</v>
      </c>
      <c r="G367" s="614" t="s">
        <v>39</v>
      </c>
      <c r="H367" s="614" t="s">
        <v>682</v>
      </c>
      <c r="I367" s="614" t="s">
        <v>1149</v>
      </c>
      <c r="J367" s="64" t="s">
        <v>5160</v>
      </c>
      <c r="K367" s="1940" t="s">
        <v>5158</v>
      </c>
      <c r="L367" s="1940" t="s">
        <v>8140</v>
      </c>
      <c r="M367" t="s">
        <v>13320</v>
      </c>
      <c r="N367" t="s">
        <v>9855</v>
      </c>
      <c r="O367" t="s">
        <v>5159</v>
      </c>
      <c r="P367" s="614">
        <f>COUNTIF(EducPlans_кодНАЦИД_Спец[аФакСец],EducPlans_кодНАЦИД_Спец[[#This Row],[аФакСец]])</f>
        <v>1</v>
      </c>
    </row>
    <row r="368" spans="3:16" x14ac:dyDescent="0.25">
      <c r="C368" s="614">
        <v>362</v>
      </c>
      <c r="D368" s="614">
        <v>548679</v>
      </c>
      <c r="E368" s="64" t="s">
        <v>13286</v>
      </c>
      <c r="F368" s="64" t="s">
        <v>5161</v>
      </c>
      <c r="G368" s="614" t="s">
        <v>39</v>
      </c>
      <c r="H368" s="614" t="s">
        <v>682</v>
      </c>
      <c r="I368" s="614" t="s">
        <v>1149</v>
      </c>
      <c r="J368" s="64" t="s">
        <v>5162</v>
      </c>
      <c r="K368" s="1940" t="s">
        <v>5158</v>
      </c>
      <c r="L368" s="1940" t="s">
        <v>8141</v>
      </c>
      <c r="M368" t="s">
        <v>13321</v>
      </c>
      <c r="N368" t="s">
        <v>9856</v>
      </c>
      <c r="O368" t="s">
        <v>5161</v>
      </c>
      <c r="P368" s="614">
        <f>COUNTIF(EducPlans_кодНАЦИД_Спец[аФакСец],EducPlans_кодНАЦИД_Спец[[#This Row],[аФакСец]])</f>
        <v>1</v>
      </c>
    </row>
    <row r="369" spans="3:16" x14ac:dyDescent="0.25">
      <c r="C369" s="614">
        <v>363</v>
      </c>
      <c r="D369" s="614">
        <v>548679</v>
      </c>
      <c r="E369" s="64" t="s">
        <v>13286</v>
      </c>
      <c r="F369" s="64" t="s">
        <v>13322</v>
      </c>
      <c r="G369" s="614" t="s">
        <v>39</v>
      </c>
      <c r="H369" s="614" t="s">
        <v>682</v>
      </c>
      <c r="I369" s="614" t="s">
        <v>1149</v>
      </c>
      <c r="J369" s="64" t="s">
        <v>13323</v>
      </c>
      <c r="K369" s="1940" t="s">
        <v>5158</v>
      </c>
      <c r="L369" s="1940" t="s">
        <v>13324</v>
      </c>
      <c r="M369" t="s">
        <v>13325</v>
      </c>
      <c r="N369" t="s">
        <v>13326</v>
      </c>
      <c r="O369" t="s">
        <v>13322</v>
      </c>
      <c r="P369" s="614">
        <f>COUNTIF(EducPlans_кодНАЦИД_Спец[аФакСец],EducPlans_кодНАЦИД_Спец[[#This Row],[аФакСец]])</f>
        <v>1</v>
      </c>
    </row>
    <row r="370" spans="3:16" x14ac:dyDescent="0.25">
      <c r="C370" s="614">
        <v>364</v>
      </c>
      <c r="D370" s="614">
        <v>843261</v>
      </c>
      <c r="E370" s="64" t="s">
        <v>13286</v>
      </c>
      <c r="F370" s="64" t="s">
        <v>13327</v>
      </c>
      <c r="G370" s="614" t="s">
        <v>39</v>
      </c>
      <c r="H370" s="614" t="s">
        <v>682</v>
      </c>
      <c r="I370" s="614" t="s">
        <v>1149</v>
      </c>
      <c r="J370" s="64" t="s">
        <v>5157</v>
      </c>
      <c r="K370" s="1940" t="s">
        <v>5158</v>
      </c>
      <c r="L370" s="1940" t="s">
        <v>8139</v>
      </c>
      <c r="M370" t="s">
        <v>13314</v>
      </c>
      <c r="N370" t="s">
        <v>9854</v>
      </c>
      <c r="O370" t="s">
        <v>13327</v>
      </c>
      <c r="P370" s="614">
        <f>COUNTIF(EducPlans_кодНАЦИД_Спец[аФакСец],EducPlans_кодНАЦИД_Спец[[#This Row],[аФакСец]])</f>
        <v>2</v>
      </c>
    </row>
    <row r="371" spans="3:16" x14ac:dyDescent="0.25">
      <c r="C371" s="614">
        <v>365</v>
      </c>
      <c r="D371" s="614">
        <v>845898</v>
      </c>
      <c r="E371" s="64" t="s">
        <v>13286</v>
      </c>
      <c r="F371" s="64" t="s">
        <v>13328</v>
      </c>
      <c r="G371" s="614" t="s">
        <v>39</v>
      </c>
      <c r="H371" s="614" t="s">
        <v>682</v>
      </c>
      <c r="I371" s="614" t="s">
        <v>1149</v>
      </c>
      <c r="J371" s="64" t="s">
        <v>13329</v>
      </c>
      <c r="K371" s="1940" t="s">
        <v>5158</v>
      </c>
      <c r="L371" s="1940" t="s">
        <v>13330</v>
      </c>
      <c r="M371" t="s">
        <v>13331</v>
      </c>
      <c r="N371" t="s">
        <v>13332</v>
      </c>
      <c r="O371" t="s">
        <v>13328</v>
      </c>
      <c r="P371" s="614">
        <f>COUNTIF(EducPlans_кодНАЦИД_Спец[аФакСец],EducPlans_кодНАЦИД_Спец[[#This Row],[аФакСец]])</f>
        <v>1</v>
      </c>
    </row>
    <row r="372" spans="3:16" x14ac:dyDescent="0.25">
      <c r="C372" s="614">
        <v>366</v>
      </c>
      <c r="D372" s="614">
        <v>952296</v>
      </c>
      <c r="E372" s="64" t="s">
        <v>13286</v>
      </c>
      <c r="F372" s="64" t="s">
        <v>13333</v>
      </c>
      <c r="G372" s="614" t="s">
        <v>39</v>
      </c>
      <c r="H372" s="614" t="s">
        <v>682</v>
      </c>
      <c r="I372" s="614" t="s">
        <v>1167</v>
      </c>
      <c r="J372" s="64" t="s">
        <v>13334</v>
      </c>
      <c r="K372" s="1940" t="s">
        <v>13335</v>
      </c>
      <c r="L372" s="1940" t="s">
        <v>13336</v>
      </c>
      <c r="M372" t="s">
        <v>13337</v>
      </c>
      <c r="N372" t="s">
        <v>13338</v>
      </c>
      <c r="O372" t="s">
        <v>13333</v>
      </c>
      <c r="P372" s="614">
        <f>COUNTIF(EducPlans_кодНАЦИД_Спец[аФакСец],EducPlans_кодНАЦИД_Спец[[#This Row],[аФакСец]])</f>
        <v>1</v>
      </c>
    </row>
    <row r="373" spans="3:16" x14ac:dyDescent="0.25">
      <c r="C373" s="614">
        <v>367</v>
      </c>
      <c r="D373" s="614">
        <v>952298</v>
      </c>
      <c r="E373" s="64" t="s">
        <v>13339</v>
      </c>
      <c r="F373" s="64" t="s">
        <v>13340</v>
      </c>
      <c r="G373" s="614" t="s">
        <v>39</v>
      </c>
      <c r="H373" s="614" t="s">
        <v>682</v>
      </c>
      <c r="I373" s="614" t="s">
        <v>1167</v>
      </c>
      <c r="J373" s="64" t="s">
        <v>13341</v>
      </c>
      <c r="K373" s="1940" t="s">
        <v>13342</v>
      </c>
      <c r="L373" s="1940" t="s">
        <v>13343</v>
      </c>
      <c r="M373" t="s">
        <v>13344</v>
      </c>
      <c r="N373" t="s">
        <v>13345</v>
      </c>
      <c r="O373" t="s">
        <v>13340</v>
      </c>
      <c r="P373" s="614">
        <f>COUNTIF(EducPlans_кодНАЦИД_Спец[аФакСец],EducPlans_кодНАЦИД_Спец[[#This Row],[аФакСец]])</f>
        <v>1</v>
      </c>
    </row>
    <row r="374" spans="3:16" x14ac:dyDescent="0.25">
      <c r="C374" s="614">
        <v>368</v>
      </c>
      <c r="D374" s="614">
        <v>11787</v>
      </c>
      <c r="E374" s="64" t="s">
        <v>2298</v>
      </c>
      <c r="F374" s="64" t="s">
        <v>5163</v>
      </c>
      <c r="G374" s="614" t="s">
        <v>26</v>
      </c>
      <c r="H374" s="614" t="s">
        <v>682</v>
      </c>
      <c r="I374" s="614" t="s">
        <v>1153</v>
      </c>
      <c r="J374" s="64" t="s">
        <v>3664</v>
      </c>
      <c r="K374" s="1940" t="s">
        <v>5164</v>
      </c>
      <c r="L374" s="1940" t="s">
        <v>8142</v>
      </c>
      <c r="M374" t="s">
        <v>11533</v>
      </c>
      <c r="N374" t="s">
        <v>9857</v>
      </c>
      <c r="O374" t="s">
        <v>5163</v>
      </c>
      <c r="P374" s="614">
        <f>COUNTIF(EducPlans_кодНАЦИД_Спец[аФакСец],EducPlans_кодНАЦИД_Спец[[#This Row],[аФакСец]])</f>
        <v>1</v>
      </c>
    </row>
    <row r="375" spans="3:16" x14ac:dyDescent="0.25">
      <c r="C375" s="614">
        <v>369</v>
      </c>
      <c r="D375" s="614">
        <v>11794</v>
      </c>
      <c r="E375" s="64" t="s">
        <v>2299</v>
      </c>
      <c r="F375" s="64" t="s">
        <v>5165</v>
      </c>
      <c r="G375" s="614" t="s">
        <v>26</v>
      </c>
      <c r="H375" s="614" t="s">
        <v>682</v>
      </c>
      <c r="I375" s="614" t="s">
        <v>1153</v>
      </c>
      <c r="J375" s="64" t="s">
        <v>3666</v>
      </c>
      <c r="K375" s="1940" t="s">
        <v>5166</v>
      </c>
      <c r="L375" s="1940" t="s">
        <v>8143</v>
      </c>
      <c r="M375" t="s">
        <v>11534</v>
      </c>
      <c r="N375" t="s">
        <v>9858</v>
      </c>
      <c r="O375" t="s">
        <v>5165</v>
      </c>
      <c r="P375" s="614">
        <f>COUNTIF(EducPlans_кодНАЦИД_Спец[аФакСец],EducPlans_кодНАЦИД_Спец[[#This Row],[аФакСец]])</f>
        <v>1</v>
      </c>
    </row>
    <row r="376" spans="3:16" x14ac:dyDescent="0.25">
      <c r="C376" s="614">
        <v>370</v>
      </c>
      <c r="D376" s="614">
        <v>11789</v>
      </c>
      <c r="E376" s="64" t="s">
        <v>2300</v>
      </c>
      <c r="F376" s="64" t="s">
        <v>5167</v>
      </c>
      <c r="G376" s="614" t="s">
        <v>26</v>
      </c>
      <c r="H376" s="614" t="s">
        <v>682</v>
      </c>
      <c r="I376" s="614" t="s">
        <v>1153</v>
      </c>
      <c r="J376" s="64" t="s">
        <v>3667</v>
      </c>
      <c r="K376" s="1940" t="s">
        <v>5168</v>
      </c>
      <c r="L376" s="1940" t="s">
        <v>8144</v>
      </c>
      <c r="M376" t="s">
        <v>11535</v>
      </c>
      <c r="N376" t="s">
        <v>9859</v>
      </c>
      <c r="O376" t="s">
        <v>5167</v>
      </c>
      <c r="P376" s="614">
        <f>COUNTIF(EducPlans_кодНАЦИД_Спец[аФакСец],EducPlans_кодНАЦИД_Спец[[#This Row],[аФакСец]])</f>
        <v>1</v>
      </c>
    </row>
    <row r="377" spans="3:16" x14ac:dyDescent="0.25">
      <c r="C377" s="614">
        <v>371</v>
      </c>
      <c r="D377" s="614">
        <v>11171</v>
      </c>
      <c r="E377" s="64" t="s">
        <v>1538</v>
      </c>
      <c r="F377" s="64" t="s">
        <v>5169</v>
      </c>
      <c r="G377" s="614" t="s">
        <v>48</v>
      </c>
      <c r="H377" s="614" t="s">
        <v>682</v>
      </c>
      <c r="I377" s="614" t="s">
        <v>1153</v>
      </c>
      <c r="J377" s="64" t="s">
        <v>3107</v>
      </c>
      <c r="K377" s="1940" t="s">
        <v>5170</v>
      </c>
      <c r="L377" s="1940" t="s">
        <v>8145</v>
      </c>
      <c r="M377" t="s">
        <v>11536</v>
      </c>
      <c r="N377" t="s">
        <v>9860</v>
      </c>
      <c r="O377" t="s">
        <v>5169</v>
      </c>
      <c r="P377" s="614">
        <f>COUNTIF(EducPlans_кодНАЦИД_Спец[аФакСец],EducPlans_кодНАЦИД_Спец[[#This Row],[аФакСец]])</f>
        <v>1</v>
      </c>
    </row>
    <row r="378" spans="3:16" x14ac:dyDescent="0.25">
      <c r="C378" s="614">
        <v>372</v>
      </c>
      <c r="D378" s="614">
        <v>11176</v>
      </c>
      <c r="E378" s="64" t="s">
        <v>1539</v>
      </c>
      <c r="F378" s="64" t="s">
        <v>5171</v>
      </c>
      <c r="G378" s="614" t="s">
        <v>48</v>
      </c>
      <c r="H378" s="614" t="s">
        <v>682</v>
      </c>
      <c r="I378" s="614" t="s">
        <v>1153</v>
      </c>
      <c r="J378" s="64" t="s">
        <v>3108</v>
      </c>
      <c r="K378" s="1940" t="s">
        <v>5172</v>
      </c>
      <c r="L378" s="1940" t="s">
        <v>8146</v>
      </c>
      <c r="M378" t="s">
        <v>11537</v>
      </c>
      <c r="N378" t="s">
        <v>9861</v>
      </c>
      <c r="O378" t="s">
        <v>5171</v>
      </c>
      <c r="P378" s="614">
        <f>COUNTIF(EducPlans_кодНАЦИД_Спец[аФакСец],EducPlans_кодНАЦИД_Спец[[#This Row],[аФакСец]])</f>
        <v>1</v>
      </c>
    </row>
    <row r="379" spans="3:16" x14ac:dyDescent="0.25">
      <c r="C379" s="614">
        <v>373</v>
      </c>
      <c r="D379" s="614">
        <v>11841</v>
      </c>
      <c r="E379" s="64" t="s">
        <v>2316</v>
      </c>
      <c r="F379" s="64" t="s">
        <v>5173</v>
      </c>
      <c r="G379" s="614" t="s">
        <v>26</v>
      </c>
      <c r="H379" s="614" t="s">
        <v>682</v>
      </c>
      <c r="I379" s="614" t="s">
        <v>1153</v>
      </c>
      <c r="J379" s="64" t="s">
        <v>3668</v>
      </c>
      <c r="K379" s="1940" t="s">
        <v>5174</v>
      </c>
      <c r="L379" s="1940" t="s">
        <v>8147</v>
      </c>
      <c r="M379" t="s">
        <v>11538</v>
      </c>
      <c r="N379" t="s">
        <v>9862</v>
      </c>
      <c r="O379" t="s">
        <v>5173</v>
      </c>
      <c r="P379" s="614">
        <f>COUNTIF(EducPlans_кодНАЦИД_Спец[аФакСец],EducPlans_кодНАЦИД_Спец[[#This Row],[аФакСец]])</f>
        <v>1</v>
      </c>
    </row>
    <row r="380" spans="3:16" x14ac:dyDescent="0.25">
      <c r="C380" s="614">
        <v>374</v>
      </c>
      <c r="D380" s="614">
        <v>1001243</v>
      </c>
      <c r="E380" s="64" t="s">
        <v>2163</v>
      </c>
      <c r="F380" s="64" t="s">
        <v>13346</v>
      </c>
      <c r="G380" s="614" t="s">
        <v>29</v>
      </c>
      <c r="H380" s="614" t="s">
        <v>682</v>
      </c>
      <c r="I380" s="614" t="s">
        <v>1153</v>
      </c>
      <c r="J380" s="64" t="s">
        <v>13347</v>
      </c>
      <c r="K380" s="1940" t="s">
        <v>5181</v>
      </c>
      <c r="L380" s="1940" t="s">
        <v>13348</v>
      </c>
      <c r="M380" t="s">
        <v>13349</v>
      </c>
      <c r="N380" t="s">
        <v>13350</v>
      </c>
      <c r="O380" t="s">
        <v>13346</v>
      </c>
      <c r="P380" s="614">
        <f>COUNTIF(EducPlans_кодНАЦИД_Спец[аФакСец],EducPlans_кодНАЦИД_Спец[[#This Row],[аФакСец]])</f>
        <v>1</v>
      </c>
    </row>
    <row r="381" spans="3:16" x14ac:dyDescent="0.25">
      <c r="C381" s="614">
        <v>375</v>
      </c>
      <c r="D381" s="614">
        <v>12119</v>
      </c>
      <c r="E381" s="64" t="s">
        <v>2163</v>
      </c>
      <c r="F381" s="64" t="s">
        <v>5175</v>
      </c>
      <c r="G381" s="614" t="s">
        <v>29</v>
      </c>
      <c r="H381" s="614" t="s">
        <v>682</v>
      </c>
      <c r="I381" s="614" t="s">
        <v>1153</v>
      </c>
      <c r="J381" s="64" t="s">
        <v>5176</v>
      </c>
      <c r="K381" s="1940" t="s">
        <v>5177</v>
      </c>
      <c r="L381" s="1940" t="s">
        <v>8148</v>
      </c>
      <c r="M381" t="s">
        <v>11539</v>
      </c>
      <c r="N381" t="s">
        <v>9863</v>
      </c>
      <c r="O381" t="s">
        <v>5175</v>
      </c>
      <c r="P381" s="614">
        <f>COUNTIF(EducPlans_кодНАЦИД_Спец[аФакСец],EducPlans_кодНАЦИД_Спец[[#This Row],[аФакСец]])</f>
        <v>1</v>
      </c>
    </row>
    <row r="382" spans="3:16" x14ac:dyDescent="0.25">
      <c r="C382" s="614">
        <v>376</v>
      </c>
      <c r="D382" s="614">
        <v>12119</v>
      </c>
      <c r="E382" s="64" t="s">
        <v>2163</v>
      </c>
      <c r="F382" s="64" t="s">
        <v>5178</v>
      </c>
      <c r="G382" s="614" t="s">
        <v>29</v>
      </c>
      <c r="H382" s="614" t="s">
        <v>682</v>
      </c>
      <c r="I382" s="614" t="s">
        <v>1153</v>
      </c>
      <c r="J382" s="64" t="s">
        <v>5179</v>
      </c>
      <c r="K382" s="1940" t="s">
        <v>5177</v>
      </c>
      <c r="L382" s="1940" t="s">
        <v>8149</v>
      </c>
      <c r="M382" t="s">
        <v>11540</v>
      </c>
      <c r="N382" t="s">
        <v>9864</v>
      </c>
      <c r="O382" t="s">
        <v>5178</v>
      </c>
      <c r="P382" s="614">
        <f>COUNTIF(EducPlans_кодНАЦИД_Спец[аФакСец],EducPlans_кодНАЦИД_Спец[[#This Row],[аФакСец]])</f>
        <v>1</v>
      </c>
    </row>
    <row r="383" spans="3:16" x14ac:dyDescent="0.25">
      <c r="C383" s="614">
        <v>377</v>
      </c>
      <c r="D383" s="614">
        <v>12134</v>
      </c>
      <c r="E383" s="64" t="s">
        <v>2163</v>
      </c>
      <c r="F383" s="64" t="s">
        <v>5180</v>
      </c>
      <c r="G383" s="614" t="s">
        <v>29</v>
      </c>
      <c r="H383" s="614" t="s">
        <v>682</v>
      </c>
      <c r="I383" s="614" t="s">
        <v>1153</v>
      </c>
      <c r="J383" s="64" t="s">
        <v>4150</v>
      </c>
      <c r="K383" s="1940" t="s">
        <v>5181</v>
      </c>
      <c r="L383" s="1940" t="s">
        <v>8150</v>
      </c>
      <c r="M383" t="s">
        <v>11541</v>
      </c>
      <c r="N383" t="s">
        <v>9865</v>
      </c>
      <c r="O383" t="s">
        <v>5180</v>
      </c>
      <c r="P383" s="614">
        <f>COUNTIF(EducPlans_кодНАЦИД_Спец[аФакСец],EducPlans_кодНАЦИД_Спец[[#This Row],[аФакСец]])</f>
        <v>1</v>
      </c>
    </row>
    <row r="384" spans="3:16" x14ac:dyDescent="0.25">
      <c r="C384" s="614">
        <v>378</v>
      </c>
      <c r="D384" s="614">
        <v>11187</v>
      </c>
      <c r="E384" s="64" t="s">
        <v>1540</v>
      </c>
      <c r="F384" s="64" t="s">
        <v>5182</v>
      </c>
      <c r="G384" s="614" t="s">
        <v>48</v>
      </c>
      <c r="H384" s="614" t="s">
        <v>682</v>
      </c>
      <c r="I384" s="614" t="s">
        <v>1153</v>
      </c>
      <c r="J384" s="64" t="s">
        <v>3110</v>
      </c>
      <c r="K384" s="1940" t="s">
        <v>5183</v>
      </c>
      <c r="L384" s="1940" t="s">
        <v>8151</v>
      </c>
      <c r="M384" t="s">
        <v>11542</v>
      </c>
      <c r="N384" t="s">
        <v>9866</v>
      </c>
      <c r="O384" t="s">
        <v>5182</v>
      </c>
      <c r="P384" s="614">
        <f>COUNTIF(EducPlans_кодНАЦИД_Спец[аФакСец],EducPlans_кодНАЦИД_Спец[[#This Row],[аФакСец]])</f>
        <v>1</v>
      </c>
    </row>
    <row r="385" spans="3:16" x14ac:dyDescent="0.25">
      <c r="C385" s="614">
        <v>379</v>
      </c>
      <c r="D385" s="614">
        <v>11188</v>
      </c>
      <c r="E385" s="64" t="s">
        <v>1540</v>
      </c>
      <c r="F385" s="64" t="s">
        <v>5184</v>
      </c>
      <c r="G385" s="614" t="s">
        <v>48</v>
      </c>
      <c r="H385" s="614" t="s">
        <v>682</v>
      </c>
      <c r="I385" s="614" t="s">
        <v>1149</v>
      </c>
      <c r="J385" s="64" t="s">
        <v>3109</v>
      </c>
      <c r="K385" s="1940" t="s">
        <v>5185</v>
      </c>
      <c r="L385" s="1940" t="s">
        <v>8152</v>
      </c>
      <c r="M385" t="s">
        <v>11543</v>
      </c>
      <c r="N385" t="s">
        <v>9867</v>
      </c>
      <c r="O385" t="s">
        <v>5184</v>
      </c>
      <c r="P385" s="614">
        <f>COUNTIF(EducPlans_кодНАЦИД_Спец[аФакСец],EducPlans_кодНАЦИД_Спец[[#This Row],[аФакСец]])</f>
        <v>1</v>
      </c>
    </row>
    <row r="386" spans="3:16" x14ac:dyDescent="0.25">
      <c r="C386" s="614">
        <v>380</v>
      </c>
      <c r="D386" s="614">
        <v>11183</v>
      </c>
      <c r="E386" s="64" t="s">
        <v>1541</v>
      </c>
      <c r="F386" s="64" t="s">
        <v>5186</v>
      </c>
      <c r="G386" s="614" t="s">
        <v>48</v>
      </c>
      <c r="H386" s="614" t="s">
        <v>682</v>
      </c>
      <c r="I386" s="614" t="s">
        <v>1153</v>
      </c>
      <c r="J386" s="64" t="s">
        <v>3112</v>
      </c>
      <c r="K386" s="1940" t="s">
        <v>5187</v>
      </c>
      <c r="L386" s="1940" t="s">
        <v>8153</v>
      </c>
      <c r="M386" t="s">
        <v>11544</v>
      </c>
      <c r="N386" t="s">
        <v>9868</v>
      </c>
      <c r="O386" t="s">
        <v>5186</v>
      </c>
      <c r="P386" s="614">
        <f>COUNTIF(EducPlans_кодНАЦИД_Спец[аФакСец],EducPlans_кодНАЦИД_Спец[[#This Row],[аФакСец]])</f>
        <v>1</v>
      </c>
    </row>
    <row r="387" spans="3:16" x14ac:dyDescent="0.25">
      <c r="C387" s="614">
        <v>381</v>
      </c>
      <c r="D387" s="614">
        <v>11184</v>
      </c>
      <c r="E387" s="64" t="s">
        <v>1541</v>
      </c>
      <c r="F387" s="64" t="s">
        <v>5188</v>
      </c>
      <c r="G387" s="614" t="s">
        <v>48</v>
      </c>
      <c r="H387" s="614" t="s">
        <v>682</v>
      </c>
      <c r="I387" s="614" t="s">
        <v>1149</v>
      </c>
      <c r="J387" s="64" t="s">
        <v>3111</v>
      </c>
      <c r="K387" s="1940" t="s">
        <v>5189</v>
      </c>
      <c r="L387" s="1940" t="s">
        <v>8154</v>
      </c>
      <c r="M387" t="s">
        <v>11545</v>
      </c>
      <c r="N387" t="s">
        <v>9869</v>
      </c>
      <c r="O387" t="s">
        <v>5188</v>
      </c>
      <c r="P387" s="614">
        <f>COUNTIF(EducPlans_кодНАЦИД_Спец[аФакСец],EducPlans_кодНАЦИД_Спец[[#This Row],[аФакСец]])</f>
        <v>1</v>
      </c>
    </row>
    <row r="388" spans="3:16" x14ac:dyDescent="0.25">
      <c r="C388" s="614">
        <v>382</v>
      </c>
      <c r="D388" s="614">
        <v>11192</v>
      </c>
      <c r="E388" s="64" t="s">
        <v>1543</v>
      </c>
      <c r="F388" s="64" t="s">
        <v>5190</v>
      </c>
      <c r="G388" s="614" t="s">
        <v>48</v>
      </c>
      <c r="H388" s="614" t="s">
        <v>682</v>
      </c>
      <c r="I388" s="614" t="s">
        <v>1153</v>
      </c>
      <c r="J388" s="64" t="s">
        <v>3113</v>
      </c>
      <c r="K388" s="1940" t="s">
        <v>5191</v>
      </c>
      <c r="L388" s="1940" t="s">
        <v>8155</v>
      </c>
      <c r="M388" t="s">
        <v>11546</v>
      </c>
      <c r="N388" t="s">
        <v>9870</v>
      </c>
      <c r="O388" t="s">
        <v>5190</v>
      </c>
      <c r="P388" s="614">
        <f>COUNTIF(EducPlans_кодНАЦИД_Спец[аФакСец],EducPlans_кодНАЦИД_Спец[[#This Row],[аФакСец]])</f>
        <v>1</v>
      </c>
    </row>
    <row r="389" spans="3:16" x14ac:dyDescent="0.25">
      <c r="C389" s="614">
        <v>383</v>
      </c>
      <c r="D389" s="614">
        <v>11192</v>
      </c>
      <c r="E389" s="64" t="s">
        <v>1543</v>
      </c>
      <c r="F389" s="64" t="s">
        <v>5192</v>
      </c>
      <c r="G389" s="614" t="s">
        <v>48</v>
      </c>
      <c r="H389" s="614" t="s">
        <v>682</v>
      </c>
      <c r="I389" s="614" t="s">
        <v>1153</v>
      </c>
      <c r="J389" s="64" t="s">
        <v>3114</v>
      </c>
      <c r="K389" s="1940" t="s">
        <v>5191</v>
      </c>
      <c r="L389" s="1940" t="s">
        <v>8156</v>
      </c>
      <c r="M389" t="s">
        <v>11547</v>
      </c>
      <c r="N389" t="s">
        <v>9871</v>
      </c>
      <c r="O389" t="s">
        <v>5192</v>
      </c>
      <c r="P389" s="614">
        <f>COUNTIF(EducPlans_кодНАЦИД_Спец[аФакСец],EducPlans_кодНАЦИД_Спец[[#This Row],[аФакСец]])</f>
        <v>1</v>
      </c>
    </row>
    <row r="390" spans="3:16" x14ac:dyDescent="0.25">
      <c r="C390" s="614">
        <v>384</v>
      </c>
      <c r="D390" s="614">
        <v>10976</v>
      </c>
      <c r="E390" s="64" t="s">
        <v>1718</v>
      </c>
      <c r="F390" s="64" t="s">
        <v>5193</v>
      </c>
      <c r="G390" s="614" t="s">
        <v>35</v>
      </c>
      <c r="H390" s="614" t="s">
        <v>682</v>
      </c>
      <c r="I390" s="614" t="s">
        <v>1153</v>
      </c>
      <c r="J390" s="64" t="s">
        <v>3993</v>
      </c>
      <c r="K390" s="1940" t="s">
        <v>5194</v>
      </c>
      <c r="L390" s="1940" t="s">
        <v>8157</v>
      </c>
      <c r="M390" t="s">
        <v>11548</v>
      </c>
      <c r="N390" t="s">
        <v>9872</v>
      </c>
      <c r="O390" t="s">
        <v>5193</v>
      </c>
      <c r="P390" s="614">
        <f>COUNTIF(EducPlans_кодНАЦИД_Спец[аФакСец],EducPlans_кодНАЦИД_Спец[[#This Row],[аФакСец]])</f>
        <v>1</v>
      </c>
    </row>
    <row r="391" spans="3:16" x14ac:dyDescent="0.25">
      <c r="C391" s="614">
        <v>385</v>
      </c>
      <c r="D391" s="614">
        <v>10982</v>
      </c>
      <c r="E391" s="64" t="s">
        <v>1719</v>
      </c>
      <c r="F391" s="64" t="s">
        <v>5195</v>
      </c>
      <c r="G391" s="614" t="s">
        <v>35</v>
      </c>
      <c r="H391" s="614" t="s">
        <v>682</v>
      </c>
      <c r="I391" s="614" t="s">
        <v>1153</v>
      </c>
      <c r="J391" s="64" t="s">
        <v>3995</v>
      </c>
      <c r="K391" s="1940" t="s">
        <v>5196</v>
      </c>
      <c r="L391" s="1940" t="s">
        <v>8158</v>
      </c>
      <c r="M391" t="s">
        <v>11549</v>
      </c>
      <c r="N391" t="s">
        <v>9873</v>
      </c>
      <c r="O391" t="s">
        <v>5195</v>
      </c>
      <c r="P391" s="614">
        <f>COUNTIF(EducPlans_кодНАЦИД_Спец[аФакСец],EducPlans_кодНАЦИД_Спец[[#This Row],[аФакСец]])</f>
        <v>1</v>
      </c>
    </row>
    <row r="392" spans="3:16" x14ac:dyDescent="0.25">
      <c r="C392" s="614">
        <v>386</v>
      </c>
      <c r="D392" s="614">
        <v>11093</v>
      </c>
      <c r="E392" s="64" t="s">
        <v>1545</v>
      </c>
      <c r="F392" s="64" t="s">
        <v>5197</v>
      </c>
      <c r="G392" s="614" t="s">
        <v>48</v>
      </c>
      <c r="H392" s="614" t="s">
        <v>682</v>
      </c>
      <c r="I392" s="614" t="s">
        <v>1153</v>
      </c>
      <c r="J392" s="64" t="s">
        <v>5198</v>
      </c>
      <c r="K392" s="1940" t="s">
        <v>5199</v>
      </c>
      <c r="L392" s="1940" t="s">
        <v>8159</v>
      </c>
      <c r="M392" t="s">
        <v>11550</v>
      </c>
      <c r="N392" t="s">
        <v>9874</v>
      </c>
      <c r="O392" t="s">
        <v>5197</v>
      </c>
      <c r="P392" s="614">
        <f>COUNTIF(EducPlans_кодНАЦИД_Спец[аФакСец],EducPlans_кодНАЦИД_Спец[[#This Row],[аФакСец]])</f>
        <v>1</v>
      </c>
    </row>
    <row r="393" spans="3:16" x14ac:dyDescent="0.25">
      <c r="C393" s="614">
        <v>387</v>
      </c>
      <c r="D393" s="614">
        <v>11093</v>
      </c>
      <c r="E393" s="64" t="s">
        <v>1545</v>
      </c>
      <c r="F393" s="64" t="s">
        <v>5200</v>
      </c>
      <c r="G393" s="614" t="s">
        <v>48</v>
      </c>
      <c r="H393" s="614" t="s">
        <v>682</v>
      </c>
      <c r="I393" s="614" t="s">
        <v>1153</v>
      </c>
      <c r="J393" s="64" t="s">
        <v>5201</v>
      </c>
      <c r="K393" s="1940" t="s">
        <v>5199</v>
      </c>
      <c r="L393" s="1940" t="s">
        <v>8160</v>
      </c>
      <c r="M393" t="s">
        <v>11551</v>
      </c>
      <c r="N393" t="s">
        <v>9875</v>
      </c>
      <c r="O393" t="s">
        <v>5200</v>
      </c>
      <c r="P393" s="614">
        <f>COUNTIF(EducPlans_кодНАЦИД_Спец[аФакСец],EducPlans_кодНАЦИД_Спец[[#This Row],[аФакСец]])</f>
        <v>1</v>
      </c>
    </row>
    <row r="394" spans="3:16" x14ac:dyDescent="0.25">
      <c r="C394" s="614">
        <v>388</v>
      </c>
      <c r="D394" s="614">
        <v>11093</v>
      </c>
      <c r="E394" s="64" t="s">
        <v>1545</v>
      </c>
      <c r="F394" s="64" t="s">
        <v>5202</v>
      </c>
      <c r="G394" s="614" t="s">
        <v>48</v>
      </c>
      <c r="H394" s="614" t="s">
        <v>682</v>
      </c>
      <c r="I394" s="614" t="s">
        <v>1153</v>
      </c>
      <c r="J394" s="64" t="s">
        <v>5203</v>
      </c>
      <c r="K394" s="1940" t="s">
        <v>5199</v>
      </c>
      <c r="L394" s="1940" t="s">
        <v>8161</v>
      </c>
      <c r="M394" t="s">
        <v>11552</v>
      </c>
      <c r="N394" t="s">
        <v>9876</v>
      </c>
      <c r="O394" t="s">
        <v>5202</v>
      </c>
      <c r="P394" s="614">
        <f>COUNTIF(EducPlans_кодНАЦИД_Спец[аФакСец],EducPlans_кодНАЦИД_Спец[[#This Row],[аФакСец]])</f>
        <v>1</v>
      </c>
    </row>
    <row r="395" spans="3:16" x14ac:dyDescent="0.25">
      <c r="C395" s="614">
        <v>389</v>
      </c>
      <c r="D395" s="614">
        <v>11686</v>
      </c>
      <c r="E395" s="64" t="s">
        <v>1720</v>
      </c>
      <c r="F395" s="64" t="s">
        <v>5204</v>
      </c>
      <c r="G395" s="614" t="s">
        <v>33</v>
      </c>
      <c r="H395" s="614" t="s">
        <v>682</v>
      </c>
      <c r="I395" s="614" t="s">
        <v>1153</v>
      </c>
      <c r="J395" s="64" t="s">
        <v>3514</v>
      </c>
      <c r="K395" s="1940" t="s">
        <v>5205</v>
      </c>
      <c r="L395" s="1940" t="s">
        <v>8162</v>
      </c>
      <c r="M395" t="s">
        <v>11553</v>
      </c>
      <c r="N395" t="s">
        <v>9877</v>
      </c>
      <c r="O395" t="s">
        <v>5204</v>
      </c>
      <c r="P395" s="614">
        <f>COUNTIF(EducPlans_кодНАЦИД_Спец[аФакСец],EducPlans_кодНАЦИД_Спец[[#This Row],[аФакСец]])</f>
        <v>1</v>
      </c>
    </row>
    <row r="396" spans="3:16" x14ac:dyDescent="0.25">
      <c r="C396" s="614">
        <v>390</v>
      </c>
      <c r="D396" s="614">
        <v>11686</v>
      </c>
      <c r="E396" s="64" t="s">
        <v>1720</v>
      </c>
      <c r="F396" s="64" t="s">
        <v>5206</v>
      </c>
      <c r="G396" s="614" t="s">
        <v>33</v>
      </c>
      <c r="H396" s="614" t="s">
        <v>682</v>
      </c>
      <c r="I396" s="614" t="s">
        <v>1153</v>
      </c>
      <c r="J396" s="64" t="s">
        <v>3515</v>
      </c>
      <c r="K396" s="1940" t="s">
        <v>5205</v>
      </c>
      <c r="L396" s="1940" t="s">
        <v>8163</v>
      </c>
      <c r="M396" t="s">
        <v>11554</v>
      </c>
      <c r="N396" t="s">
        <v>9878</v>
      </c>
      <c r="O396" t="s">
        <v>5206</v>
      </c>
      <c r="P396" s="614">
        <f>COUNTIF(EducPlans_кодНАЦИД_Спец[аФакСец],EducPlans_кодНАЦИД_Спец[[#This Row],[аФакСец]])</f>
        <v>1</v>
      </c>
    </row>
    <row r="397" spans="3:16" x14ac:dyDescent="0.25">
      <c r="C397" s="614">
        <v>391</v>
      </c>
      <c r="D397" s="614">
        <v>10838</v>
      </c>
      <c r="E397" s="64" t="s">
        <v>1655</v>
      </c>
      <c r="F397" s="64" t="s">
        <v>5207</v>
      </c>
      <c r="G397" s="614" t="s">
        <v>35</v>
      </c>
      <c r="H397" s="614" t="s">
        <v>681</v>
      </c>
      <c r="I397" s="614" t="s">
        <v>1153</v>
      </c>
      <c r="J397" s="64" t="s">
        <v>3996</v>
      </c>
      <c r="K397" s="1940" t="s">
        <v>5208</v>
      </c>
      <c r="L397" s="1940" t="s">
        <v>8164</v>
      </c>
      <c r="M397" t="s">
        <v>11555</v>
      </c>
      <c r="N397" t="s">
        <v>9879</v>
      </c>
      <c r="O397" t="s">
        <v>5207</v>
      </c>
      <c r="P397" s="614">
        <f>COUNTIF(EducPlans_кодНАЦИД_Спец[аФакСец],EducPlans_кодНАЦИД_Спец[[#This Row],[аФакСец]])</f>
        <v>1</v>
      </c>
    </row>
    <row r="398" spans="3:16" x14ac:dyDescent="0.25">
      <c r="C398" s="614">
        <v>392</v>
      </c>
      <c r="D398" s="614">
        <v>10972</v>
      </c>
      <c r="E398" s="64" t="s">
        <v>1656</v>
      </c>
      <c r="F398" s="64" t="s">
        <v>5209</v>
      </c>
      <c r="G398" s="614" t="s">
        <v>35</v>
      </c>
      <c r="H398" s="614" t="s">
        <v>682</v>
      </c>
      <c r="I398" s="614" t="s">
        <v>1149</v>
      </c>
      <c r="J398" s="64" t="s">
        <v>5210</v>
      </c>
      <c r="K398" s="1940" t="s">
        <v>5211</v>
      </c>
      <c r="L398" s="1940" t="s">
        <v>8165</v>
      </c>
      <c r="M398" t="s">
        <v>11556</v>
      </c>
      <c r="N398" t="s">
        <v>9880</v>
      </c>
      <c r="O398" t="s">
        <v>5209</v>
      </c>
      <c r="P398" s="614">
        <f>COUNTIF(EducPlans_кодНАЦИД_Спец[аФакСец],EducPlans_кодНАЦИД_Спец[[#This Row],[аФакСец]])</f>
        <v>1</v>
      </c>
    </row>
    <row r="399" spans="3:16" x14ac:dyDescent="0.25">
      <c r="C399" s="614">
        <v>393</v>
      </c>
      <c r="D399" s="614">
        <v>10973</v>
      </c>
      <c r="E399" s="64" t="s">
        <v>1723</v>
      </c>
      <c r="F399" s="64" t="s">
        <v>5212</v>
      </c>
      <c r="G399" s="614" t="s">
        <v>35</v>
      </c>
      <c r="H399" s="614" t="s">
        <v>682</v>
      </c>
      <c r="I399" s="614" t="s">
        <v>1153</v>
      </c>
      <c r="J399" s="64" t="s">
        <v>5213</v>
      </c>
      <c r="K399" s="1940" t="s">
        <v>5214</v>
      </c>
      <c r="L399" s="1940" t="s">
        <v>8166</v>
      </c>
      <c r="M399" t="s">
        <v>11557</v>
      </c>
      <c r="N399" t="s">
        <v>9881</v>
      </c>
      <c r="O399" t="s">
        <v>5212</v>
      </c>
      <c r="P399" s="614">
        <f>COUNTIF(EducPlans_кодНАЦИД_Спец[аФакСец],EducPlans_кодНАЦИД_Спец[[#This Row],[аФакСец]])</f>
        <v>1</v>
      </c>
    </row>
    <row r="400" spans="3:16" x14ac:dyDescent="0.25">
      <c r="C400" s="614">
        <v>394</v>
      </c>
      <c r="D400" s="614">
        <v>10973</v>
      </c>
      <c r="E400" s="64" t="s">
        <v>1723</v>
      </c>
      <c r="F400" s="64" t="s">
        <v>5215</v>
      </c>
      <c r="G400" s="614" t="s">
        <v>35</v>
      </c>
      <c r="H400" s="614" t="s">
        <v>682</v>
      </c>
      <c r="I400" s="614" t="s">
        <v>1153</v>
      </c>
      <c r="J400" s="64" t="s">
        <v>5216</v>
      </c>
      <c r="K400" s="1940" t="s">
        <v>5214</v>
      </c>
      <c r="L400" s="1940" t="s">
        <v>8167</v>
      </c>
      <c r="M400" t="s">
        <v>11558</v>
      </c>
      <c r="N400" t="s">
        <v>9882</v>
      </c>
      <c r="O400" t="s">
        <v>5215</v>
      </c>
      <c r="P400" s="614">
        <f>COUNTIF(EducPlans_кодНАЦИД_Спец[аФакСец],EducPlans_кодНАЦИД_Спец[[#This Row],[аФакСец]])</f>
        <v>1</v>
      </c>
    </row>
    <row r="401" spans="3:16" x14ac:dyDescent="0.25">
      <c r="C401" s="614">
        <v>395</v>
      </c>
      <c r="D401" s="614">
        <v>10977</v>
      </c>
      <c r="E401" s="64" t="s">
        <v>1724</v>
      </c>
      <c r="F401" s="64" t="s">
        <v>5217</v>
      </c>
      <c r="G401" s="614" t="s">
        <v>35</v>
      </c>
      <c r="H401" s="614" t="s">
        <v>682</v>
      </c>
      <c r="I401" s="614" t="s">
        <v>1153</v>
      </c>
      <c r="J401" s="64" t="s">
        <v>3997</v>
      </c>
      <c r="K401" s="1940" t="s">
        <v>5218</v>
      </c>
      <c r="L401" s="1940" t="s">
        <v>8168</v>
      </c>
      <c r="M401" t="s">
        <v>11559</v>
      </c>
      <c r="N401" t="s">
        <v>9883</v>
      </c>
      <c r="O401" t="s">
        <v>5217</v>
      </c>
      <c r="P401" s="614">
        <f>COUNTIF(EducPlans_кодНАЦИД_Спец[аФакСец],EducPlans_кодНАЦИД_Спец[[#This Row],[аФакСец]])</f>
        <v>1</v>
      </c>
    </row>
    <row r="402" spans="3:16" x14ac:dyDescent="0.25">
      <c r="C402" s="614">
        <v>396</v>
      </c>
      <c r="D402" s="614">
        <v>10980</v>
      </c>
      <c r="E402" s="64" t="s">
        <v>1725</v>
      </c>
      <c r="F402" s="64" t="s">
        <v>5219</v>
      </c>
      <c r="G402" s="614" t="s">
        <v>35</v>
      </c>
      <c r="H402" s="614" t="s">
        <v>682</v>
      </c>
      <c r="I402" s="614" t="s">
        <v>1153</v>
      </c>
      <c r="J402" s="64" t="s">
        <v>3999</v>
      </c>
      <c r="K402" s="1940" t="s">
        <v>5220</v>
      </c>
      <c r="L402" s="1940" t="s">
        <v>8169</v>
      </c>
      <c r="M402" t="s">
        <v>11560</v>
      </c>
      <c r="N402" t="s">
        <v>9884</v>
      </c>
      <c r="O402" t="s">
        <v>5219</v>
      </c>
      <c r="P402" s="614">
        <f>COUNTIF(EducPlans_кодНАЦИД_Спец[аФакСец],EducPlans_кодНАЦИД_Спец[[#This Row],[аФакСец]])</f>
        <v>1</v>
      </c>
    </row>
    <row r="403" spans="3:16" x14ac:dyDescent="0.25">
      <c r="C403" s="614">
        <v>397</v>
      </c>
      <c r="D403" s="614">
        <v>10980</v>
      </c>
      <c r="E403" s="64" t="s">
        <v>1725</v>
      </c>
      <c r="F403" s="64" t="s">
        <v>5221</v>
      </c>
      <c r="G403" s="614" t="s">
        <v>35</v>
      </c>
      <c r="H403" s="614" t="s">
        <v>682</v>
      </c>
      <c r="I403" s="614" t="s">
        <v>1153</v>
      </c>
      <c r="J403" s="64" t="s">
        <v>3998</v>
      </c>
      <c r="K403" s="1940" t="s">
        <v>5220</v>
      </c>
      <c r="L403" s="1940" t="s">
        <v>8170</v>
      </c>
      <c r="M403" t="s">
        <v>11561</v>
      </c>
      <c r="N403" t="s">
        <v>9885</v>
      </c>
      <c r="O403" t="s">
        <v>5221</v>
      </c>
      <c r="P403" s="614">
        <f>COUNTIF(EducPlans_кодНАЦИД_Спец[аФакСец],EducPlans_кодНАЦИД_Спец[[#This Row],[аФакСец]])</f>
        <v>1</v>
      </c>
    </row>
    <row r="404" spans="3:16" x14ac:dyDescent="0.25">
      <c r="C404" s="614">
        <v>398</v>
      </c>
      <c r="D404" s="614">
        <v>10998</v>
      </c>
      <c r="E404" s="64" t="s">
        <v>1726</v>
      </c>
      <c r="F404" s="64" t="s">
        <v>5222</v>
      </c>
      <c r="G404" s="614" t="s">
        <v>35</v>
      </c>
      <c r="H404" s="614" t="s">
        <v>682</v>
      </c>
      <c r="I404" s="614" t="s">
        <v>1153</v>
      </c>
      <c r="J404" s="64" t="s">
        <v>4001</v>
      </c>
      <c r="K404" s="1940" t="s">
        <v>5223</v>
      </c>
      <c r="L404" s="1940" t="s">
        <v>8171</v>
      </c>
      <c r="M404" t="s">
        <v>11562</v>
      </c>
      <c r="N404" t="s">
        <v>9886</v>
      </c>
      <c r="O404" t="s">
        <v>5222</v>
      </c>
      <c r="P404" s="614">
        <f>COUNTIF(EducPlans_кодНАЦИД_Спец[аФакСец],EducPlans_кодНАЦИД_Спец[[#This Row],[аФакСец]])</f>
        <v>1</v>
      </c>
    </row>
    <row r="405" spans="3:16" x14ac:dyDescent="0.25">
      <c r="C405" s="614">
        <v>399</v>
      </c>
      <c r="D405" s="614">
        <v>10999</v>
      </c>
      <c r="E405" s="64" t="s">
        <v>1726</v>
      </c>
      <c r="F405" s="64" t="s">
        <v>5224</v>
      </c>
      <c r="G405" s="614" t="s">
        <v>35</v>
      </c>
      <c r="H405" s="614" t="s">
        <v>682</v>
      </c>
      <c r="I405" s="614" t="s">
        <v>1149</v>
      </c>
      <c r="J405" s="64" t="s">
        <v>4000</v>
      </c>
      <c r="K405" s="1940" t="s">
        <v>5225</v>
      </c>
      <c r="L405" s="1940" t="s">
        <v>8172</v>
      </c>
      <c r="M405" t="s">
        <v>11563</v>
      </c>
      <c r="N405" t="s">
        <v>9887</v>
      </c>
      <c r="O405" t="s">
        <v>5224</v>
      </c>
      <c r="P405" s="614">
        <f>COUNTIF(EducPlans_кодНАЦИД_Спец[аФакСец],EducPlans_кодНАЦИД_Спец[[#This Row],[аФакСец]])</f>
        <v>1</v>
      </c>
    </row>
    <row r="406" spans="3:16" x14ac:dyDescent="0.25">
      <c r="C406" s="614">
        <v>400</v>
      </c>
      <c r="D406" s="614">
        <v>11010</v>
      </c>
      <c r="E406" s="64" t="s">
        <v>1878</v>
      </c>
      <c r="F406" s="64" t="s">
        <v>5226</v>
      </c>
      <c r="G406" s="614" t="s">
        <v>35</v>
      </c>
      <c r="H406" s="614" t="s">
        <v>682</v>
      </c>
      <c r="I406" s="614" t="s">
        <v>1153</v>
      </c>
      <c r="J406" s="64" t="s">
        <v>4002</v>
      </c>
      <c r="K406" s="1940" t="s">
        <v>5227</v>
      </c>
      <c r="L406" s="1940" t="s">
        <v>8173</v>
      </c>
      <c r="M406" t="s">
        <v>11564</v>
      </c>
      <c r="N406" t="s">
        <v>9888</v>
      </c>
      <c r="O406" t="s">
        <v>5226</v>
      </c>
      <c r="P406" s="614">
        <f>COUNTIF(EducPlans_кодНАЦИД_Спец[аФакСец],EducPlans_кодНАЦИД_Спец[[#This Row],[аФакСец]])</f>
        <v>1</v>
      </c>
    </row>
    <row r="407" spans="3:16" x14ac:dyDescent="0.25">
      <c r="C407" s="614">
        <v>401</v>
      </c>
      <c r="D407" s="614">
        <v>11174</v>
      </c>
      <c r="E407" s="64" t="s">
        <v>1546</v>
      </c>
      <c r="F407" s="64" t="s">
        <v>5228</v>
      </c>
      <c r="G407" s="614" t="s">
        <v>48</v>
      </c>
      <c r="H407" s="614" t="s">
        <v>682</v>
      </c>
      <c r="I407" s="614" t="s">
        <v>1153</v>
      </c>
      <c r="J407" s="64" t="s">
        <v>3116</v>
      </c>
      <c r="K407" s="1940" t="s">
        <v>5229</v>
      </c>
      <c r="L407" s="1940" t="s">
        <v>8174</v>
      </c>
      <c r="M407" t="s">
        <v>11565</v>
      </c>
      <c r="N407" t="s">
        <v>9889</v>
      </c>
      <c r="O407" t="s">
        <v>5228</v>
      </c>
      <c r="P407" s="614">
        <f>COUNTIF(EducPlans_кодНАЦИД_Спец[аФакСец],EducPlans_кодНАЦИД_Спец[[#This Row],[аФакСец]])</f>
        <v>1</v>
      </c>
    </row>
    <row r="408" spans="3:16" x14ac:dyDescent="0.25">
      <c r="C408" s="614">
        <v>402</v>
      </c>
      <c r="D408" s="614">
        <v>11140</v>
      </c>
      <c r="E408" s="64" t="s">
        <v>1547</v>
      </c>
      <c r="F408" s="64" t="s">
        <v>5230</v>
      </c>
      <c r="G408" s="614" t="s">
        <v>48</v>
      </c>
      <c r="H408" s="614" t="s">
        <v>682</v>
      </c>
      <c r="I408" s="614" t="s">
        <v>1153</v>
      </c>
      <c r="J408" s="64" t="s">
        <v>5231</v>
      </c>
      <c r="K408" s="1940" t="s">
        <v>5232</v>
      </c>
      <c r="L408" s="1940" t="s">
        <v>8175</v>
      </c>
      <c r="M408" t="s">
        <v>11566</v>
      </c>
      <c r="N408" t="s">
        <v>9890</v>
      </c>
      <c r="O408" t="s">
        <v>5230</v>
      </c>
      <c r="P408" s="614">
        <f>COUNTIF(EducPlans_кодНАЦИД_Спец[аФакСец],EducPlans_кодНАЦИД_Спец[[#This Row],[аФакСец]])</f>
        <v>1</v>
      </c>
    </row>
    <row r="409" spans="3:16" x14ac:dyDescent="0.25">
      <c r="C409" s="614">
        <v>403</v>
      </c>
      <c r="D409" s="614">
        <v>11142</v>
      </c>
      <c r="E409" s="64" t="s">
        <v>1547</v>
      </c>
      <c r="F409" s="64" t="s">
        <v>5233</v>
      </c>
      <c r="G409" s="614" t="s">
        <v>48</v>
      </c>
      <c r="H409" s="614" t="s">
        <v>682</v>
      </c>
      <c r="I409" s="614" t="s">
        <v>1149</v>
      </c>
      <c r="J409" s="64" t="s">
        <v>5234</v>
      </c>
      <c r="K409" s="1940" t="s">
        <v>5235</v>
      </c>
      <c r="L409" s="1940" t="s">
        <v>8176</v>
      </c>
      <c r="M409" t="s">
        <v>11567</v>
      </c>
      <c r="N409" t="s">
        <v>9891</v>
      </c>
      <c r="O409" t="s">
        <v>5233</v>
      </c>
      <c r="P409" s="614">
        <f>COUNTIF(EducPlans_кодНАЦИД_Спец[аФакСец],EducPlans_кодНАЦИД_Спец[[#This Row],[аФакСец]])</f>
        <v>1</v>
      </c>
    </row>
    <row r="410" spans="3:16" x14ac:dyDescent="0.25">
      <c r="C410" s="614">
        <v>404</v>
      </c>
      <c r="D410" s="614">
        <v>11096</v>
      </c>
      <c r="E410" s="64" t="s">
        <v>1548</v>
      </c>
      <c r="F410" s="64" t="s">
        <v>5236</v>
      </c>
      <c r="G410" s="614" t="s">
        <v>48</v>
      </c>
      <c r="H410" s="614" t="s">
        <v>682</v>
      </c>
      <c r="I410" s="614" t="s">
        <v>1153</v>
      </c>
      <c r="J410" s="64" t="s">
        <v>3122</v>
      </c>
      <c r="K410" s="1940" t="s">
        <v>5237</v>
      </c>
      <c r="L410" s="1940" t="s">
        <v>8177</v>
      </c>
      <c r="M410" t="s">
        <v>11568</v>
      </c>
      <c r="N410" t="s">
        <v>9892</v>
      </c>
      <c r="O410" t="s">
        <v>5236</v>
      </c>
      <c r="P410" s="614">
        <f>COUNTIF(EducPlans_кодНАЦИД_Спец[аФакСец],EducPlans_кодНАЦИД_Спец[[#This Row],[аФакСец]])</f>
        <v>1</v>
      </c>
    </row>
    <row r="411" spans="3:16" x14ac:dyDescent="0.25">
      <c r="C411" s="614">
        <v>405</v>
      </c>
      <c r="D411" s="614">
        <v>11096</v>
      </c>
      <c r="E411" s="64" t="s">
        <v>1548</v>
      </c>
      <c r="F411" s="64" t="s">
        <v>5238</v>
      </c>
      <c r="G411" s="614" t="s">
        <v>48</v>
      </c>
      <c r="H411" s="614" t="s">
        <v>682</v>
      </c>
      <c r="I411" s="614" t="s">
        <v>1153</v>
      </c>
      <c r="J411" s="64" t="s">
        <v>3121</v>
      </c>
      <c r="K411" s="1940" t="s">
        <v>5237</v>
      </c>
      <c r="L411" s="1940" t="s">
        <v>8178</v>
      </c>
      <c r="M411" t="s">
        <v>11569</v>
      </c>
      <c r="N411" t="s">
        <v>9893</v>
      </c>
      <c r="O411" t="s">
        <v>5238</v>
      </c>
      <c r="P411" s="614">
        <f>COUNTIF(EducPlans_кодНАЦИД_Спец[аФакСец],EducPlans_кодНАЦИД_Спец[[#This Row],[аФакСец]])</f>
        <v>1</v>
      </c>
    </row>
    <row r="412" spans="3:16" x14ac:dyDescent="0.25">
      <c r="C412" s="614">
        <v>406</v>
      </c>
      <c r="D412" s="614">
        <v>11097</v>
      </c>
      <c r="E412" s="64" t="s">
        <v>1548</v>
      </c>
      <c r="F412" s="64" t="s">
        <v>5239</v>
      </c>
      <c r="G412" s="614" t="s">
        <v>48</v>
      </c>
      <c r="H412" s="614" t="s">
        <v>682</v>
      </c>
      <c r="I412" s="614" t="s">
        <v>1153</v>
      </c>
      <c r="J412" s="64" t="s">
        <v>3123</v>
      </c>
      <c r="K412" s="1940" t="s">
        <v>5237</v>
      </c>
      <c r="L412" s="1940" t="s">
        <v>8179</v>
      </c>
      <c r="M412" t="s">
        <v>11570</v>
      </c>
      <c r="N412" t="s">
        <v>9894</v>
      </c>
      <c r="O412" t="s">
        <v>5239</v>
      </c>
      <c r="P412" s="614">
        <f>COUNTIF(EducPlans_кодНАЦИД_Спец[аФакСец],EducPlans_кодНАЦИД_Спец[[#This Row],[аФакСец]])</f>
        <v>1</v>
      </c>
    </row>
    <row r="413" spans="3:16" x14ac:dyDescent="0.25">
      <c r="C413" s="614">
        <v>407</v>
      </c>
      <c r="D413" s="614">
        <v>11097</v>
      </c>
      <c r="E413" s="64" t="s">
        <v>1548</v>
      </c>
      <c r="F413" s="64" t="s">
        <v>5240</v>
      </c>
      <c r="G413" s="614" t="s">
        <v>48</v>
      </c>
      <c r="H413" s="614" t="s">
        <v>682</v>
      </c>
      <c r="I413" s="614" t="s">
        <v>1153</v>
      </c>
      <c r="J413" s="64" t="s">
        <v>3118</v>
      </c>
      <c r="K413" s="1940" t="s">
        <v>5237</v>
      </c>
      <c r="L413" s="1940" t="s">
        <v>8180</v>
      </c>
      <c r="M413" t="s">
        <v>11571</v>
      </c>
      <c r="N413" t="s">
        <v>9895</v>
      </c>
      <c r="O413" t="s">
        <v>5240</v>
      </c>
      <c r="P413" s="614">
        <f>COUNTIF(EducPlans_кодНАЦИД_Спец[аФакСец],EducPlans_кодНАЦИД_Спец[[#This Row],[аФакСец]])</f>
        <v>1</v>
      </c>
    </row>
    <row r="414" spans="3:16" x14ac:dyDescent="0.25">
      <c r="C414" s="614">
        <v>408</v>
      </c>
      <c r="D414" s="614">
        <v>11097</v>
      </c>
      <c r="E414" s="64" t="s">
        <v>1548</v>
      </c>
      <c r="F414" s="64" t="s">
        <v>5241</v>
      </c>
      <c r="G414" s="614" t="s">
        <v>48</v>
      </c>
      <c r="H414" s="614" t="s">
        <v>682</v>
      </c>
      <c r="I414" s="614" t="s">
        <v>1153</v>
      </c>
      <c r="J414" s="64" t="s">
        <v>3120</v>
      </c>
      <c r="K414" s="1940" t="s">
        <v>5237</v>
      </c>
      <c r="L414" s="1940" t="s">
        <v>8181</v>
      </c>
      <c r="M414" t="s">
        <v>11572</v>
      </c>
      <c r="N414" t="s">
        <v>9896</v>
      </c>
      <c r="O414" t="s">
        <v>5241</v>
      </c>
      <c r="P414" s="614">
        <f>COUNTIF(EducPlans_кодНАЦИД_Спец[аФакСец],EducPlans_кодНАЦИД_Спец[[#This Row],[аФакСец]])</f>
        <v>1</v>
      </c>
    </row>
    <row r="415" spans="3:16" x14ac:dyDescent="0.25">
      <c r="C415" s="614">
        <v>409</v>
      </c>
      <c r="D415" s="614">
        <v>11097</v>
      </c>
      <c r="E415" s="64" t="s">
        <v>1548</v>
      </c>
      <c r="F415" s="64" t="s">
        <v>5242</v>
      </c>
      <c r="G415" s="614" t="s">
        <v>48</v>
      </c>
      <c r="H415" s="614" t="s">
        <v>682</v>
      </c>
      <c r="I415" s="614" t="s">
        <v>1153</v>
      </c>
      <c r="J415" s="64" t="s">
        <v>3119</v>
      </c>
      <c r="K415" s="1940" t="s">
        <v>5237</v>
      </c>
      <c r="L415" s="1940" t="s">
        <v>8182</v>
      </c>
      <c r="M415" t="s">
        <v>11573</v>
      </c>
      <c r="N415" t="s">
        <v>9897</v>
      </c>
      <c r="O415" t="s">
        <v>5242</v>
      </c>
      <c r="P415" s="614">
        <f>COUNTIF(EducPlans_кодНАЦИД_Спец[аФакСец],EducPlans_кодНАЦИД_Спец[[#This Row],[аФакСец]])</f>
        <v>1</v>
      </c>
    </row>
    <row r="416" spans="3:16" x14ac:dyDescent="0.25">
      <c r="C416" s="614">
        <v>410</v>
      </c>
      <c r="D416" s="614">
        <v>11099</v>
      </c>
      <c r="E416" s="64" t="s">
        <v>1548</v>
      </c>
      <c r="F416" s="64" t="s">
        <v>5243</v>
      </c>
      <c r="G416" s="614" t="s">
        <v>48</v>
      </c>
      <c r="H416" s="614" t="s">
        <v>682</v>
      </c>
      <c r="I416" s="614" t="s">
        <v>1149</v>
      </c>
      <c r="J416" s="64" t="s">
        <v>5244</v>
      </c>
      <c r="K416" s="1940" t="s">
        <v>5245</v>
      </c>
      <c r="L416" s="1940" t="s">
        <v>8183</v>
      </c>
      <c r="M416" t="s">
        <v>11574</v>
      </c>
      <c r="N416" t="s">
        <v>9898</v>
      </c>
      <c r="O416" t="s">
        <v>5243</v>
      </c>
      <c r="P416" s="614">
        <f>COUNTIF(EducPlans_кодНАЦИД_Спец[аФакСец],EducPlans_кодНАЦИД_Спец[[#This Row],[аФакСец]])</f>
        <v>1</v>
      </c>
    </row>
    <row r="417" spans="3:16" x14ac:dyDescent="0.25">
      <c r="C417" s="614">
        <v>411</v>
      </c>
      <c r="D417" s="614">
        <v>11099</v>
      </c>
      <c r="E417" s="64" t="s">
        <v>1548</v>
      </c>
      <c r="F417" s="64" t="s">
        <v>5246</v>
      </c>
      <c r="G417" s="614" t="s">
        <v>48</v>
      </c>
      <c r="H417" s="614" t="s">
        <v>682</v>
      </c>
      <c r="I417" s="614" t="s">
        <v>1149</v>
      </c>
      <c r="J417" s="64" t="s">
        <v>5247</v>
      </c>
      <c r="K417" s="1940" t="s">
        <v>5245</v>
      </c>
      <c r="L417" s="1940" t="s">
        <v>8184</v>
      </c>
      <c r="M417" t="s">
        <v>11575</v>
      </c>
      <c r="N417" t="s">
        <v>9899</v>
      </c>
      <c r="O417" t="s">
        <v>5246</v>
      </c>
      <c r="P417" s="614">
        <f>COUNTIF(EducPlans_кодНАЦИД_Спец[аФакСец],EducPlans_кодНАЦИД_Спец[[#This Row],[аФакСец]])</f>
        <v>1</v>
      </c>
    </row>
    <row r="418" spans="3:16" x14ac:dyDescent="0.25">
      <c r="C418" s="614">
        <v>412</v>
      </c>
      <c r="D418" s="614">
        <v>11099</v>
      </c>
      <c r="E418" s="64" t="s">
        <v>1548</v>
      </c>
      <c r="F418" s="64" t="s">
        <v>5248</v>
      </c>
      <c r="G418" s="614" t="s">
        <v>48</v>
      </c>
      <c r="H418" s="614" t="s">
        <v>682</v>
      </c>
      <c r="I418" s="614" t="s">
        <v>1149</v>
      </c>
      <c r="J418" s="64" t="s">
        <v>5249</v>
      </c>
      <c r="K418" s="1940" t="s">
        <v>5245</v>
      </c>
      <c r="L418" s="1940" t="s">
        <v>8185</v>
      </c>
      <c r="M418" t="s">
        <v>11576</v>
      </c>
      <c r="N418" t="s">
        <v>9900</v>
      </c>
      <c r="O418" t="s">
        <v>5248</v>
      </c>
      <c r="P418" s="614">
        <f>COUNTIF(EducPlans_кодНАЦИД_Спец[аФакСец],EducPlans_кодНАЦИД_Спец[[#This Row],[аФакСец]])</f>
        <v>1</v>
      </c>
    </row>
    <row r="419" spans="3:16" x14ac:dyDescent="0.25">
      <c r="C419" s="614">
        <v>413</v>
      </c>
      <c r="D419" s="614">
        <v>11112</v>
      </c>
      <c r="E419" s="64" t="s">
        <v>1549</v>
      </c>
      <c r="F419" s="64" t="s">
        <v>5250</v>
      </c>
      <c r="G419" s="614" t="s">
        <v>48</v>
      </c>
      <c r="H419" s="614" t="s">
        <v>682</v>
      </c>
      <c r="I419" s="614" t="s">
        <v>1153</v>
      </c>
      <c r="J419" s="64" t="s">
        <v>5251</v>
      </c>
      <c r="K419" s="1940" t="s">
        <v>5252</v>
      </c>
      <c r="L419" s="1940" t="s">
        <v>8186</v>
      </c>
      <c r="M419" t="s">
        <v>11577</v>
      </c>
      <c r="N419" t="s">
        <v>9901</v>
      </c>
      <c r="O419" t="s">
        <v>5250</v>
      </c>
      <c r="P419" s="614">
        <f>COUNTIF(EducPlans_кодНАЦИД_Спец[аФакСец],EducPlans_кодНАЦИД_Спец[[#This Row],[аФакСец]])</f>
        <v>1</v>
      </c>
    </row>
    <row r="420" spans="3:16" x14ac:dyDescent="0.25">
      <c r="C420" s="614">
        <v>414</v>
      </c>
      <c r="D420" s="614">
        <v>11112</v>
      </c>
      <c r="E420" s="64" t="s">
        <v>1549</v>
      </c>
      <c r="F420" s="64" t="s">
        <v>5253</v>
      </c>
      <c r="G420" s="614" t="s">
        <v>48</v>
      </c>
      <c r="H420" s="614" t="s">
        <v>682</v>
      </c>
      <c r="I420" s="614" t="s">
        <v>1153</v>
      </c>
      <c r="J420" s="64" t="s">
        <v>5254</v>
      </c>
      <c r="K420" s="1940" t="s">
        <v>5252</v>
      </c>
      <c r="L420" s="1940" t="s">
        <v>8187</v>
      </c>
      <c r="M420" t="s">
        <v>11578</v>
      </c>
      <c r="N420" t="s">
        <v>9902</v>
      </c>
      <c r="O420" t="s">
        <v>5253</v>
      </c>
      <c r="P420" s="614">
        <f>COUNTIF(EducPlans_кодНАЦИД_Спец[аФакСец],EducPlans_кодНАЦИД_Спец[[#This Row],[аФакСец]])</f>
        <v>1</v>
      </c>
    </row>
    <row r="421" spans="3:16" x14ac:dyDescent="0.25">
      <c r="C421" s="614">
        <v>415</v>
      </c>
      <c r="D421" s="614">
        <v>11114</v>
      </c>
      <c r="E421" s="64" t="s">
        <v>1549</v>
      </c>
      <c r="F421" s="64" t="s">
        <v>5255</v>
      </c>
      <c r="G421" s="614" t="s">
        <v>48</v>
      </c>
      <c r="H421" s="614" t="s">
        <v>682</v>
      </c>
      <c r="I421" s="614" t="s">
        <v>1149</v>
      </c>
      <c r="J421" s="64" t="s">
        <v>5256</v>
      </c>
      <c r="K421" s="1940" t="s">
        <v>5257</v>
      </c>
      <c r="L421" s="1940" t="s">
        <v>8188</v>
      </c>
      <c r="M421" t="s">
        <v>11579</v>
      </c>
      <c r="N421" t="s">
        <v>9903</v>
      </c>
      <c r="O421" t="s">
        <v>5255</v>
      </c>
      <c r="P421" s="614">
        <f>COUNTIF(EducPlans_кодНАЦИД_Спец[аФакСец],EducPlans_кодНАЦИД_Спец[[#This Row],[аФакСец]])</f>
        <v>1</v>
      </c>
    </row>
    <row r="422" spans="3:16" x14ac:dyDescent="0.25">
      <c r="C422" s="614">
        <v>416</v>
      </c>
      <c r="D422" s="614">
        <v>11114</v>
      </c>
      <c r="E422" s="64" t="s">
        <v>1549</v>
      </c>
      <c r="F422" s="64" t="s">
        <v>5258</v>
      </c>
      <c r="G422" s="614" t="s">
        <v>48</v>
      </c>
      <c r="H422" s="614" t="s">
        <v>682</v>
      </c>
      <c r="I422" s="614" t="s">
        <v>1149</v>
      </c>
      <c r="J422" s="64" t="s">
        <v>5259</v>
      </c>
      <c r="K422" s="1940" t="s">
        <v>5257</v>
      </c>
      <c r="L422" s="1940" t="s">
        <v>8189</v>
      </c>
      <c r="M422" t="s">
        <v>11580</v>
      </c>
      <c r="N422" t="s">
        <v>9904</v>
      </c>
      <c r="O422" t="s">
        <v>5258</v>
      </c>
      <c r="P422" s="614">
        <f>COUNTIF(EducPlans_кодНАЦИД_Спец[аФакСец],EducPlans_кодНАЦИД_Спец[[#This Row],[аФакСец]])</f>
        <v>1</v>
      </c>
    </row>
    <row r="423" spans="3:16" x14ac:dyDescent="0.25">
      <c r="C423" s="614">
        <v>417</v>
      </c>
      <c r="D423" s="614">
        <v>10974</v>
      </c>
      <c r="E423" s="64" t="s">
        <v>1727</v>
      </c>
      <c r="F423" s="64" t="s">
        <v>5260</v>
      </c>
      <c r="G423" s="614" t="s">
        <v>35</v>
      </c>
      <c r="H423" s="614" t="s">
        <v>682</v>
      </c>
      <c r="I423" s="614" t="s">
        <v>1153</v>
      </c>
      <c r="J423" s="64" t="s">
        <v>5261</v>
      </c>
      <c r="K423" s="1940" t="s">
        <v>5262</v>
      </c>
      <c r="L423" s="1940" t="s">
        <v>8190</v>
      </c>
      <c r="M423" t="s">
        <v>11581</v>
      </c>
      <c r="N423" t="s">
        <v>9905</v>
      </c>
      <c r="O423" t="s">
        <v>5260</v>
      </c>
      <c r="P423" s="614">
        <f>COUNTIF(EducPlans_кодНАЦИД_Спец[аФакСец],EducPlans_кодНАЦИД_Спец[[#This Row],[аФакСец]])</f>
        <v>1</v>
      </c>
    </row>
    <row r="424" spans="3:16" x14ac:dyDescent="0.25">
      <c r="C424" s="614">
        <v>418</v>
      </c>
      <c r="D424" s="614">
        <v>12547</v>
      </c>
      <c r="E424" s="64" t="s">
        <v>1728</v>
      </c>
      <c r="F424" s="64" t="s">
        <v>5263</v>
      </c>
      <c r="G424" s="614" t="s">
        <v>44</v>
      </c>
      <c r="H424" s="614" t="s">
        <v>682</v>
      </c>
      <c r="I424" s="614" t="s">
        <v>1153</v>
      </c>
      <c r="J424" s="64" t="s">
        <v>5264</v>
      </c>
      <c r="K424" s="1940" t="s">
        <v>5265</v>
      </c>
      <c r="L424" s="1940" t="s">
        <v>8191</v>
      </c>
      <c r="M424" t="s">
        <v>11582</v>
      </c>
      <c r="N424" t="s">
        <v>9906</v>
      </c>
      <c r="O424" t="s">
        <v>5263</v>
      </c>
      <c r="P424" s="614">
        <f>COUNTIF(EducPlans_кодНАЦИД_Спец[аФакСец],EducPlans_кодНАЦИД_Спец[[#This Row],[аФакСец]])</f>
        <v>1</v>
      </c>
    </row>
    <row r="425" spans="3:16" x14ac:dyDescent="0.25">
      <c r="C425" s="614">
        <v>419</v>
      </c>
      <c r="D425" s="614">
        <v>12547</v>
      </c>
      <c r="E425" s="64" t="s">
        <v>1728</v>
      </c>
      <c r="F425" s="64" t="s">
        <v>5266</v>
      </c>
      <c r="G425" s="614" t="s">
        <v>44</v>
      </c>
      <c r="H425" s="614" t="s">
        <v>682</v>
      </c>
      <c r="I425" s="614" t="s">
        <v>1153</v>
      </c>
      <c r="J425" s="64" t="s">
        <v>5267</v>
      </c>
      <c r="K425" s="1940" t="s">
        <v>5265</v>
      </c>
      <c r="L425" s="1940" t="s">
        <v>8192</v>
      </c>
      <c r="M425" t="s">
        <v>11583</v>
      </c>
      <c r="N425" t="s">
        <v>9907</v>
      </c>
      <c r="O425" t="s">
        <v>5266</v>
      </c>
      <c r="P425" s="614">
        <f>COUNTIF(EducPlans_кодНАЦИД_Спец[аФакСец],EducPlans_кодНАЦИД_Спец[[#This Row],[аФакСец]])</f>
        <v>1</v>
      </c>
    </row>
    <row r="426" spans="3:16" x14ac:dyDescent="0.25">
      <c r="C426" s="614">
        <v>420</v>
      </c>
      <c r="D426" s="614">
        <v>12546</v>
      </c>
      <c r="E426" s="64" t="s">
        <v>1729</v>
      </c>
      <c r="F426" s="64" t="s">
        <v>5268</v>
      </c>
      <c r="G426" s="614" t="s">
        <v>44</v>
      </c>
      <c r="H426" s="614" t="s">
        <v>682</v>
      </c>
      <c r="I426" s="614" t="s">
        <v>1153</v>
      </c>
      <c r="J426" s="64" t="s">
        <v>4285</v>
      </c>
      <c r="K426" s="1940" t="s">
        <v>5269</v>
      </c>
      <c r="L426" s="1940" t="s">
        <v>8193</v>
      </c>
      <c r="M426" t="s">
        <v>11584</v>
      </c>
      <c r="N426" t="s">
        <v>9908</v>
      </c>
      <c r="O426" t="s">
        <v>5268</v>
      </c>
      <c r="P426" s="614">
        <f>COUNTIF(EducPlans_кодНАЦИД_Спец[аФакСец],EducPlans_кодНАЦИД_Спец[[#This Row],[аФакСец]])</f>
        <v>1</v>
      </c>
    </row>
    <row r="427" spans="3:16" x14ac:dyDescent="0.25">
      <c r="C427" s="614">
        <v>421</v>
      </c>
      <c r="D427" s="614">
        <v>10975</v>
      </c>
      <c r="E427" s="64" t="s">
        <v>1730</v>
      </c>
      <c r="F427" s="64" t="s">
        <v>5270</v>
      </c>
      <c r="G427" s="614" t="s">
        <v>35</v>
      </c>
      <c r="H427" s="614" t="s">
        <v>682</v>
      </c>
      <c r="I427" s="614" t="s">
        <v>1153</v>
      </c>
      <c r="J427" s="64" t="s">
        <v>5271</v>
      </c>
      <c r="K427" s="1940" t="s">
        <v>5272</v>
      </c>
      <c r="L427" s="1940" t="s">
        <v>8194</v>
      </c>
      <c r="M427" t="s">
        <v>11585</v>
      </c>
      <c r="N427" t="s">
        <v>9909</v>
      </c>
      <c r="O427" t="s">
        <v>5270</v>
      </c>
      <c r="P427" s="614">
        <f>COUNTIF(EducPlans_кодНАЦИД_Спец[аФакСец],EducPlans_кодНАЦИД_Спец[[#This Row],[аФакСец]])</f>
        <v>1</v>
      </c>
    </row>
    <row r="428" spans="3:16" x14ac:dyDescent="0.25">
      <c r="C428" s="614">
        <v>422</v>
      </c>
      <c r="D428" s="614">
        <v>10978</v>
      </c>
      <c r="E428" s="64" t="s">
        <v>1730</v>
      </c>
      <c r="F428" s="64" t="s">
        <v>5273</v>
      </c>
      <c r="G428" s="614" t="s">
        <v>35</v>
      </c>
      <c r="H428" s="614" t="s">
        <v>682</v>
      </c>
      <c r="I428" s="614" t="s">
        <v>1153</v>
      </c>
      <c r="J428" s="64" t="s">
        <v>4003</v>
      </c>
      <c r="K428" s="1940" t="s">
        <v>5274</v>
      </c>
      <c r="L428" s="1940" t="s">
        <v>8195</v>
      </c>
      <c r="M428" t="s">
        <v>11586</v>
      </c>
      <c r="N428" t="s">
        <v>9910</v>
      </c>
      <c r="O428" t="s">
        <v>5273</v>
      </c>
      <c r="P428" s="614">
        <f>COUNTIF(EducPlans_кодНАЦИД_Спец[аФакСец],EducPlans_кодНАЦИД_Спец[[#This Row],[аФакСец]])</f>
        <v>1</v>
      </c>
    </row>
    <row r="429" spans="3:16" x14ac:dyDescent="0.25">
      <c r="C429" s="614">
        <v>423</v>
      </c>
      <c r="D429" s="614">
        <v>10984</v>
      </c>
      <c r="E429" s="64" t="s">
        <v>1731</v>
      </c>
      <c r="F429" s="64" t="s">
        <v>5275</v>
      </c>
      <c r="G429" s="614" t="s">
        <v>35</v>
      </c>
      <c r="H429" s="614" t="s">
        <v>682</v>
      </c>
      <c r="I429" s="614" t="s">
        <v>1153</v>
      </c>
      <c r="J429" s="64" t="s">
        <v>4004</v>
      </c>
      <c r="K429" s="1940" t="s">
        <v>5276</v>
      </c>
      <c r="L429" s="1940" t="s">
        <v>8196</v>
      </c>
      <c r="M429" t="s">
        <v>11587</v>
      </c>
      <c r="N429" t="s">
        <v>9911</v>
      </c>
      <c r="O429" t="s">
        <v>5275</v>
      </c>
      <c r="P429" s="614">
        <f>COUNTIF(EducPlans_кодНАЦИД_Спец[аФакСец],EducPlans_кодНАЦИД_Спец[[#This Row],[аФакСец]])</f>
        <v>1</v>
      </c>
    </row>
    <row r="430" spans="3:16" x14ac:dyDescent="0.25">
      <c r="C430" s="614">
        <v>424</v>
      </c>
      <c r="D430" s="614">
        <v>11585</v>
      </c>
      <c r="E430" s="64" t="s">
        <v>1373</v>
      </c>
      <c r="F430" s="64" t="s">
        <v>5277</v>
      </c>
      <c r="G430" s="614" t="s">
        <v>33</v>
      </c>
      <c r="H430" s="614" t="s">
        <v>681</v>
      </c>
      <c r="I430" s="614" t="s">
        <v>1153</v>
      </c>
      <c r="J430" s="64" t="s">
        <v>3516</v>
      </c>
      <c r="K430" s="1940" t="s">
        <v>5278</v>
      </c>
      <c r="L430" s="1940" t="s">
        <v>8197</v>
      </c>
      <c r="M430" t="s">
        <v>11588</v>
      </c>
      <c r="N430" t="s">
        <v>9912</v>
      </c>
      <c r="O430" t="s">
        <v>5277</v>
      </c>
      <c r="P430" s="614">
        <f>COUNTIF(EducPlans_кодНАЦИД_Спец[аФакСец],EducPlans_кодНАЦИД_Спец[[#This Row],[аФакСец]])</f>
        <v>1</v>
      </c>
    </row>
    <row r="431" spans="3:16" x14ac:dyDescent="0.25">
      <c r="C431" s="614">
        <v>425</v>
      </c>
      <c r="D431" s="614">
        <v>11585</v>
      </c>
      <c r="E431" s="64" t="s">
        <v>1373</v>
      </c>
      <c r="F431" s="64" t="s">
        <v>5279</v>
      </c>
      <c r="G431" s="614" t="s">
        <v>33</v>
      </c>
      <c r="H431" s="614" t="s">
        <v>681</v>
      </c>
      <c r="I431" s="614" t="s">
        <v>1153</v>
      </c>
      <c r="J431" s="64" t="s">
        <v>3517</v>
      </c>
      <c r="K431" s="1940" t="s">
        <v>5278</v>
      </c>
      <c r="L431" s="1940" t="s">
        <v>8198</v>
      </c>
      <c r="M431" t="s">
        <v>11589</v>
      </c>
      <c r="N431" t="s">
        <v>9913</v>
      </c>
      <c r="O431" t="s">
        <v>5279</v>
      </c>
      <c r="P431" s="614">
        <f>COUNTIF(EducPlans_кодНАЦИД_Спец[аФакСец],EducPlans_кодНАЦИД_Спец[[#This Row],[аФакСец]])</f>
        <v>1</v>
      </c>
    </row>
    <row r="432" spans="3:16" x14ac:dyDescent="0.25">
      <c r="C432" s="614">
        <v>426</v>
      </c>
      <c r="D432" s="614">
        <v>11614</v>
      </c>
      <c r="E432" s="64" t="s">
        <v>1374</v>
      </c>
      <c r="F432" s="64" t="s">
        <v>5280</v>
      </c>
      <c r="G432" s="614" t="s">
        <v>33</v>
      </c>
      <c r="H432" s="614" t="s">
        <v>682</v>
      </c>
      <c r="I432" s="614" t="s">
        <v>1153</v>
      </c>
      <c r="J432" s="64" t="s">
        <v>3518</v>
      </c>
      <c r="K432" s="1940" t="s">
        <v>5281</v>
      </c>
      <c r="L432" s="1940" t="s">
        <v>8199</v>
      </c>
      <c r="M432" t="s">
        <v>11590</v>
      </c>
      <c r="N432" t="s">
        <v>9914</v>
      </c>
      <c r="O432" t="s">
        <v>5280</v>
      </c>
      <c r="P432" s="614">
        <f>COUNTIF(EducPlans_кодНАЦИД_Спец[аФакСец],EducPlans_кодНАЦИД_Спец[[#This Row],[аФакСец]])</f>
        <v>1</v>
      </c>
    </row>
    <row r="433" spans="3:16" x14ac:dyDescent="0.25">
      <c r="C433" s="614">
        <v>427</v>
      </c>
      <c r="D433" s="614">
        <v>11678</v>
      </c>
      <c r="E433" s="64" t="s">
        <v>1375</v>
      </c>
      <c r="F433" s="64" t="s">
        <v>5282</v>
      </c>
      <c r="G433" s="614" t="s">
        <v>33</v>
      </c>
      <c r="H433" s="614" t="s">
        <v>682</v>
      </c>
      <c r="I433" s="614" t="s">
        <v>1153</v>
      </c>
      <c r="J433" s="64" t="s">
        <v>3519</v>
      </c>
      <c r="K433" s="1940" t="s">
        <v>5283</v>
      </c>
      <c r="L433" s="1940" t="s">
        <v>8200</v>
      </c>
      <c r="M433" t="s">
        <v>11591</v>
      </c>
      <c r="N433" t="s">
        <v>9915</v>
      </c>
      <c r="O433" t="s">
        <v>5282</v>
      </c>
      <c r="P433" s="614">
        <f>COUNTIF(EducPlans_кодНАЦИД_Спец[аФакСец],EducPlans_кодНАЦИД_Спец[[#This Row],[аФакСец]])</f>
        <v>1</v>
      </c>
    </row>
    <row r="434" spans="3:16" x14ac:dyDescent="0.25">
      <c r="C434" s="614">
        <v>428</v>
      </c>
      <c r="D434" s="614">
        <v>11607</v>
      </c>
      <c r="E434" s="64" t="s">
        <v>1376</v>
      </c>
      <c r="F434" s="64" t="s">
        <v>5284</v>
      </c>
      <c r="G434" s="614" t="s">
        <v>33</v>
      </c>
      <c r="H434" s="614" t="s">
        <v>682</v>
      </c>
      <c r="I434" s="614" t="s">
        <v>1153</v>
      </c>
      <c r="J434" s="64" t="s">
        <v>3527</v>
      </c>
      <c r="K434" s="1940" t="s">
        <v>5285</v>
      </c>
      <c r="L434" s="1940" t="s">
        <v>8201</v>
      </c>
      <c r="M434" t="s">
        <v>11592</v>
      </c>
      <c r="N434" t="s">
        <v>9916</v>
      </c>
      <c r="O434" t="s">
        <v>5284</v>
      </c>
      <c r="P434" s="614">
        <f>COUNTIF(EducPlans_кодНАЦИД_Спец[аФакСец],EducPlans_кодНАЦИД_Спец[[#This Row],[аФакСец]])</f>
        <v>1</v>
      </c>
    </row>
    <row r="435" spans="3:16" x14ac:dyDescent="0.25">
      <c r="C435" s="614">
        <v>429</v>
      </c>
      <c r="D435" s="614">
        <v>11607</v>
      </c>
      <c r="E435" s="64" t="s">
        <v>1376</v>
      </c>
      <c r="F435" s="64" t="s">
        <v>5286</v>
      </c>
      <c r="G435" s="614" t="s">
        <v>33</v>
      </c>
      <c r="H435" s="614" t="s">
        <v>682</v>
      </c>
      <c r="I435" s="614" t="s">
        <v>1153</v>
      </c>
      <c r="J435" s="64" t="s">
        <v>3525</v>
      </c>
      <c r="K435" s="1940" t="s">
        <v>5285</v>
      </c>
      <c r="L435" s="1940" t="s">
        <v>8202</v>
      </c>
      <c r="M435" t="s">
        <v>11593</v>
      </c>
      <c r="N435" t="s">
        <v>9917</v>
      </c>
      <c r="O435" t="s">
        <v>5286</v>
      </c>
      <c r="P435" s="614">
        <f>COUNTIF(EducPlans_кодНАЦИД_Спец[аФакСец],EducPlans_кодНАЦИД_Спец[[#This Row],[аФакСец]])</f>
        <v>1</v>
      </c>
    </row>
    <row r="436" spans="3:16" x14ac:dyDescent="0.25">
      <c r="C436" s="614">
        <v>430</v>
      </c>
      <c r="D436" s="614">
        <v>11607</v>
      </c>
      <c r="E436" s="64" t="s">
        <v>1376</v>
      </c>
      <c r="F436" s="64" t="s">
        <v>5287</v>
      </c>
      <c r="G436" s="614" t="s">
        <v>33</v>
      </c>
      <c r="H436" s="614" t="s">
        <v>682</v>
      </c>
      <c r="I436" s="614" t="s">
        <v>1153</v>
      </c>
      <c r="J436" s="64" t="s">
        <v>3526</v>
      </c>
      <c r="K436" s="1940" t="s">
        <v>5285</v>
      </c>
      <c r="L436" s="1940" t="s">
        <v>8203</v>
      </c>
      <c r="M436" t="s">
        <v>11594</v>
      </c>
      <c r="N436" t="s">
        <v>9918</v>
      </c>
      <c r="O436" t="s">
        <v>5287</v>
      </c>
      <c r="P436" s="614">
        <f>COUNTIF(EducPlans_кодНАЦИД_Спец[аФакСец],EducPlans_кодНАЦИД_Спец[[#This Row],[аФакСец]])</f>
        <v>1</v>
      </c>
    </row>
    <row r="437" spans="3:16" x14ac:dyDescent="0.25">
      <c r="C437" s="614">
        <v>431</v>
      </c>
      <c r="D437" s="614">
        <v>11607</v>
      </c>
      <c r="E437" s="64" t="s">
        <v>1376</v>
      </c>
      <c r="F437" s="64" t="s">
        <v>5288</v>
      </c>
      <c r="G437" s="614" t="s">
        <v>33</v>
      </c>
      <c r="H437" s="614" t="s">
        <v>682</v>
      </c>
      <c r="I437" s="614" t="s">
        <v>1153</v>
      </c>
      <c r="J437" s="64" t="s">
        <v>3528</v>
      </c>
      <c r="K437" s="1940" t="s">
        <v>5285</v>
      </c>
      <c r="L437" s="1940" t="s">
        <v>8204</v>
      </c>
      <c r="M437" t="s">
        <v>11595</v>
      </c>
      <c r="N437" t="s">
        <v>9919</v>
      </c>
      <c r="O437" t="s">
        <v>5288</v>
      </c>
      <c r="P437" s="614">
        <f>COUNTIF(EducPlans_кодНАЦИД_Спец[аФакСец],EducPlans_кодНАЦИД_Спец[[#This Row],[аФакСец]])</f>
        <v>1</v>
      </c>
    </row>
    <row r="438" spans="3:16" x14ac:dyDescent="0.25">
      <c r="C438" s="614">
        <v>432</v>
      </c>
      <c r="D438" s="614">
        <v>11607</v>
      </c>
      <c r="E438" s="64" t="s">
        <v>1376</v>
      </c>
      <c r="F438" s="64" t="s">
        <v>5289</v>
      </c>
      <c r="G438" s="614" t="s">
        <v>33</v>
      </c>
      <c r="H438" s="614" t="s">
        <v>682</v>
      </c>
      <c r="I438" s="614" t="s">
        <v>1153</v>
      </c>
      <c r="J438" s="64" t="s">
        <v>3524</v>
      </c>
      <c r="K438" s="1940" t="s">
        <v>5285</v>
      </c>
      <c r="L438" s="1940" t="s">
        <v>8205</v>
      </c>
      <c r="M438" t="s">
        <v>11596</v>
      </c>
      <c r="N438" t="s">
        <v>9920</v>
      </c>
      <c r="O438" t="s">
        <v>5289</v>
      </c>
      <c r="P438" s="614">
        <f>COUNTIF(EducPlans_кодНАЦИД_Спец[аФакСец],EducPlans_кодНАЦИД_Спец[[#This Row],[аФакСец]])</f>
        <v>1</v>
      </c>
    </row>
    <row r="439" spans="3:16" x14ac:dyDescent="0.25">
      <c r="C439" s="614">
        <v>433</v>
      </c>
      <c r="D439" s="614">
        <v>11607</v>
      </c>
      <c r="E439" s="64" t="s">
        <v>1376</v>
      </c>
      <c r="F439" s="64" t="s">
        <v>5290</v>
      </c>
      <c r="G439" s="614" t="s">
        <v>33</v>
      </c>
      <c r="H439" s="614" t="s">
        <v>682</v>
      </c>
      <c r="I439" s="614" t="s">
        <v>1153</v>
      </c>
      <c r="J439" s="64" t="s">
        <v>3522</v>
      </c>
      <c r="K439" s="1940" t="s">
        <v>5285</v>
      </c>
      <c r="L439" s="1940" t="s">
        <v>8206</v>
      </c>
      <c r="M439" t="s">
        <v>11597</v>
      </c>
      <c r="N439" t="s">
        <v>9921</v>
      </c>
      <c r="O439" t="s">
        <v>5290</v>
      </c>
      <c r="P439" s="614">
        <f>COUNTIF(EducPlans_кодНАЦИД_Спец[аФакСец],EducPlans_кодНАЦИД_Спец[[#This Row],[аФакСец]])</f>
        <v>1</v>
      </c>
    </row>
    <row r="440" spans="3:16" x14ac:dyDescent="0.25">
      <c r="C440" s="614">
        <v>434</v>
      </c>
      <c r="D440" s="614">
        <v>11607</v>
      </c>
      <c r="E440" s="64" t="s">
        <v>1376</v>
      </c>
      <c r="F440" s="64" t="s">
        <v>5291</v>
      </c>
      <c r="G440" s="614" t="s">
        <v>33</v>
      </c>
      <c r="H440" s="614" t="s">
        <v>682</v>
      </c>
      <c r="I440" s="614" t="s">
        <v>1153</v>
      </c>
      <c r="J440" s="64" t="s">
        <v>3521</v>
      </c>
      <c r="K440" s="1940" t="s">
        <v>5285</v>
      </c>
      <c r="L440" s="1940" t="s">
        <v>8207</v>
      </c>
      <c r="M440" t="s">
        <v>11598</v>
      </c>
      <c r="N440" t="s">
        <v>9922</v>
      </c>
      <c r="O440" t="s">
        <v>5291</v>
      </c>
      <c r="P440" s="614">
        <f>COUNTIF(EducPlans_кодНАЦИД_Спец[аФакСец],EducPlans_кодНАЦИД_Спец[[#This Row],[аФакСец]])</f>
        <v>1</v>
      </c>
    </row>
    <row r="441" spans="3:16" x14ac:dyDescent="0.25">
      <c r="C441" s="614">
        <v>435</v>
      </c>
      <c r="D441" s="614">
        <v>11607</v>
      </c>
      <c r="E441" s="64" t="s">
        <v>1376</v>
      </c>
      <c r="F441" s="64" t="s">
        <v>5292</v>
      </c>
      <c r="G441" s="614" t="s">
        <v>33</v>
      </c>
      <c r="H441" s="614" t="s">
        <v>682</v>
      </c>
      <c r="I441" s="614" t="s">
        <v>1153</v>
      </c>
      <c r="J441" s="64" t="s">
        <v>3523</v>
      </c>
      <c r="K441" s="1940" t="s">
        <v>5285</v>
      </c>
      <c r="L441" s="1940" t="s">
        <v>8208</v>
      </c>
      <c r="M441" t="s">
        <v>11599</v>
      </c>
      <c r="N441" t="s">
        <v>9923</v>
      </c>
      <c r="O441" t="s">
        <v>5292</v>
      </c>
      <c r="P441" s="614">
        <f>COUNTIF(EducPlans_кодНАЦИД_Спец[аФакСец],EducPlans_кодНАЦИД_Спец[[#This Row],[аФакСец]])</f>
        <v>1</v>
      </c>
    </row>
    <row r="442" spans="3:16" x14ac:dyDescent="0.25">
      <c r="C442" s="614">
        <v>436</v>
      </c>
      <c r="D442" s="614">
        <v>11427</v>
      </c>
      <c r="E442" s="64" t="s">
        <v>1377</v>
      </c>
      <c r="F442" s="64" t="s">
        <v>5293</v>
      </c>
      <c r="G442" s="614" t="s">
        <v>647</v>
      </c>
      <c r="H442" s="614" t="s">
        <v>682</v>
      </c>
      <c r="I442" s="614" t="s">
        <v>1153</v>
      </c>
      <c r="J442" s="64" t="s">
        <v>3915</v>
      </c>
      <c r="K442" s="1940" t="s">
        <v>5294</v>
      </c>
      <c r="L442" s="1940" t="s">
        <v>8209</v>
      </c>
      <c r="M442" t="s">
        <v>11600</v>
      </c>
      <c r="N442" t="s">
        <v>9924</v>
      </c>
      <c r="O442" t="s">
        <v>5293</v>
      </c>
      <c r="P442" s="614">
        <f>COUNTIF(EducPlans_кодНАЦИД_Спец[аФакСец],EducPlans_кодНАЦИД_Спец[[#This Row],[аФакСец]])</f>
        <v>1</v>
      </c>
    </row>
    <row r="443" spans="3:16" x14ac:dyDescent="0.25">
      <c r="C443" s="614">
        <v>437</v>
      </c>
      <c r="D443" s="614">
        <v>11433</v>
      </c>
      <c r="E443" s="64" t="s">
        <v>1377</v>
      </c>
      <c r="F443" s="64" t="s">
        <v>5295</v>
      </c>
      <c r="G443" s="614" t="s">
        <v>647</v>
      </c>
      <c r="H443" s="614" t="s">
        <v>682</v>
      </c>
      <c r="I443" s="614" t="s">
        <v>1153</v>
      </c>
      <c r="J443" s="64" t="s">
        <v>3916</v>
      </c>
      <c r="K443" s="1940" t="s">
        <v>5296</v>
      </c>
      <c r="L443" s="1940" t="s">
        <v>8210</v>
      </c>
      <c r="M443" t="s">
        <v>11601</v>
      </c>
      <c r="N443" t="s">
        <v>9925</v>
      </c>
      <c r="O443" t="s">
        <v>5295</v>
      </c>
      <c r="P443" s="614">
        <f>COUNTIF(EducPlans_кодНАЦИД_Спец[аФакСец],EducPlans_кодНАЦИД_Спец[[#This Row],[аФакСец]])</f>
        <v>1</v>
      </c>
    </row>
    <row r="444" spans="3:16" x14ac:dyDescent="0.25">
      <c r="C444" s="614">
        <v>438</v>
      </c>
      <c r="D444" s="614">
        <v>972394</v>
      </c>
      <c r="E444" s="64" t="s">
        <v>13351</v>
      </c>
      <c r="F444" s="64" t="s">
        <v>13352</v>
      </c>
      <c r="G444" s="614" t="s">
        <v>33</v>
      </c>
      <c r="H444" s="614" t="s">
        <v>682</v>
      </c>
      <c r="I444" s="614" t="s">
        <v>1153</v>
      </c>
      <c r="J444" s="64" t="s">
        <v>13353</v>
      </c>
      <c r="K444" s="1940" t="s">
        <v>13354</v>
      </c>
      <c r="L444" s="1940" t="s">
        <v>13355</v>
      </c>
      <c r="M444" t="s">
        <v>13356</v>
      </c>
      <c r="N444" t="s">
        <v>13357</v>
      </c>
      <c r="O444" t="s">
        <v>13352</v>
      </c>
      <c r="P444" s="614">
        <f>COUNTIF(EducPlans_кодНАЦИД_Спец[аФакСец],EducPlans_кодНАЦИД_Спец[[#This Row],[аФакСец]])</f>
        <v>1</v>
      </c>
    </row>
    <row r="445" spans="3:16" x14ac:dyDescent="0.25">
      <c r="C445" s="614">
        <v>439</v>
      </c>
      <c r="D445" s="614">
        <v>972395</v>
      </c>
      <c r="E445" s="64" t="s">
        <v>13358</v>
      </c>
      <c r="F445" s="64" t="s">
        <v>13359</v>
      </c>
      <c r="G445" s="614" t="s">
        <v>33</v>
      </c>
      <c r="H445" s="614" t="s">
        <v>682</v>
      </c>
      <c r="I445" s="614" t="s">
        <v>1153</v>
      </c>
      <c r="J445" s="64" t="s">
        <v>13360</v>
      </c>
      <c r="K445" s="1940" t="s">
        <v>13361</v>
      </c>
      <c r="L445" s="1940" t="s">
        <v>13362</v>
      </c>
      <c r="M445" t="s">
        <v>13363</v>
      </c>
      <c r="N445" t="s">
        <v>13364</v>
      </c>
      <c r="O445" t="s">
        <v>13359</v>
      </c>
      <c r="P445" s="614">
        <f>COUNTIF(EducPlans_кодНАЦИД_Спец[аФакСец],EducPlans_кодНАЦИД_Спец[[#This Row],[аФакСец]])</f>
        <v>1</v>
      </c>
    </row>
    <row r="446" spans="3:16" x14ac:dyDescent="0.25">
      <c r="C446" s="614">
        <v>440</v>
      </c>
      <c r="D446" s="614">
        <v>972395</v>
      </c>
      <c r="E446" s="64" t="s">
        <v>13358</v>
      </c>
      <c r="F446" s="64" t="s">
        <v>13365</v>
      </c>
      <c r="G446" s="614" t="s">
        <v>33</v>
      </c>
      <c r="H446" s="614" t="s">
        <v>682</v>
      </c>
      <c r="I446" s="614" t="s">
        <v>1153</v>
      </c>
      <c r="J446" s="64" t="s">
        <v>13366</v>
      </c>
      <c r="K446" s="1940" t="s">
        <v>13361</v>
      </c>
      <c r="L446" s="1940" t="s">
        <v>13367</v>
      </c>
      <c r="M446" t="s">
        <v>13368</v>
      </c>
      <c r="N446" t="s">
        <v>13369</v>
      </c>
      <c r="O446" t="s">
        <v>13365</v>
      </c>
      <c r="P446" s="614">
        <f>COUNTIF(EducPlans_кодНАЦИД_Спец[аФакСец],EducPlans_кодНАЦИД_Спец[[#This Row],[аФакСец]])</f>
        <v>1</v>
      </c>
    </row>
    <row r="447" spans="3:16" x14ac:dyDescent="0.25">
      <c r="C447" s="614">
        <v>441</v>
      </c>
      <c r="D447" s="614">
        <v>624730</v>
      </c>
      <c r="E447" s="64" t="s">
        <v>1379</v>
      </c>
      <c r="F447" s="64" t="s">
        <v>5297</v>
      </c>
      <c r="G447" s="614" t="s">
        <v>33</v>
      </c>
      <c r="H447" s="614" t="s">
        <v>682</v>
      </c>
      <c r="I447" s="614" t="s">
        <v>1153</v>
      </c>
      <c r="J447" s="64" t="s">
        <v>5298</v>
      </c>
      <c r="K447" s="1940" t="s">
        <v>5299</v>
      </c>
      <c r="L447" s="1940" t="s">
        <v>8211</v>
      </c>
      <c r="M447" t="s">
        <v>11602</v>
      </c>
      <c r="N447" t="s">
        <v>9926</v>
      </c>
      <c r="O447" t="s">
        <v>5297</v>
      </c>
      <c r="P447" s="614">
        <f>COUNTIF(EducPlans_кодНАЦИД_Спец[аФакСец],EducPlans_кодНАЦИД_Спец[[#This Row],[аФакСец]])</f>
        <v>1</v>
      </c>
    </row>
    <row r="448" spans="3:16" x14ac:dyDescent="0.25">
      <c r="C448" s="614">
        <v>442</v>
      </c>
      <c r="D448" s="614">
        <v>624634</v>
      </c>
      <c r="E448" s="64" t="s">
        <v>1380</v>
      </c>
      <c r="F448" s="64" t="s">
        <v>5300</v>
      </c>
      <c r="G448" s="614" t="s">
        <v>33</v>
      </c>
      <c r="H448" s="614" t="s">
        <v>682</v>
      </c>
      <c r="I448" s="614" t="s">
        <v>1153</v>
      </c>
      <c r="J448" s="64" t="s">
        <v>5301</v>
      </c>
      <c r="K448" s="1940" t="s">
        <v>5302</v>
      </c>
      <c r="L448" s="1940" t="s">
        <v>8212</v>
      </c>
      <c r="M448" t="s">
        <v>11603</v>
      </c>
      <c r="N448" t="s">
        <v>9927</v>
      </c>
      <c r="O448" t="s">
        <v>5300</v>
      </c>
      <c r="P448" s="614">
        <f>COUNTIF(EducPlans_кодНАЦИД_Спец[аФакСец],EducPlans_кодНАЦИД_Спец[[#This Row],[аФакСец]])</f>
        <v>1</v>
      </c>
    </row>
    <row r="449" spans="3:16" x14ac:dyDescent="0.25">
      <c r="C449" s="614">
        <v>443</v>
      </c>
      <c r="D449" s="614">
        <v>11672</v>
      </c>
      <c r="E449" s="64" t="s">
        <v>1381</v>
      </c>
      <c r="F449" s="64" t="s">
        <v>5303</v>
      </c>
      <c r="G449" s="614" t="s">
        <v>33</v>
      </c>
      <c r="H449" s="614" t="s">
        <v>682</v>
      </c>
      <c r="I449" s="614" t="s">
        <v>1153</v>
      </c>
      <c r="J449" s="64" t="s">
        <v>3915</v>
      </c>
      <c r="K449" s="1940" t="s">
        <v>5304</v>
      </c>
      <c r="L449" s="1940" t="s">
        <v>8213</v>
      </c>
      <c r="M449" t="s">
        <v>11604</v>
      </c>
      <c r="N449" t="s">
        <v>9928</v>
      </c>
      <c r="O449" t="s">
        <v>5303</v>
      </c>
      <c r="P449" s="614">
        <f>COUNTIF(EducPlans_кодНАЦИД_Спец[аФакСец],EducPlans_кодНАЦИД_Спец[[#This Row],[аФакСец]])</f>
        <v>1</v>
      </c>
    </row>
    <row r="450" spans="3:16" x14ac:dyDescent="0.25">
      <c r="C450" s="614">
        <v>444</v>
      </c>
      <c r="D450" s="614">
        <v>11675</v>
      </c>
      <c r="E450" s="64" t="s">
        <v>1382</v>
      </c>
      <c r="F450" s="64" t="s">
        <v>5305</v>
      </c>
      <c r="G450" s="614" t="s">
        <v>33</v>
      </c>
      <c r="H450" s="614" t="s">
        <v>682</v>
      </c>
      <c r="I450" s="614" t="s">
        <v>1153</v>
      </c>
      <c r="J450" s="64" t="s">
        <v>3529</v>
      </c>
      <c r="K450" s="1940" t="s">
        <v>5306</v>
      </c>
      <c r="L450" s="1940" t="s">
        <v>8214</v>
      </c>
      <c r="M450" t="s">
        <v>11605</v>
      </c>
      <c r="N450" t="s">
        <v>9929</v>
      </c>
      <c r="O450" t="s">
        <v>5305</v>
      </c>
      <c r="P450" s="614">
        <f>COUNTIF(EducPlans_кодНАЦИД_Спец[аФакСец],EducPlans_кодНАЦИД_Спец[[#This Row],[аФакСец]])</f>
        <v>1</v>
      </c>
    </row>
    <row r="451" spans="3:16" x14ac:dyDescent="0.25">
      <c r="C451" s="614">
        <v>445</v>
      </c>
      <c r="D451" s="614">
        <v>766114</v>
      </c>
      <c r="E451" s="64" t="s">
        <v>13370</v>
      </c>
      <c r="F451" s="64" t="s">
        <v>13371</v>
      </c>
      <c r="G451" s="614" t="s">
        <v>33</v>
      </c>
      <c r="H451" s="614" t="s">
        <v>682</v>
      </c>
      <c r="I451" s="614" t="s">
        <v>1153</v>
      </c>
      <c r="J451" s="64" t="s">
        <v>13372</v>
      </c>
      <c r="K451" s="1940" t="s">
        <v>13373</v>
      </c>
      <c r="L451" s="1940" t="s">
        <v>13374</v>
      </c>
      <c r="M451" t="s">
        <v>13375</v>
      </c>
      <c r="N451" t="s">
        <v>13376</v>
      </c>
      <c r="O451" t="s">
        <v>13371</v>
      </c>
      <c r="P451" s="614">
        <f>COUNTIF(EducPlans_кодНАЦИД_Спец[аФакСец],EducPlans_кодНАЦИД_Спец[[#This Row],[аФакСец]])</f>
        <v>1</v>
      </c>
    </row>
    <row r="452" spans="3:16" x14ac:dyDescent="0.25">
      <c r="C452" s="614">
        <v>446</v>
      </c>
      <c r="D452" s="614">
        <v>766114</v>
      </c>
      <c r="E452" s="64" t="s">
        <v>13370</v>
      </c>
      <c r="F452" s="64" t="s">
        <v>13377</v>
      </c>
      <c r="G452" s="614" t="s">
        <v>33</v>
      </c>
      <c r="H452" s="614" t="s">
        <v>682</v>
      </c>
      <c r="I452" s="614" t="s">
        <v>1153</v>
      </c>
      <c r="J452" s="64" t="s">
        <v>13378</v>
      </c>
      <c r="K452" s="1940" t="s">
        <v>13373</v>
      </c>
      <c r="L452" s="1940" t="s">
        <v>13379</v>
      </c>
      <c r="M452" t="s">
        <v>13380</v>
      </c>
      <c r="N452" t="s">
        <v>13381</v>
      </c>
      <c r="O452" t="s">
        <v>13377</v>
      </c>
      <c r="P452" s="614">
        <f>COUNTIF(EducPlans_кодНАЦИД_Спец[аФакСец],EducPlans_кодНАЦИД_Спец[[#This Row],[аФакСец]])</f>
        <v>1</v>
      </c>
    </row>
    <row r="453" spans="3:16" x14ac:dyDescent="0.25">
      <c r="C453" s="614">
        <v>447</v>
      </c>
      <c r="D453" s="614">
        <v>11440</v>
      </c>
      <c r="E453" s="64" t="s">
        <v>1384</v>
      </c>
      <c r="F453" s="64" t="s">
        <v>5307</v>
      </c>
      <c r="G453" s="614" t="s">
        <v>647</v>
      </c>
      <c r="H453" s="614" t="s">
        <v>682</v>
      </c>
      <c r="I453" s="614" t="s">
        <v>1153</v>
      </c>
      <c r="J453" s="64" t="s">
        <v>3529</v>
      </c>
      <c r="K453" s="1940" t="s">
        <v>5308</v>
      </c>
      <c r="L453" s="1940" t="s">
        <v>8215</v>
      </c>
      <c r="M453" t="s">
        <v>11606</v>
      </c>
      <c r="N453" t="s">
        <v>9930</v>
      </c>
      <c r="O453" t="s">
        <v>5307</v>
      </c>
      <c r="P453" s="614">
        <f>COUNTIF(EducPlans_кодНАЦИД_Спец[аФакСец],EducPlans_кодНАЦИД_Спец[[#This Row],[аФакСец]])</f>
        <v>1</v>
      </c>
    </row>
    <row r="454" spans="3:16" x14ac:dyDescent="0.25">
      <c r="C454" s="614">
        <v>448</v>
      </c>
      <c r="D454" s="614">
        <v>11442</v>
      </c>
      <c r="E454" s="64" t="s">
        <v>1384</v>
      </c>
      <c r="F454" s="64" t="s">
        <v>5309</v>
      </c>
      <c r="G454" s="614" t="s">
        <v>647</v>
      </c>
      <c r="H454" s="614" t="s">
        <v>682</v>
      </c>
      <c r="I454" s="614" t="s">
        <v>1153</v>
      </c>
      <c r="J454" s="64" t="s">
        <v>3917</v>
      </c>
      <c r="K454" s="1940" t="s">
        <v>5310</v>
      </c>
      <c r="L454" s="1940" t="s">
        <v>8216</v>
      </c>
      <c r="M454" t="s">
        <v>11607</v>
      </c>
      <c r="N454" t="s">
        <v>9931</v>
      </c>
      <c r="O454" t="s">
        <v>5309</v>
      </c>
      <c r="P454" s="614">
        <f>COUNTIF(EducPlans_кодНАЦИД_Спец[аФакСец],EducPlans_кодНАЦИД_Спец[[#This Row],[аФакСец]])</f>
        <v>1</v>
      </c>
    </row>
    <row r="455" spans="3:16" x14ac:dyDescent="0.25">
      <c r="C455" s="614">
        <v>449</v>
      </c>
      <c r="D455" s="614">
        <v>11660</v>
      </c>
      <c r="E455" s="64" t="s">
        <v>1385</v>
      </c>
      <c r="F455" s="64" t="s">
        <v>5311</v>
      </c>
      <c r="G455" s="614" t="s">
        <v>33</v>
      </c>
      <c r="H455" s="614" t="s">
        <v>682</v>
      </c>
      <c r="I455" s="614" t="s">
        <v>1153</v>
      </c>
      <c r="J455" s="64" t="s">
        <v>3530</v>
      </c>
      <c r="K455" s="1940" t="s">
        <v>5312</v>
      </c>
      <c r="L455" s="1940" t="s">
        <v>8217</v>
      </c>
      <c r="M455" t="s">
        <v>11608</v>
      </c>
      <c r="N455" t="s">
        <v>9932</v>
      </c>
      <c r="O455" t="s">
        <v>5311</v>
      </c>
      <c r="P455" s="614">
        <f>COUNTIF(EducPlans_кодНАЦИД_Спец[аФакСец],EducPlans_кодНАЦИД_Спец[[#This Row],[аФакСец]])</f>
        <v>1</v>
      </c>
    </row>
    <row r="456" spans="3:16" x14ac:dyDescent="0.25">
      <c r="C456" s="614">
        <v>450</v>
      </c>
      <c r="D456" s="614">
        <v>12300</v>
      </c>
      <c r="E456" s="64" t="s">
        <v>2401</v>
      </c>
      <c r="F456" s="64" t="s">
        <v>5313</v>
      </c>
      <c r="G456" s="614" t="s">
        <v>31</v>
      </c>
      <c r="H456" s="614" t="s">
        <v>682</v>
      </c>
      <c r="I456" s="614" t="s">
        <v>1153</v>
      </c>
      <c r="J456" s="64" t="s">
        <v>2942</v>
      </c>
      <c r="K456" s="1940" t="s">
        <v>5314</v>
      </c>
      <c r="L456" s="1940" t="s">
        <v>8218</v>
      </c>
      <c r="M456" t="s">
        <v>11609</v>
      </c>
      <c r="N456" t="s">
        <v>9933</v>
      </c>
      <c r="O456" t="s">
        <v>5313</v>
      </c>
      <c r="P456" s="614">
        <f>COUNTIF(EducPlans_кодНАЦИД_Спец[аФакСец],EducPlans_кодНАЦИД_Спец[[#This Row],[аФакСец]])</f>
        <v>1</v>
      </c>
    </row>
    <row r="457" spans="3:16" x14ac:dyDescent="0.25">
      <c r="C457" s="614">
        <v>451</v>
      </c>
      <c r="D457" s="614">
        <v>12258</v>
      </c>
      <c r="E457" s="64" t="s">
        <v>2219</v>
      </c>
      <c r="F457" s="64" t="s">
        <v>5315</v>
      </c>
      <c r="G457" s="614" t="s">
        <v>31</v>
      </c>
      <c r="H457" s="614" t="s">
        <v>682</v>
      </c>
      <c r="I457" s="614" t="s">
        <v>1153</v>
      </c>
      <c r="J457" s="64" t="s">
        <v>2944</v>
      </c>
      <c r="K457" s="1940" t="s">
        <v>5316</v>
      </c>
      <c r="L457" s="1940" t="s">
        <v>8219</v>
      </c>
      <c r="M457" t="s">
        <v>11610</v>
      </c>
      <c r="N457" t="s">
        <v>9934</v>
      </c>
      <c r="O457" t="s">
        <v>5315</v>
      </c>
      <c r="P457" s="614">
        <f>COUNTIF(EducPlans_кодНАЦИД_Спец[аФакСец],EducPlans_кодНАЦИД_Спец[[#This Row],[аФакСец]])</f>
        <v>1</v>
      </c>
    </row>
    <row r="458" spans="3:16" x14ac:dyDescent="0.25">
      <c r="C458" s="614">
        <v>452</v>
      </c>
      <c r="D458" s="614">
        <v>12266</v>
      </c>
      <c r="E458" s="64" t="s">
        <v>2219</v>
      </c>
      <c r="F458" s="64" t="s">
        <v>5317</v>
      </c>
      <c r="G458" s="614" t="s">
        <v>31</v>
      </c>
      <c r="H458" s="614" t="s">
        <v>682</v>
      </c>
      <c r="I458" s="614" t="s">
        <v>1153</v>
      </c>
      <c r="J458" s="64" t="s">
        <v>2943</v>
      </c>
      <c r="K458" s="1940" t="s">
        <v>5318</v>
      </c>
      <c r="L458" s="1940" t="s">
        <v>8220</v>
      </c>
      <c r="M458" t="s">
        <v>11611</v>
      </c>
      <c r="N458" t="s">
        <v>9935</v>
      </c>
      <c r="O458" t="s">
        <v>5317</v>
      </c>
      <c r="P458" s="614">
        <f>COUNTIF(EducPlans_кодНАЦИД_Спец[аФакСец],EducPlans_кодНАЦИД_Спец[[#This Row],[аФакСец]])</f>
        <v>1</v>
      </c>
    </row>
    <row r="459" spans="3:16" x14ac:dyDescent="0.25">
      <c r="C459" s="614">
        <v>453</v>
      </c>
      <c r="D459" s="614">
        <v>12261</v>
      </c>
      <c r="E459" s="64" t="s">
        <v>2220</v>
      </c>
      <c r="F459" s="64" t="s">
        <v>5319</v>
      </c>
      <c r="G459" s="614" t="s">
        <v>31</v>
      </c>
      <c r="H459" s="614" t="s">
        <v>682</v>
      </c>
      <c r="I459" s="614" t="s">
        <v>1149</v>
      </c>
      <c r="J459" s="64" t="s">
        <v>2945</v>
      </c>
      <c r="K459" s="1940" t="s">
        <v>5320</v>
      </c>
      <c r="L459" s="1940" t="s">
        <v>8221</v>
      </c>
      <c r="M459" t="s">
        <v>11612</v>
      </c>
      <c r="N459" t="s">
        <v>9936</v>
      </c>
      <c r="O459" t="s">
        <v>5319</v>
      </c>
      <c r="P459" s="614">
        <f>COUNTIF(EducPlans_кодНАЦИД_Спец[аФакСец],EducPlans_кодНАЦИД_Спец[[#This Row],[аФакСец]])</f>
        <v>1</v>
      </c>
    </row>
    <row r="460" spans="3:16" x14ac:dyDescent="0.25">
      <c r="C460" s="614">
        <v>454</v>
      </c>
      <c r="D460" s="614">
        <v>12165</v>
      </c>
      <c r="E460" s="64" t="s">
        <v>2164</v>
      </c>
      <c r="F460" s="64" t="s">
        <v>5321</v>
      </c>
      <c r="G460" s="614" t="s">
        <v>31</v>
      </c>
      <c r="H460" s="614" t="s">
        <v>681</v>
      </c>
      <c r="I460" s="614" t="s">
        <v>1153</v>
      </c>
      <c r="J460" s="64" t="s">
        <v>2947</v>
      </c>
      <c r="K460" s="1940" t="s">
        <v>5322</v>
      </c>
      <c r="L460" s="1940" t="s">
        <v>8222</v>
      </c>
      <c r="M460" t="s">
        <v>11613</v>
      </c>
      <c r="N460" t="s">
        <v>9937</v>
      </c>
      <c r="O460" t="s">
        <v>5321</v>
      </c>
      <c r="P460" s="614">
        <f>COUNTIF(EducPlans_кодНАЦИД_Спец[аФакСец],EducPlans_кодНАЦИД_Спец[[#This Row],[аФакСец]])</f>
        <v>1</v>
      </c>
    </row>
    <row r="461" spans="3:16" x14ac:dyDescent="0.25">
      <c r="C461" s="614">
        <v>455</v>
      </c>
      <c r="D461" s="614">
        <v>12167</v>
      </c>
      <c r="E461" s="64" t="s">
        <v>2164</v>
      </c>
      <c r="F461" s="64" t="s">
        <v>5323</v>
      </c>
      <c r="G461" s="614" t="s">
        <v>31</v>
      </c>
      <c r="H461" s="614" t="s">
        <v>681</v>
      </c>
      <c r="I461" s="614" t="s">
        <v>1149</v>
      </c>
      <c r="J461" s="64" t="s">
        <v>2946</v>
      </c>
      <c r="K461" s="1940" t="s">
        <v>5324</v>
      </c>
      <c r="L461" s="1940" t="s">
        <v>8223</v>
      </c>
      <c r="M461" t="s">
        <v>11614</v>
      </c>
      <c r="N461" t="s">
        <v>9938</v>
      </c>
      <c r="O461" t="s">
        <v>5323</v>
      </c>
      <c r="P461" s="614">
        <f>COUNTIF(EducPlans_кодНАЦИД_Спец[аФакСец],EducPlans_кодНАЦИД_Спец[[#This Row],[аФакСец]])</f>
        <v>1</v>
      </c>
    </row>
    <row r="462" spans="3:16" x14ac:dyDescent="0.25">
      <c r="C462" s="614">
        <v>456</v>
      </c>
      <c r="D462" s="614">
        <v>12201</v>
      </c>
      <c r="E462" s="64" t="s">
        <v>2221</v>
      </c>
      <c r="F462" s="64" t="s">
        <v>5325</v>
      </c>
      <c r="G462" s="614" t="s">
        <v>31</v>
      </c>
      <c r="H462" s="614" t="s">
        <v>682</v>
      </c>
      <c r="I462" s="614" t="s">
        <v>1149</v>
      </c>
      <c r="J462" s="64" t="s">
        <v>2948</v>
      </c>
      <c r="K462" s="1940" t="s">
        <v>5326</v>
      </c>
      <c r="L462" s="1940" t="s">
        <v>8224</v>
      </c>
      <c r="M462" t="s">
        <v>11615</v>
      </c>
      <c r="N462" t="s">
        <v>9939</v>
      </c>
      <c r="O462" t="s">
        <v>5325</v>
      </c>
      <c r="P462" s="614">
        <f>COUNTIF(EducPlans_кодНАЦИД_Спец[аФакСец],EducPlans_кодНАЦИД_Спец[[#This Row],[аФакСец]])</f>
        <v>1</v>
      </c>
    </row>
    <row r="463" spans="3:16" x14ac:dyDescent="0.25">
      <c r="C463" s="614">
        <v>457</v>
      </c>
      <c r="D463" s="614">
        <v>12291</v>
      </c>
      <c r="E463" s="64" t="s">
        <v>2221</v>
      </c>
      <c r="F463" s="64" t="s">
        <v>5327</v>
      </c>
      <c r="G463" s="614" t="s">
        <v>31</v>
      </c>
      <c r="H463" s="614" t="s">
        <v>682</v>
      </c>
      <c r="I463" s="614" t="s">
        <v>1149</v>
      </c>
      <c r="J463" s="64" t="s">
        <v>2949</v>
      </c>
      <c r="K463" s="1940" t="s">
        <v>5328</v>
      </c>
      <c r="L463" s="1940" t="s">
        <v>8225</v>
      </c>
      <c r="M463" t="s">
        <v>11616</v>
      </c>
      <c r="N463" t="s">
        <v>9940</v>
      </c>
      <c r="O463" t="s">
        <v>5327</v>
      </c>
      <c r="P463" s="614">
        <f>COUNTIF(EducPlans_кодНАЦИД_Спец[аФакСец],EducPlans_кодНАЦИД_Спец[[#This Row],[аФакСец]])</f>
        <v>1</v>
      </c>
    </row>
    <row r="464" spans="3:16" x14ac:dyDescent="0.25">
      <c r="C464" s="614">
        <v>458</v>
      </c>
      <c r="D464" s="614">
        <v>12407</v>
      </c>
      <c r="E464" s="64" t="s">
        <v>2092</v>
      </c>
      <c r="F464" s="64" t="s">
        <v>5329</v>
      </c>
      <c r="G464" s="614" t="s">
        <v>50</v>
      </c>
      <c r="H464" s="614" t="s">
        <v>682</v>
      </c>
      <c r="I464" s="614" t="s">
        <v>1149</v>
      </c>
      <c r="J464" s="64" t="s">
        <v>2945</v>
      </c>
      <c r="K464" s="1940" t="s">
        <v>5330</v>
      </c>
      <c r="L464" s="1940" t="s">
        <v>8226</v>
      </c>
      <c r="M464" t="s">
        <v>11617</v>
      </c>
      <c r="N464" t="s">
        <v>9941</v>
      </c>
      <c r="O464" t="s">
        <v>5329</v>
      </c>
      <c r="P464" s="614">
        <f>COUNTIF(EducPlans_кодНАЦИД_Спец[аФакСец],EducPlans_кодНАЦИД_Спец[[#This Row],[аФакСец]])</f>
        <v>1</v>
      </c>
    </row>
    <row r="465" spans="3:16" x14ac:dyDescent="0.25">
      <c r="C465" s="614">
        <v>459</v>
      </c>
      <c r="D465" s="614">
        <v>12067</v>
      </c>
      <c r="E465" s="64" t="s">
        <v>2165</v>
      </c>
      <c r="F465" s="64" t="s">
        <v>5331</v>
      </c>
      <c r="G465" s="614" t="s">
        <v>29</v>
      </c>
      <c r="H465" s="614" t="s">
        <v>681</v>
      </c>
      <c r="I465" s="614" t="s">
        <v>1153</v>
      </c>
      <c r="J465" s="64" t="s">
        <v>4152</v>
      </c>
      <c r="K465" s="1940" t="s">
        <v>5332</v>
      </c>
      <c r="L465" s="1940" t="s">
        <v>8227</v>
      </c>
      <c r="M465" t="s">
        <v>11618</v>
      </c>
      <c r="N465" t="s">
        <v>9942</v>
      </c>
      <c r="O465" t="s">
        <v>5331</v>
      </c>
      <c r="P465" s="614">
        <f>COUNTIF(EducPlans_кодНАЦИД_Спец[аФакСец],EducPlans_кодНАЦИД_Спец[[#This Row],[аФакСец]])</f>
        <v>1</v>
      </c>
    </row>
    <row r="466" spans="3:16" x14ac:dyDescent="0.25">
      <c r="C466" s="614">
        <v>460</v>
      </c>
      <c r="D466" s="614">
        <v>12100</v>
      </c>
      <c r="E466" s="64" t="s">
        <v>2165</v>
      </c>
      <c r="F466" s="64" t="s">
        <v>5333</v>
      </c>
      <c r="G466" s="614" t="s">
        <v>29</v>
      </c>
      <c r="H466" s="614" t="s">
        <v>682</v>
      </c>
      <c r="I466" s="614" t="s">
        <v>1153</v>
      </c>
      <c r="J466" s="64" t="s">
        <v>4153</v>
      </c>
      <c r="K466" s="1940" t="s">
        <v>5334</v>
      </c>
      <c r="L466" s="1940" t="s">
        <v>8228</v>
      </c>
      <c r="M466" t="s">
        <v>11619</v>
      </c>
      <c r="N466" t="s">
        <v>9943</v>
      </c>
      <c r="O466" t="s">
        <v>5333</v>
      </c>
      <c r="P466" s="614">
        <f>COUNTIF(EducPlans_кодНАЦИД_Спец[аФакСец],EducPlans_кодНАЦИД_Спец[[#This Row],[аФакСец]])</f>
        <v>1</v>
      </c>
    </row>
    <row r="467" spans="3:16" x14ac:dyDescent="0.25">
      <c r="C467" s="614">
        <v>461</v>
      </c>
      <c r="D467" s="614">
        <v>12101</v>
      </c>
      <c r="E467" s="64" t="s">
        <v>2165</v>
      </c>
      <c r="F467" s="64" t="s">
        <v>5335</v>
      </c>
      <c r="G467" s="614" t="s">
        <v>29</v>
      </c>
      <c r="H467" s="614" t="s">
        <v>682</v>
      </c>
      <c r="I467" s="614" t="s">
        <v>1149</v>
      </c>
      <c r="J467" s="64" t="s">
        <v>4151</v>
      </c>
      <c r="K467" s="1940" t="s">
        <v>5336</v>
      </c>
      <c r="L467" s="1940" t="s">
        <v>8229</v>
      </c>
      <c r="M467" t="s">
        <v>11620</v>
      </c>
      <c r="N467" t="s">
        <v>9944</v>
      </c>
      <c r="O467" t="s">
        <v>5335</v>
      </c>
      <c r="P467" s="614">
        <f>COUNTIF(EducPlans_кодНАЦИД_Спец[аФакСец],EducPlans_кодНАЦИД_Спец[[#This Row],[аФакСец]])</f>
        <v>1</v>
      </c>
    </row>
    <row r="468" spans="3:16" x14ac:dyDescent="0.25">
      <c r="C468" s="614">
        <v>462</v>
      </c>
      <c r="D468" s="614">
        <v>12121</v>
      </c>
      <c r="E468" s="64" t="s">
        <v>2166</v>
      </c>
      <c r="F468" s="64" t="s">
        <v>5337</v>
      </c>
      <c r="G468" s="614" t="s">
        <v>29</v>
      </c>
      <c r="H468" s="614" t="s">
        <v>682</v>
      </c>
      <c r="I468" s="614" t="s">
        <v>1153</v>
      </c>
      <c r="J468" s="64" t="s">
        <v>4155</v>
      </c>
      <c r="K468" s="1940" t="s">
        <v>5338</v>
      </c>
      <c r="L468" s="1940" t="s">
        <v>8230</v>
      </c>
      <c r="M468" t="s">
        <v>11621</v>
      </c>
      <c r="N468" t="s">
        <v>9945</v>
      </c>
      <c r="O468" t="s">
        <v>5337</v>
      </c>
      <c r="P468" s="614">
        <f>COUNTIF(EducPlans_кодНАЦИД_Спец[аФакСец],EducPlans_кодНАЦИД_Спец[[#This Row],[аФакСец]])</f>
        <v>1</v>
      </c>
    </row>
    <row r="469" spans="3:16" x14ac:dyDescent="0.25">
      <c r="C469" s="614">
        <v>463</v>
      </c>
      <c r="D469" s="614">
        <v>12122</v>
      </c>
      <c r="E469" s="64" t="s">
        <v>2166</v>
      </c>
      <c r="F469" s="64" t="s">
        <v>5339</v>
      </c>
      <c r="G469" s="614" t="s">
        <v>29</v>
      </c>
      <c r="H469" s="614" t="s">
        <v>682</v>
      </c>
      <c r="I469" s="614" t="s">
        <v>1149</v>
      </c>
      <c r="J469" s="64" t="s">
        <v>4154</v>
      </c>
      <c r="K469" s="1940" t="s">
        <v>5340</v>
      </c>
      <c r="L469" s="1940" t="s">
        <v>8231</v>
      </c>
      <c r="M469" t="s">
        <v>11622</v>
      </c>
      <c r="N469" t="s">
        <v>9946</v>
      </c>
      <c r="O469" t="s">
        <v>5339</v>
      </c>
      <c r="P469" s="614">
        <f>COUNTIF(EducPlans_кодНАЦИД_Спец[аФакСец],EducPlans_кодНАЦИД_Спец[[#This Row],[аФакСец]])</f>
        <v>1</v>
      </c>
    </row>
    <row r="470" spans="3:16" x14ac:dyDescent="0.25">
      <c r="C470" s="614">
        <v>464</v>
      </c>
      <c r="D470" s="614">
        <v>11813</v>
      </c>
      <c r="E470" s="64" t="s">
        <v>2317</v>
      </c>
      <c r="F470" s="64" t="s">
        <v>5341</v>
      </c>
      <c r="G470" s="614" t="s">
        <v>26</v>
      </c>
      <c r="H470" s="614" t="s">
        <v>682</v>
      </c>
      <c r="I470" s="614" t="s">
        <v>1153</v>
      </c>
      <c r="J470" s="64" t="s">
        <v>3673</v>
      </c>
      <c r="K470" s="1940" t="s">
        <v>5342</v>
      </c>
      <c r="L470" s="1940" t="s">
        <v>8232</v>
      </c>
      <c r="M470" t="s">
        <v>11623</v>
      </c>
      <c r="N470" t="s">
        <v>9947</v>
      </c>
      <c r="O470" t="s">
        <v>5341</v>
      </c>
      <c r="P470" s="614">
        <f>COUNTIF(EducPlans_кодНАЦИД_Спец[аФакСец],EducPlans_кодНАЦИД_Спец[[#This Row],[аФакСец]])</f>
        <v>2</v>
      </c>
    </row>
    <row r="471" spans="3:16" x14ac:dyDescent="0.25">
      <c r="C471" s="614">
        <v>465</v>
      </c>
      <c r="D471" s="614">
        <v>11813</v>
      </c>
      <c r="E471" s="64" t="s">
        <v>2317</v>
      </c>
      <c r="F471" s="64" t="s">
        <v>5343</v>
      </c>
      <c r="G471" s="614" t="s">
        <v>26</v>
      </c>
      <c r="H471" s="614" t="s">
        <v>682</v>
      </c>
      <c r="I471" s="614" t="s">
        <v>1153</v>
      </c>
      <c r="J471" s="64" t="s">
        <v>5344</v>
      </c>
      <c r="K471" s="1940" t="s">
        <v>5342</v>
      </c>
      <c r="L471" s="1940" t="s">
        <v>8233</v>
      </c>
      <c r="M471" t="s">
        <v>11624</v>
      </c>
      <c r="N471" t="s">
        <v>9948</v>
      </c>
      <c r="O471" t="s">
        <v>5343</v>
      </c>
      <c r="P471" s="614">
        <f>COUNTIF(EducPlans_кодНАЦИД_Спец[аФакСец],EducPlans_кодНАЦИД_Спец[[#This Row],[аФакСец]])</f>
        <v>1</v>
      </c>
    </row>
    <row r="472" spans="3:16" x14ac:dyDescent="0.25">
      <c r="C472" s="614">
        <v>466</v>
      </c>
      <c r="D472" s="614">
        <v>11813</v>
      </c>
      <c r="E472" s="64" t="s">
        <v>2317</v>
      </c>
      <c r="F472" s="64" t="s">
        <v>5345</v>
      </c>
      <c r="G472" s="614" t="s">
        <v>26</v>
      </c>
      <c r="H472" s="614" t="s">
        <v>682</v>
      </c>
      <c r="I472" s="614" t="s">
        <v>1153</v>
      </c>
      <c r="J472" s="64" t="s">
        <v>5346</v>
      </c>
      <c r="K472" s="1940" t="s">
        <v>5342</v>
      </c>
      <c r="L472" s="1940" t="s">
        <v>8234</v>
      </c>
      <c r="M472" t="s">
        <v>11625</v>
      </c>
      <c r="N472" t="s">
        <v>9949</v>
      </c>
      <c r="O472" t="s">
        <v>5345</v>
      </c>
      <c r="P472" s="614">
        <f>COUNTIF(EducPlans_кодНАЦИД_Спец[аФакСец],EducPlans_кодНАЦИД_Спец[[#This Row],[аФакСец]])</f>
        <v>1</v>
      </c>
    </row>
    <row r="473" spans="3:16" x14ac:dyDescent="0.25">
      <c r="C473" s="614">
        <v>467</v>
      </c>
      <c r="D473" s="614">
        <v>11863</v>
      </c>
      <c r="E473" s="64" t="s">
        <v>2317</v>
      </c>
      <c r="F473" s="64" t="s">
        <v>5347</v>
      </c>
      <c r="G473" s="614" t="s">
        <v>26</v>
      </c>
      <c r="H473" s="614" t="s">
        <v>682</v>
      </c>
      <c r="I473" s="614" t="s">
        <v>1153</v>
      </c>
      <c r="J473" s="64" t="s">
        <v>3670</v>
      </c>
      <c r="K473" s="1940" t="s">
        <v>5348</v>
      </c>
      <c r="L473" s="1940" t="s">
        <v>8235</v>
      </c>
      <c r="M473" t="s">
        <v>11626</v>
      </c>
      <c r="N473" t="s">
        <v>9950</v>
      </c>
      <c r="O473" t="s">
        <v>5347</v>
      </c>
      <c r="P473" s="614">
        <f>COUNTIF(EducPlans_кодНАЦИД_Спец[аФакСец],EducPlans_кодНАЦИД_Спец[[#This Row],[аФакСец]])</f>
        <v>1</v>
      </c>
    </row>
    <row r="474" spans="3:16" x14ac:dyDescent="0.25">
      <c r="C474" s="614">
        <v>468</v>
      </c>
      <c r="D474" s="614">
        <v>11859</v>
      </c>
      <c r="E474" s="64" t="s">
        <v>2318</v>
      </c>
      <c r="F474" s="64" t="s">
        <v>5349</v>
      </c>
      <c r="G474" s="614" t="s">
        <v>26</v>
      </c>
      <c r="H474" s="614" t="s">
        <v>682</v>
      </c>
      <c r="I474" s="614" t="s">
        <v>1153</v>
      </c>
      <c r="J474" s="64" t="s">
        <v>3671</v>
      </c>
      <c r="K474" s="1940" t="s">
        <v>5350</v>
      </c>
      <c r="L474" s="1940" t="s">
        <v>8236</v>
      </c>
      <c r="M474" t="s">
        <v>11627</v>
      </c>
      <c r="N474" t="s">
        <v>9951</v>
      </c>
      <c r="O474" t="s">
        <v>5349</v>
      </c>
      <c r="P474" s="614">
        <f>COUNTIF(EducPlans_кодНАЦИД_Спец[аФакСец],EducPlans_кодНАЦИД_Спец[[#This Row],[аФакСец]])</f>
        <v>1</v>
      </c>
    </row>
    <row r="475" spans="3:16" x14ac:dyDescent="0.25">
      <c r="C475" s="614">
        <v>469</v>
      </c>
      <c r="D475" s="614">
        <v>11859</v>
      </c>
      <c r="E475" s="64" t="s">
        <v>2318</v>
      </c>
      <c r="F475" s="64" t="s">
        <v>5351</v>
      </c>
      <c r="G475" s="614" t="s">
        <v>26</v>
      </c>
      <c r="H475" s="614" t="s">
        <v>682</v>
      </c>
      <c r="I475" s="614" t="s">
        <v>1153</v>
      </c>
      <c r="J475" s="64" t="s">
        <v>3672</v>
      </c>
      <c r="K475" s="1940" t="s">
        <v>5350</v>
      </c>
      <c r="L475" s="1940" t="s">
        <v>8237</v>
      </c>
      <c r="M475" t="s">
        <v>11628</v>
      </c>
      <c r="N475" t="s">
        <v>9952</v>
      </c>
      <c r="O475" t="s">
        <v>5351</v>
      </c>
      <c r="P475" s="614">
        <f>COUNTIF(EducPlans_кодНАЦИД_Спец[аФакСец],EducPlans_кодНАЦИД_Спец[[#This Row],[аФакСец]])</f>
        <v>1</v>
      </c>
    </row>
    <row r="476" spans="3:16" x14ac:dyDescent="0.25">
      <c r="C476" s="614">
        <v>470</v>
      </c>
      <c r="D476" s="614">
        <v>11846</v>
      </c>
      <c r="E476" s="64" t="s">
        <v>2319</v>
      </c>
      <c r="F476" s="64" t="s">
        <v>5352</v>
      </c>
      <c r="G476" s="614" t="s">
        <v>26</v>
      </c>
      <c r="H476" s="614" t="s">
        <v>682</v>
      </c>
      <c r="I476" s="614" t="s">
        <v>1153</v>
      </c>
      <c r="J476" s="64" t="s">
        <v>3673</v>
      </c>
      <c r="K476" s="1940" t="s">
        <v>5353</v>
      </c>
      <c r="L476" s="1940" t="s">
        <v>8232</v>
      </c>
      <c r="M476" t="s">
        <v>11629</v>
      </c>
      <c r="N476" t="s">
        <v>9947</v>
      </c>
      <c r="O476" t="s">
        <v>5352</v>
      </c>
      <c r="P476" s="614">
        <f>COUNTIF(EducPlans_кодНАЦИД_Спец[аФакСец],EducPlans_кодНАЦИД_Спец[[#This Row],[аФакСец]])</f>
        <v>2</v>
      </c>
    </row>
    <row r="477" spans="3:16" x14ac:dyDescent="0.25">
      <c r="C477" s="614">
        <v>471</v>
      </c>
      <c r="D477" s="614">
        <v>11846</v>
      </c>
      <c r="E477" s="64" t="s">
        <v>2319</v>
      </c>
      <c r="F477" s="64" t="s">
        <v>5354</v>
      </c>
      <c r="G477" s="614" t="s">
        <v>26</v>
      </c>
      <c r="H477" s="614" t="s">
        <v>682</v>
      </c>
      <c r="I477" s="614" t="s">
        <v>1153</v>
      </c>
      <c r="J477" s="64" t="s">
        <v>3674</v>
      </c>
      <c r="K477" s="1940" t="s">
        <v>5353</v>
      </c>
      <c r="L477" s="1940" t="s">
        <v>8238</v>
      </c>
      <c r="M477" t="s">
        <v>11630</v>
      </c>
      <c r="N477" t="s">
        <v>9953</v>
      </c>
      <c r="O477" t="s">
        <v>5354</v>
      </c>
      <c r="P477" s="614">
        <f>COUNTIF(EducPlans_кодНАЦИД_Спец[аФакСец],EducPlans_кодНАЦИД_Спец[[#This Row],[аФакСец]])</f>
        <v>1</v>
      </c>
    </row>
    <row r="478" spans="3:16" x14ac:dyDescent="0.25">
      <c r="C478" s="614">
        <v>472</v>
      </c>
      <c r="D478" s="614">
        <v>12931</v>
      </c>
      <c r="E478" s="64" t="s">
        <v>1798</v>
      </c>
      <c r="F478" s="64" t="s">
        <v>5355</v>
      </c>
      <c r="G478" s="614" t="s">
        <v>42</v>
      </c>
      <c r="H478" s="614" t="s">
        <v>682</v>
      </c>
      <c r="I478" s="614" t="s">
        <v>1153</v>
      </c>
      <c r="J478" s="64" t="s">
        <v>5356</v>
      </c>
      <c r="K478" s="1940" t="s">
        <v>5357</v>
      </c>
      <c r="L478" s="1940" t="s">
        <v>8239</v>
      </c>
      <c r="M478" t="s">
        <v>11631</v>
      </c>
      <c r="N478" t="s">
        <v>9954</v>
      </c>
      <c r="O478" t="s">
        <v>5355</v>
      </c>
      <c r="P478" s="614">
        <f>COUNTIF(EducPlans_кодНАЦИД_Спец[аФакСец],EducPlans_кодНАЦИД_Спец[[#This Row],[аФакСец]])</f>
        <v>1</v>
      </c>
    </row>
    <row r="479" spans="3:16" x14ac:dyDescent="0.25">
      <c r="C479" s="614">
        <v>473</v>
      </c>
      <c r="D479" s="614">
        <v>12932</v>
      </c>
      <c r="E479" s="64" t="s">
        <v>1798</v>
      </c>
      <c r="F479" s="64" t="s">
        <v>5358</v>
      </c>
      <c r="G479" s="614" t="s">
        <v>42</v>
      </c>
      <c r="H479" s="614" t="s">
        <v>682</v>
      </c>
      <c r="I479" s="614" t="s">
        <v>1149</v>
      </c>
      <c r="J479" s="64" t="s">
        <v>5359</v>
      </c>
      <c r="K479" s="1940" t="s">
        <v>5360</v>
      </c>
      <c r="L479" s="1940" t="s">
        <v>8240</v>
      </c>
      <c r="M479" t="s">
        <v>11632</v>
      </c>
      <c r="N479" t="s">
        <v>9955</v>
      </c>
      <c r="O479" t="s">
        <v>5358</v>
      </c>
      <c r="P479" s="614">
        <f>COUNTIF(EducPlans_кодНАЦИД_Спец[аФакСец],EducPlans_кодНАЦИД_Спец[[#This Row],[аФакСец]])</f>
        <v>1</v>
      </c>
    </row>
    <row r="480" spans="3:16" x14ac:dyDescent="0.25">
      <c r="C480" s="614">
        <v>474</v>
      </c>
      <c r="D480" s="614">
        <v>12941</v>
      </c>
      <c r="E480" s="64" t="s">
        <v>1799</v>
      </c>
      <c r="F480" s="64" t="s">
        <v>5361</v>
      </c>
      <c r="G480" s="614" t="s">
        <v>42</v>
      </c>
      <c r="H480" s="614" t="s">
        <v>682</v>
      </c>
      <c r="I480" s="614" t="s">
        <v>1149</v>
      </c>
      <c r="J480" s="64" t="s">
        <v>3468</v>
      </c>
      <c r="K480" s="1940" t="s">
        <v>5362</v>
      </c>
      <c r="L480" s="1940" t="s">
        <v>8241</v>
      </c>
      <c r="M480" t="s">
        <v>11633</v>
      </c>
      <c r="N480" t="s">
        <v>9956</v>
      </c>
      <c r="O480" t="s">
        <v>5361</v>
      </c>
      <c r="P480" s="614">
        <f>COUNTIF(EducPlans_кодНАЦИД_Спец[аФакСец],EducPlans_кодНАЦИД_Спец[[#This Row],[аФакСец]])</f>
        <v>1</v>
      </c>
    </row>
    <row r="481" spans="3:16" x14ac:dyDescent="0.25">
      <c r="C481" s="614">
        <v>475</v>
      </c>
      <c r="D481" s="614">
        <v>11774</v>
      </c>
      <c r="E481" s="64" t="s">
        <v>1284</v>
      </c>
      <c r="F481" s="64" t="s">
        <v>5363</v>
      </c>
      <c r="G481" s="614" t="s">
        <v>26</v>
      </c>
      <c r="H481" s="614" t="s">
        <v>682</v>
      </c>
      <c r="I481" s="614" t="s">
        <v>1153</v>
      </c>
      <c r="J481" s="64" t="s">
        <v>3675</v>
      </c>
      <c r="K481" s="1940" t="s">
        <v>5364</v>
      </c>
      <c r="L481" s="1940" t="s">
        <v>8242</v>
      </c>
      <c r="M481" t="s">
        <v>11634</v>
      </c>
      <c r="N481" t="s">
        <v>9957</v>
      </c>
      <c r="O481" t="s">
        <v>5363</v>
      </c>
      <c r="P481" s="614">
        <f>COUNTIF(EducPlans_кодНАЦИД_Спец[аФакСец],EducPlans_кодНАЦИД_Спец[[#This Row],[аФакСец]])</f>
        <v>1</v>
      </c>
    </row>
    <row r="482" spans="3:16" x14ac:dyDescent="0.25">
      <c r="C482" s="614">
        <v>476</v>
      </c>
      <c r="D482" s="614">
        <v>11774</v>
      </c>
      <c r="E482" s="64" t="s">
        <v>1284</v>
      </c>
      <c r="F482" s="64" t="s">
        <v>5365</v>
      </c>
      <c r="G482" s="614" t="s">
        <v>26</v>
      </c>
      <c r="H482" s="614" t="s">
        <v>682</v>
      </c>
      <c r="I482" s="614" t="s">
        <v>1153</v>
      </c>
      <c r="J482" s="64" t="s">
        <v>3676</v>
      </c>
      <c r="K482" s="1940" t="s">
        <v>5364</v>
      </c>
      <c r="L482" s="1940" t="s">
        <v>8243</v>
      </c>
      <c r="M482" t="s">
        <v>11635</v>
      </c>
      <c r="N482" t="s">
        <v>9958</v>
      </c>
      <c r="O482" t="s">
        <v>5365</v>
      </c>
      <c r="P482" s="614">
        <f>COUNTIF(EducPlans_кодНАЦИД_Спец[аФакСец],EducPlans_кодНАЦИД_Спец[[#This Row],[аФакСец]])</f>
        <v>2</v>
      </c>
    </row>
    <row r="483" spans="3:16" x14ac:dyDescent="0.25">
      <c r="C483" s="614">
        <v>477</v>
      </c>
      <c r="D483" s="614">
        <v>11772</v>
      </c>
      <c r="E483" s="64" t="s">
        <v>1286</v>
      </c>
      <c r="F483" s="64" t="s">
        <v>5366</v>
      </c>
      <c r="G483" s="614" t="s">
        <v>26</v>
      </c>
      <c r="H483" s="614" t="s">
        <v>682</v>
      </c>
      <c r="I483" s="614" t="s">
        <v>1149</v>
      </c>
      <c r="J483" s="64" t="s">
        <v>3677</v>
      </c>
      <c r="K483" s="1940" t="s">
        <v>5367</v>
      </c>
      <c r="L483" s="1940" t="s">
        <v>8244</v>
      </c>
      <c r="M483" t="s">
        <v>11636</v>
      </c>
      <c r="N483" t="s">
        <v>9959</v>
      </c>
      <c r="O483" t="s">
        <v>5366</v>
      </c>
      <c r="P483" s="614">
        <f>COUNTIF(EducPlans_кодНАЦИД_Спец[аФакСец],EducPlans_кодНАЦИД_Спец[[#This Row],[аФакСец]])</f>
        <v>1</v>
      </c>
    </row>
    <row r="484" spans="3:16" x14ac:dyDescent="0.25">
      <c r="C484" s="614">
        <v>478</v>
      </c>
      <c r="D484" s="614">
        <v>11772</v>
      </c>
      <c r="E484" s="64" t="s">
        <v>1286</v>
      </c>
      <c r="F484" s="64" t="s">
        <v>5368</v>
      </c>
      <c r="G484" s="614" t="s">
        <v>26</v>
      </c>
      <c r="H484" s="614" t="s">
        <v>682</v>
      </c>
      <c r="I484" s="614" t="s">
        <v>1149</v>
      </c>
      <c r="J484" s="64" t="s">
        <v>3678</v>
      </c>
      <c r="K484" s="1940" t="s">
        <v>5367</v>
      </c>
      <c r="L484" s="1940" t="s">
        <v>8245</v>
      </c>
      <c r="M484" t="s">
        <v>11637</v>
      </c>
      <c r="N484" t="s">
        <v>9960</v>
      </c>
      <c r="O484" t="s">
        <v>5368</v>
      </c>
      <c r="P484" s="614">
        <f>COUNTIF(EducPlans_кодНАЦИД_Спец[аФакСец],EducPlans_кодНАЦИД_Спец[[#This Row],[аФакСец]])</f>
        <v>1</v>
      </c>
    </row>
    <row r="485" spans="3:16" x14ac:dyDescent="0.25">
      <c r="C485" s="614">
        <v>479</v>
      </c>
      <c r="D485" s="614">
        <v>11772</v>
      </c>
      <c r="E485" s="64" t="s">
        <v>1286</v>
      </c>
      <c r="F485" s="64" t="s">
        <v>5369</v>
      </c>
      <c r="G485" s="614" t="s">
        <v>26</v>
      </c>
      <c r="H485" s="614" t="s">
        <v>682</v>
      </c>
      <c r="I485" s="614" t="s">
        <v>1149</v>
      </c>
      <c r="J485" s="64" t="s">
        <v>3679</v>
      </c>
      <c r="K485" s="1940" t="s">
        <v>5367</v>
      </c>
      <c r="L485" s="1940" t="s">
        <v>8246</v>
      </c>
      <c r="M485" t="s">
        <v>11638</v>
      </c>
      <c r="N485" t="s">
        <v>9961</v>
      </c>
      <c r="O485" t="s">
        <v>5369</v>
      </c>
      <c r="P485" s="614">
        <f>COUNTIF(EducPlans_кодНАЦИД_Спец[аФакСец],EducPlans_кодНАЦИД_Спец[[#This Row],[аФакСец]])</f>
        <v>1</v>
      </c>
    </row>
    <row r="486" spans="3:16" x14ac:dyDescent="0.25">
      <c r="C486" s="614">
        <v>480</v>
      </c>
      <c r="D486" s="614">
        <v>11814</v>
      </c>
      <c r="E486" s="64" t="s">
        <v>2320</v>
      </c>
      <c r="F486" s="64" t="s">
        <v>5370</v>
      </c>
      <c r="G486" s="614" t="s">
        <v>26</v>
      </c>
      <c r="H486" s="614" t="s">
        <v>682</v>
      </c>
      <c r="I486" s="614" t="s">
        <v>1153</v>
      </c>
      <c r="J486" s="64" t="s">
        <v>5371</v>
      </c>
      <c r="K486" s="1940" t="s">
        <v>5372</v>
      </c>
      <c r="L486" s="1940" t="s">
        <v>8247</v>
      </c>
      <c r="M486" t="s">
        <v>11639</v>
      </c>
      <c r="N486" t="s">
        <v>9962</v>
      </c>
      <c r="O486" t="s">
        <v>5370</v>
      </c>
      <c r="P486" s="614">
        <f>COUNTIF(EducPlans_кодНАЦИД_Спец[аФакСец],EducPlans_кодНАЦИД_Спец[[#This Row],[аФакСец]])</f>
        <v>1</v>
      </c>
    </row>
    <row r="487" spans="3:16" x14ac:dyDescent="0.25">
      <c r="C487" s="614">
        <v>481</v>
      </c>
      <c r="D487" s="614">
        <v>11814</v>
      </c>
      <c r="E487" s="64" t="s">
        <v>2320</v>
      </c>
      <c r="F487" s="64" t="s">
        <v>5373</v>
      </c>
      <c r="G487" s="614" t="s">
        <v>26</v>
      </c>
      <c r="H487" s="614" t="s">
        <v>682</v>
      </c>
      <c r="I487" s="614" t="s">
        <v>1153</v>
      </c>
      <c r="J487" s="64" t="s">
        <v>5374</v>
      </c>
      <c r="K487" s="1940" t="s">
        <v>5372</v>
      </c>
      <c r="L487" s="1940" t="s">
        <v>8248</v>
      </c>
      <c r="M487" t="s">
        <v>11640</v>
      </c>
      <c r="N487" t="s">
        <v>9963</v>
      </c>
      <c r="O487" t="s">
        <v>5373</v>
      </c>
      <c r="P487" s="614">
        <f>COUNTIF(EducPlans_кодНАЦИД_Спец[аФакСец],EducPlans_кодНАЦИД_Спец[[#This Row],[аФакСец]])</f>
        <v>1</v>
      </c>
    </row>
    <row r="488" spans="3:16" x14ac:dyDescent="0.25">
      <c r="C488" s="614">
        <v>482</v>
      </c>
      <c r="D488" s="614">
        <v>11814</v>
      </c>
      <c r="E488" s="64" t="s">
        <v>2320</v>
      </c>
      <c r="F488" s="64" t="s">
        <v>5375</v>
      </c>
      <c r="G488" s="614" t="s">
        <v>26</v>
      </c>
      <c r="H488" s="614" t="s">
        <v>682</v>
      </c>
      <c r="I488" s="614" t="s">
        <v>1153</v>
      </c>
      <c r="J488" s="64" t="s">
        <v>3676</v>
      </c>
      <c r="K488" s="1940" t="s">
        <v>5372</v>
      </c>
      <c r="L488" s="1940" t="s">
        <v>8243</v>
      </c>
      <c r="M488" t="s">
        <v>11641</v>
      </c>
      <c r="N488" t="s">
        <v>9958</v>
      </c>
      <c r="O488" t="s">
        <v>5375</v>
      </c>
      <c r="P488" s="614">
        <f>COUNTIF(EducPlans_кодНАЦИД_Спец[аФакСец],EducPlans_кодНАЦИД_Спец[[#This Row],[аФакСец]])</f>
        <v>2</v>
      </c>
    </row>
    <row r="489" spans="3:16" x14ac:dyDescent="0.25">
      <c r="C489" s="614">
        <v>483</v>
      </c>
      <c r="D489" s="614">
        <v>11815</v>
      </c>
      <c r="E489" s="64" t="s">
        <v>2321</v>
      </c>
      <c r="F489" s="64" t="s">
        <v>5376</v>
      </c>
      <c r="G489" s="614" t="s">
        <v>26</v>
      </c>
      <c r="H489" s="614" t="s">
        <v>682</v>
      </c>
      <c r="I489" s="614" t="s">
        <v>1153</v>
      </c>
      <c r="J489" s="64" t="s">
        <v>5377</v>
      </c>
      <c r="K489" s="1940" t="s">
        <v>5378</v>
      </c>
      <c r="L489" s="1940" t="s">
        <v>8249</v>
      </c>
      <c r="M489" t="s">
        <v>11642</v>
      </c>
      <c r="N489" t="s">
        <v>9964</v>
      </c>
      <c r="O489" t="s">
        <v>5376</v>
      </c>
      <c r="P489" s="614">
        <f>COUNTIF(EducPlans_кодНАЦИД_Спец[аФакСец],EducPlans_кодНАЦИД_Спец[[#This Row],[аФакСец]])</f>
        <v>1</v>
      </c>
    </row>
    <row r="490" spans="3:16" x14ac:dyDescent="0.25">
      <c r="C490" s="614">
        <v>484</v>
      </c>
      <c r="D490" s="614">
        <v>11815</v>
      </c>
      <c r="E490" s="64" t="s">
        <v>2321</v>
      </c>
      <c r="F490" s="64" t="s">
        <v>5379</v>
      </c>
      <c r="G490" s="614" t="s">
        <v>26</v>
      </c>
      <c r="H490" s="614" t="s">
        <v>682</v>
      </c>
      <c r="I490" s="614" t="s">
        <v>1153</v>
      </c>
      <c r="J490" s="64" t="s">
        <v>5380</v>
      </c>
      <c r="K490" s="1940" t="s">
        <v>5378</v>
      </c>
      <c r="L490" s="1940" t="s">
        <v>8250</v>
      </c>
      <c r="M490" t="s">
        <v>11643</v>
      </c>
      <c r="N490" t="s">
        <v>9965</v>
      </c>
      <c r="O490" t="s">
        <v>5379</v>
      </c>
      <c r="P490" s="614">
        <f>COUNTIF(EducPlans_кодНАЦИД_Спец[аФакСец],EducPlans_кодНАЦИД_Спец[[#This Row],[аФакСец]])</f>
        <v>1</v>
      </c>
    </row>
    <row r="491" spans="3:16" x14ac:dyDescent="0.25">
      <c r="C491" s="614">
        <v>485</v>
      </c>
      <c r="D491" s="614">
        <v>11815</v>
      </c>
      <c r="E491" s="64" t="s">
        <v>2321</v>
      </c>
      <c r="F491" s="64" t="s">
        <v>5381</v>
      </c>
      <c r="G491" s="614" t="s">
        <v>26</v>
      </c>
      <c r="H491" s="614" t="s">
        <v>682</v>
      </c>
      <c r="I491" s="614" t="s">
        <v>1153</v>
      </c>
      <c r="J491" s="64" t="s">
        <v>5382</v>
      </c>
      <c r="K491" s="1940" t="s">
        <v>5378</v>
      </c>
      <c r="L491" s="1940" t="s">
        <v>8251</v>
      </c>
      <c r="M491" t="s">
        <v>11644</v>
      </c>
      <c r="N491" t="s">
        <v>9966</v>
      </c>
      <c r="O491" t="s">
        <v>5381</v>
      </c>
      <c r="P491" s="614">
        <f>COUNTIF(EducPlans_кодНАЦИД_Спец[аФакСец],EducPlans_кодНАЦИД_Спец[[#This Row],[аФакСец]])</f>
        <v>1</v>
      </c>
    </row>
    <row r="492" spans="3:16" x14ac:dyDescent="0.25">
      <c r="C492" s="614">
        <v>486</v>
      </c>
      <c r="D492" s="614">
        <v>12902</v>
      </c>
      <c r="E492" s="64" t="s">
        <v>1954</v>
      </c>
      <c r="F492" s="64" t="s">
        <v>5383</v>
      </c>
      <c r="G492" s="614" t="s">
        <v>626</v>
      </c>
      <c r="H492" s="614" t="s">
        <v>682</v>
      </c>
      <c r="I492" s="614" t="s">
        <v>1149</v>
      </c>
      <c r="J492" s="64" t="s">
        <v>3269</v>
      </c>
      <c r="K492" s="1940" t="s">
        <v>5384</v>
      </c>
      <c r="L492" s="1940" t="s">
        <v>8252</v>
      </c>
      <c r="M492" t="s">
        <v>11645</v>
      </c>
      <c r="N492" t="s">
        <v>9967</v>
      </c>
      <c r="O492" t="s">
        <v>5383</v>
      </c>
      <c r="P492" s="614">
        <f>COUNTIF(EducPlans_кодНАЦИД_Спец[аФакСец],EducPlans_кодНАЦИД_Спец[[#This Row],[аФакСец]])</f>
        <v>1</v>
      </c>
    </row>
    <row r="493" spans="3:16" x14ac:dyDescent="0.25">
      <c r="C493" s="614">
        <v>487</v>
      </c>
      <c r="D493" s="614">
        <v>12902</v>
      </c>
      <c r="E493" s="64" t="s">
        <v>1954</v>
      </c>
      <c r="F493" s="64" t="s">
        <v>5385</v>
      </c>
      <c r="G493" s="614" t="s">
        <v>626</v>
      </c>
      <c r="H493" s="614" t="s">
        <v>682</v>
      </c>
      <c r="I493" s="614" t="s">
        <v>1149</v>
      </c>
      <c r="J493" s="64" t="s">
        <v>3270</v>
      </c>
      <c r="K493" s="1940" t="s">
        <v>5384</v>
      </c>
      <c r="L493" s="1940" t="s">
        <v>8253</v>
      </c>
      <c r="M493" t="s">
        <v>11646</v>
      </c>
      <c r="N493" t="s">
        <v>9968</v>
      </c>
      <c r="O493" t="s">
        <v>5385</v>
      </c>
      <c r="P493" s="614">
        <f>COUNTIF(EducPlans_кодНАЦИД_Спец[аФакСец],EducPlans_кодНАЦИД_Спец[[#This Row],[аФакСец]])</f>
        <v>1</v>
      </c>
    </row>
    <row r="494" spans="3:16" x14ac:dyDescent="0.25">
      <c r="C494" s="614">
        <v>488</v>
      </c>
      <c r="D494" s="614">
        <v>12902</v>
      </c>
      <c r="E494" s="64" t="s">
        <v>1954</v>
      </c>
      <c r="F494" s="64" t="s">
        <v>5386</v>
      </c>
      <c r="G494" s="614" t="s">
        <v>626</v>
      </c>
      <c r="H494" s="614" t="s">
        <v>682</v>
      </c>
      <c r="I494" s="614" t="s">
        <v>1149</v>
      </c>
      <c r="J494" s="64" t="s">
        <v>3271</v>
      </c>
      <c r="K494" s="1940" t="s">
        <v>5384</v>
      </c>
      <c r="L494" s="1940" t="s">
        <v>8254</v>
      </c>
      <c r="M494" t="s">
        <v>11647</v>
      </c>
      <c r="N494" t="s">
        <v>9969</v>
      </c>
      <c r="O494" t="s">
        <v>5386</v>
      </c>
      <c r="P494" s="614">
        <f>COUNTIF(EducPlans_кодНАЦИД_Спец[аФакСец],EducPlans_кодНАЦИД_Спец[[#This Row],[аФакСец]])</f>
        <v>1</v>
      </c>
    </row>
    <row r="495" spans="3:16" x14ac:dyDescent="0.25">
      <c r="C495" s="614">
        <v>489</v>
      </c>
      <c r="D495" s="614">
        <v>12902</v>
      </c>
      <c r="E495" s="64" t="s">
        <v>1954</v>
      </c>
      <c r="F495" s="64" t="s">
        <v>5387</v>
      </c>
      <c r="G495" s="614" t="s">
        <v>626</v>
      </c>
      <c r="H495" s="614" t="s">
        <v>682</v>
      </c>
      <c r="I495" s="614" t="s">
        <v>1149</v>
      </c>
      <c r="J495" s="64" t="s">
        <v>3268</v>
      </c>
      <c r="K495" s="1940" t="s">
        <v>5384</v>
      </c>
      <c r="L495" s="1940" t="s">
        <v>8255</v>
      </c>
      <c r="M495" t="s">
        <v>11648</v>
      </c>
      <c r="N495" t="s">
        <v>9970</v>
      </c>
      <c r="O495" t="s">
        <v>5387</v>
      </c>
      <c r="P495" s="614">
        <f>COUNTIF(EducPlans_кодНАЦИД_Спец[аФакСец],EducPlans_кодНАЦИД_Спец[[#This Row],[аФакСец]])</f>
        <v>1</v>
      </c>
    </row>
    <row r="496" spans="3:16" x14ac:dyDescent="0.25">
      <c r="C496" s="614">
        <v>490</v>
      </c>
      <c r="D496" s="614">
        <v>12237</v>
      </c>
      <c r="E496" s="64" t="s">
        <v>2222</v>
      </c>
      <c r="F496" s="64" t="s">
        <v>5388</v>
      </c>
      <c r="G496" s="614" t="s">
        <v>31</v>
      </c>
      <c r="H496" s="614" t="s">
        <v>682</v>
      </c>
      <c r="I496" s="614" t="s">
        <v>1153</v>
      </c>
      <c r="J496" s="64" t="s">
        <v>2950</v>
      </c>
      <c r="K496" s="1940" t="s">
        <v>5389</v>
      </c>
      <c r="L496" s="1940" t="s">
        <v>8256</v>
      </c>
      <c r="M496" t="s">
        <v>11649</v>
      </c>
      <c r="N496" t="s">
        <v>9971</v>
      </c>
      <c r="O496" t="s">
        <v>5388</v>
      </c>
      <c r="P496" s="614">
        <f>COUNTIF(EducPlans_кодНАЦИД_Спец[аФакСец],EducPlans_кодНАЦИД_Спец[[#This Row],[аФакСец]])</f>
        <v>1</v>
      </c>
    </row>
    <row r="497" spans="3:16" x14ac:dyDescent="0.25">
      <c r="C497" s="614">
        <v>491</v>
      </c>
      <c r="D497" s="614">
        <v>12703</v>
      </c>
      <c r="E497" s="64" t="s">
        <v>1163</v>
      </c>
      <c r="F497" s="64" t="s">
        <v>5390</v>
      </c>
      <c r="G497" s="614" t="s">
        <v>296</v>
      </c>
      <c r="H497" s="614" t="s">
        <v>682</v>
      </c>
      <c r="I497" s="614" t="s">
        <v>1153</v>
      </c>
      <c r="J497" s="64" t="s">
        <v>3768</v>
      </c>
      <c r="K497" s="1940" t="s">
        <v>5391</v>
      </c>
      <c r="L497" s="1940" t="s">
        <v>8257</v>
      </c>
      <c r="M497" t="s">
        <v>11650</v>
      </c>
      <c r="N497" t="s">
        <v>9972</v>
      </c>
      <c r="O497" t="s">
        <v>5390</v>
      </c>
      <c r="P497" s="614">
        <f>COUNTIF(EducPlans_кодНАЦИД_Спец[аФакСец],EducPlans_кодНАЦИД_Спец[[#This Row],[аФакСец]])</f>
        <v>1</v>
      </c>
    </row>
    <row r="498" spans="3:16" x14ac:dyDescent="0.25">
      <c r="C498" s="614">
        <v>492</v>
      </c>
      <c r="D498" s="614">
        <v>12703</v>
      </c>
      <c r="E498" s="64" t="s">
        <v>1163</v>
      </c>
      <c r="F498" s="64" t="s">
        <v>5392</v>
      </c>
      <c r="G498" s="614" t="s">
        <v>296</v>
      </c>
      <c r="H498" s="614" t="s">
        <v>682</v>
      </c>
      <c r="I498" s="614" t="s">
        <v>1153</v>
      </c>
      <c r="J498" s="64" t="s">
        <v>3767</v>
      </c>
      <c r="K498" s="1940" t="s">
        <v>5391</v>
      </c>
      <c r="L498" s="1940" t="s">
        <v>8258</v>
      </c>
      <c r="M498" t="s">
        <v>11651</v>
      </c>
      <c r="N498" t="s">
        <v>9973</v>
      </c>
      <c r="O498" t="s">
        <v>5392</v>
      </c>
      <c r="P498" s="614">
        <f>COUNTIF(EducPlans_кодНАЦИД_Спец[аФакСец],EducPlans_кодНАЦИД_Спец[[#This Row],[аФакСец]])</f>
        <v>1</v>
      </c>
    </row>
    <row r="499" spans="3:16" x14ac:dyDescent="0.25">
      <c r="C499" s="614">
        <v>493</v>
      </c>
      <c r="D499" s="614">
        <v>12705</v>
      </c>
      <c r="E499" s="64" t="s">
        <v>1163</v>
      </c>
      <c r="F499" s="64" t="s">
        <v>5393</v>
      </c>
      <c r="G499" s="614" t="s">
        <v>296</v>
      </c>
      <c r="H499" s="614" t="s">
        <v>682</v>
      </c>
      <c r="I499" s="614" t="s">
        <v>1149</v>
      </c>
      <c r="J499" s="64" t="s">
        <v>3765</v>
      </c>
      <c r="K499" s="1940" t="s">
        <v>5394</v>
      </c>
      <c r="L499" s="1940" t="s">
        <v>8259</v>
      </c>
      <c r="M499" t="s">
        <v>11652</v>
      </c>
      <c r="N499" t="s">
        <v>9974</v>
      </c>
      <c r="O499" t="s">
        <v>5393</v>
      </c>
      <c r="P499" s="614">
        <f>COUNTIF(EducPlans_кодНАЦИД_Спец[аФакСец],EducPlans_кодНАЦИД_Спец[[#This Row],[аФакСец]])</f>
        <v>1</v>
      </c>
    </row>
    <row r="500" spans="3:16" x14ac:dyDescent="0.25">
      <c r="C500" s="614">
        <v>494</v>
      </c>
      <c r="D500" s="614">
        <v>12705</v>
      </c>
      <c r="E500" s="64" t="s">
        <v>1163</v>
      </c>
      <c r="F500" s="64" t="s">
        <v>5395</v>
      </c>
      <c r="G500" s="614" t="s">
        <v>296</v>
      </c>
      <c r="H500" s="614" t="s">
        <v>682</v>
      </c>
      <c r="I500" s="614" t="s">
        <v>1149</v>
      </c>
      <c r="J500" s="64" t="s">
        <v>3766</v>
      </c>
      <c r="K500" s="1940" t="s">
        <v>5394</v>
      </c>
      <c r="L500" s="1940" t="s">
        <v>8260</v>
      </c>
      <c r="M500" t="s">
        <v>11653</v>
      </c>
      <c r="N500" t="s">
        <v>9975</v>
      </c>
      <c r="O500" t="s">
        <v>5395</v>
      </c>
      <c r="P500" s="614">
        <f>COUNTIF(EducPlans_кодНАЦИД_Спец[аФакСец],EducPlans_кодНАЦИД_Спец[[#This Row],[аФакСец]])</f>
        <v>1</v>
      </c>
    </row>
    <row r="501" spans="3:16" x14ac:dyDescent="0.25">
      <c r="C501" s="614">
        <v>495</v>
      </c>
      <c r="D501" s="614">
        <v>12707</v>
      </c>
      <c r="E501" s="64" t="s">
        <v>1164</v>
      </c>
      <c r="F501" s="64" t="s">
        <v>5396</v>
      </c>
      <c r="G501" s="614" t="s">
        <v>296</v>
      </c>
      <c r="H501" s="614" t="s">
        <v>682</v>
      </c>
      <c r="I501" s="614" t="s">
        <v>1153</v>
      </c>
      <c r="J501" s="64" t="s">
        <v>3770</v>
      </c>
      <c r="K501" s="1940" t="s">
        <v>5397</v>
      </c>
      <c r="L501" s="1940" t="s">
        <v>8261</v>
      </c>
      <c r="M501" t="s">
        <v>11654</v>
      </c>
      <c r="N501" t="s">
        <v>9976</v>
      </c>
      <c r="O501" t="s">
        <v>5396</v>
      </c>
      <c r="P501" s="614">
        <f>COUNTIF(EducPlans_кодНАЦИД_Спец[аФакСец],EducPlans_кодНАЦИД_Спец[[#This Row],[аФакСец]])</f>
        <v>1</v>
      </c>
    </row>
    <row r="502" spans="3:16" x14ac:dyDescent="0.25">
      <c r="C502" s="614">
        <v>496</v>
      </c>
      <c r="D502" s="614">
        <v>12708</v>
      </c>
      <c r="E502" s="64" t="s">
        <v>1164</v>
      </c>
      <c r="F502" s="64" t="s">
        <v>5398</v>
      </c>
      <c r="G502" s="614" t="s">
        <v>296</v>
      </c>
      <c r="H502" s="614" t="s">
        <v>682</v>
      </c>
      <c r="I502" s="614" t="s">
        <v>1149</v>
      </c>
      <c r="J502" s="64" t="s">
        <v>3769</v>
      </c>
      <c r="K502" s="1940" t="s">
        <v>5399</v>
      </c>
      <c r="L502" s="1940" t="s">
        <v>8262</v>
      </c>
      <c r="M502" t="s">
        <v>11655</v>
      </c>
      <c r="N502" t="s">
        <v>9977</v>
      </c>
      <c r="O502" t="s">
        <v>5398</v>
      </c>
      <c r="P502" s="614">
        <f>COUNTIF(EducPlans_кодНАЦИД_Спец[аФакСец],EducPlans_кодНАЦИД_Спец[[#This Row],[аФакСец]])</f>
        <v>1</v>
      </c>
    </row>
    <row r="503" spans="3:16" x14ac:dyDescent="0.25">
      <c r="C503" s="614">
        <v>497</v>
      </c>
      <c r="D503" s="614">
        <v>11071</v>
      </c>
      <c r="E503" s="64" t="s">
        <v>1552</v>
      </c>
      <c r="F503" s="64" t="s">
        <v>5400</v>
      </c>
      <c r="G503" s="614" t="s">
        <v>48</v>
      </c>
      <c r="H503" s="614" t="s">
        <v>681</v>
      </c>
      <c r="I503" s="614" t="s">
        <v>1153</v>
      </c>
      <c r="J503" s="64" t="s">
        <v>3124</v>
      </c>
      <c r="K503" s="1940" t="s">
        <v>5401</v>
      </c>
      <c r="L503" s="1940" t="s">
        <v>8263</v>
      </c>
      <c r="M503" t="s">
        <v>11656</v>
      </c>
      <c r="N503" t="s">
        <v>9978</v>
      </c>
      <c r="O503" t="s">
        <v>5400</v>
      </c>
      <c r="P503" s="614">
        <f>COUNTIF(EducPlans_кодНАЦИД_Спец[аФакСец],EducPlans_кодНАЦИД_Спец[[#This Row],[аФакСец]])</f>
        <v>1</v>
      </c>
    </row>
    <row r="504" spans="3:16" x14ac:dyDescent="0.25">
      <c r="C504" s="614">
        <v>498</v>
      </c>
      <c r="D504" s="614">
        <v>588879</v>
      </c>
      <c r="E504" s="64" t="s">
        <v>1552</v>
      </c>
      <c r="F504" s="64" t="s">
        <v>5402</v>
      </c>
      <c r="G504" s="614" t="s">
        <v>48</v>
      </c>
      <c r="H504" s="614" t="s">
        <v>682</v>
      </c>
      <c r="I504" s="614" t="s">
        <v>1153</v>
      </c>
      <c r="J504" s="64" t="s">
        <v>5403</v>
      </c>
      <c r="K504" s="1940" t="s">
        <v>5404</v>
      </c>
      <c r="L504" s="1940" t="s">
        <v>8264</v>
      </c>
      <c r="M504" t="s">
        <v>11657</v>
      </c>
      <c r="N504" t="s">
        <v>9979</v>
      </c>
      <c r="O504" t="s">
        <v>5402</v>
      </c>
      <c r="P504" s="614">
        <f>COUNTIF(EducPlans_кодНАЦИД_Спец[аФакСец],EducPlans_кодНАЦИД_Спец[[#This Row],[аФакСец]])</f>
        <v>1</v>
      </c>
    </row>
    <row r="505" spans="3:16" x14ac:dyDescent="0.25">
      <c r="C505" s="614">
        <v>499</v>
      </c>
      <c r="D505" s="614">
        <v>11079</v>
      </c>
      <c r="E505" s="64" t="s">
        <v>1660</v>
      </c>
      <c r="F505" s="64" t="s">
        <v>5405</v>
      </c>
      <c r="G505" s="614" t="s">
        <v>48</v>
      </c>
      <c r="H505" s="614" t="s">
        <v>681</v>
      </c>
      <c r="I505" s="614" t="s">
        <v>1153</v>
      </c>
      <c r="J505" s="64" t="s">
        <v>3125</v>
      </c>
      <c r="K505" s="1940" t="s">
        <v>5406</v>
      </c>
      <c r="L505" s="1940" t="s">
        <v>8265</v>
      </c>
      <c r="M505" t="s">
        <v>11658</v>
      </c>
      <c r="N505" t="s">
        <v>9980</v>
      </c>
      <c r="O505" t="s">
        <v>5405</v>
      </c>
      <c r="P505" s="614">
        <f>COUNTIF(EducPlans_кодНАЦИД_Спец[аФакСец],EducPlans_кодНАЦИД_Спец[[#This Row],[аФакСец]])</f>
        <v>1</v>
      </c>
    </row>
    <row r="506" spans="3:16" x14ac:dyDescent="0.25">
      <c r="C506" s="614">
        <v>500</v>
      </c>
      <c r="D506" s="614">
        <v>11193</v>
      </c>
      <c r="E506" s="64" t="s">
        <v>1661</v>
      </c>
      <c r="F506" s="64" t="s">
        <v>5407</v>
      </c>
      <c r="G506" s="614" t="s">
        <v>48</v>
      </c>
      <c r="H506" s="614" t="s">
        <v>682</v>
      </c>
      <c r="I506" s="614" t="s">
        <v>1153</v>
      </c>
      <c r="J506" s="64" t="s">
        <v>5408</v>
      </c>
      <c r="K506" s="1940" t="s">
        <v>5409</v>
      </c>
      <c r="L506" s="1940" t="s">
        <v>8266</v>
      </c>
      <c r="M506" t="s">
        <v>11659</v>
      </c>
      <c r="N506" t="s">
        <v>9981</v>
      </c>
      <c r="O506" t="s">
        <v>5407</v>
      </c>
      <c r="P506" s="614">
        <f>COUNTIF(EducPlans_кодНАЦИД_Спец[аФакСец],EducPlans_кодНАЦИД_Спец[[#This Row],[аФакСец]])</f>
        <v>1</v>
      </c>
    </row>
    <row r="507" spans="3:16" x14ac:dyDescent="0.25">
      <c r="C507" s="614">
        <v>501</v>
      </c>
      <c r="D507" s="614">
        <v>11196</v>
      </c>
      <c r="E507" s="64" t="s">
        <v>1661</v>
      </c>
      <c r="F507" s="64" t="s">
        <v>5410</v>
      </c>
      <c r="G507" s="614" t="s">
        <v>48</v>
      </c>
      <c r="H507" s="614" t="s">
        <v>682</v>
      </c>
      <c r="I507" s="614" t="s">
        <v>1153</v>
      </c>
      <c r="J507" s="64" t="s">
        <v>5411</v>
      </c>
      <c r="K507" s="1940" t="s">
        <v>5412</v>
      </c>
      <c r="L507" s="1940" t="s">
        <v>8267</v>
      </c>
      <c r="M507" t="s">
        <v>11660</v>
      </c>
      <c r="N507" t="s">
        <v>9982</v>
      </c>
      <c r="O507" t="s">
        <v>5410</v>
      </c>
      <c r="P507" s="614">
        <f>COUNTIF(EducPlans_кодНАЦИД_Спец[аФакСец],EducPlans_кодНАЦИД_Спец[[#This Row],[аФакСец]])</f>
        <v>1</v>
      </c>
    </row>
    <row r="508" spans="3:16" x14ac:dyDescent="0.25">
      <c r="C508" s="614">
        <v>502</v>
      </c>
      <c r="D508" s="614">
        <v>11200</v>
      </c>
      <c r="E508" s="64" t="s">
        <v>1662</v>
      </c>
      <c r="F508" s="64" t="s">
        <v>5413</v>
      </c>
      <c r="G508" s="614" t="s">
        <v>48</v>
      </c>
      <c r="H508" s="614" t="s">
        <v>682</v>
      </c>
      <c r="I508" s="614" t="s">
        <v>1153</v>
      </c>
      <c r="J508" s="64" t="s">
        <v>3127</v>
      </c>
      <c r="K508" s="1940" t="s">
        <v>5414</v>
      </c>
      <c r="L508" s="1940" t="s">
        <v>8268</v>
      </c>
      <c r="M508" t="s">
        <v>11661</v>
      </c>
      <c r="N508" t="s">
        <v>9983</v>
      </c>
      <c r="O508" t="s">
        <v>5413</v>
      </c>
      <c r="P508" s="614">
        <f>COUNTIF(EducPlans_кодНАЦИД_Спец[аФакСец],EducPlans_кодНАЦИД_Спец[[#This Row],[аФакСец]])</f>
        <v>1</v>
      </c>
    </row>
    <row r="509" spans="3:16" x14ac:dyDescent="0.25">
      <c r="C509" s="614">
        <v>503</v>
      </c>
      <c r="D509" s="614">
        <v>259752</v>
      </c>
      <c r="E509" s="64" t="s">
        <v>1663</v>
      </c>
      <c r="F509" s="64" t="s">
        <v>5415</v>
      </c>
      <c r="G509" s="614" t="s">
        <v>48</v>
      </c>
      <c r="H509" s="614" t="s">
        <v>682</v>
      </c>
      <c r="I509" s="614" t="s">
        <v>1153</v>
      </c>
      <c r="J509" s="64" t="s">
        <v>3128</v>
      </c>
      <c r="K509" s="1940" t="s">
        <v>5416</v>
      </c>
      <c r="L509" s="1940" t="s">
        <v>8269</v>
      </c>
      <c r="M509" t="s">
        <v>11662</v>
      </c>
      <c r="N509" t="s">
        <v>9984</v>
      </c>
      <c r="O509" t="s">
        <v>5415</v>
      </c>
      <c r="P509" s="614">
        <f>COUNTIF(EducPlans_кодНАЦИД_Спец[аФакСец],EducPlans_кодНАЦИД_Спец[[#This Row],[аФакСец]])</f>
        <v>1</v>
      </c>
    </row>
    <row r="510" spans="3:16" x14ac:dyDescent="0.25">
      <c r="C510" s="614">
        <v>504</v>
      </c>
      <c r="D510" s="614">
        <v>11203</v>
      </c>
      <c r="E510" s="64" t="s">
        <v>1664</v>
      </c>
      <c r="F510" s="64" t="s">
        <v>5417</v>
      </c>
      <c r="G510" s="614" t="s">
        <v>48</v>
      </c>
      <c r="H510" s="614" t="s">
        <v>682</v>
      </c>
      <c r="I510" s="614" t="s">
        <v>1153</v>
      </c>
      <c r="J510" s="64" t="s">
        <v>3130</v>
      </c>
      <c r="K510" s="1940" t="s">
        <v>5418</v>
      </c>
      <c r="L510" s="1940" t="s">
        <v>8270</v>
      </c>
      <c r="M510" t="s">
        <v>11663</v>
      </c>
      <c r="N510" t="s">
        <v>9985</v>
      </c>
      <c r="O510" t="s">
        <v>5417</v>
      </c>
      <c r="P510" s="614">
        <f>COUNTIF(EducPlans_кодНАЦИД_Спец[аФакСец],EducPlans_кодНАЦИД_Спец[[#This Row],[аФакСец]])</f>
        <v>1</v>
      </c>
    </row>
    <row r="511" spans="3:16" x14ac:dyDescent="0.25">
      <c r="C511" s="614">
        <v>505</v>
      </c>
      <c r="D511" s="614">
        <v>278414</v>
      </c>
      <c r="E511" s="64" t="s">
        <v>1165</v>
      </c>
      <c r="F511" s="64" t="s">
        <v>5419</v>
      </c>
      <c r="G511" s="614" t="s">
        <v>296</v>
      </c>
      <c r="H511" s="614" t="s">
        <v>682</v>
      </c>
      <c r="I511" s="614" t="s">
        <v>1153</v>
      </c>
      <c r="J511" s="64" t="s">
        <v>3771</v>
      </c>
      <c r="K511" s="1940" t="s">
        <v>5420</v>
      </c>
      <c r="L511" s="1940" t="s">
        <v>8271</v>
      </c>
      <c r="M511" t="s">
        <v>11664</v>
      </c>
      <c r="N511" t="s">
        <v>9986</v>
      </c>
      <c r="O511" t="s">
        <v>5419</v>
      </c>
      <c r="P511" s="614">
        <f>COUNTIF(EducPlans_кодНАЦИД_Спец[аФакСец],EducPlans_кодНАЦИД_Спец[[#This Row],[аФакСец]])</f>
        <v>1</v>
      </c>
    </row>
    <row r="512" spans="3:16" x14ac:dyDescent="0.25">
      <c r="C512" s="614">
        <v>506</v>
      </c>
      <c r="D512" s="614">
        <v>927672</v>
      </c>
      <c r="E512" s="64" t="s">
        <v>1165</v>
      </c>
      <c r="F512" s="64" t="s">
        <v>13382</v>
      </c>
      <c r="G512" s="614" t="s">
        <v>296</v>
      </c>
      <c r="H512" s="614" t="s">
        <v>682</v>
      </c>
      <c r="I512" s="614" t="s">
        <v>1149</v>
      </c>
      <c r="J512" s="64" t="s">
        <v>13383</v>
      </c>
      <c r="K512" s="1940" t="s">
        <v>13384</v>
      </c>
      <c r="L512" s="1940" t="s">
        <v>13385</v>
      </c>
      <c r="M512" t="s">
        <v>13386</v>
      </c>
      <c r="N512" t="s">
        <v>13387</v>
      </c>
      <c r="O512" t="s">
        <v>13382</v>
      </c>
      <c r="P512" s="614">
        <f>COUNTIF(EducPlans_кодНАЦИД_Спец[аФакСец],EducPlans_кодНАЦИД_Спец[[#This Row],[аФакСец]])</f>
        <v>1</v>
      </c>
    </row>
    <row r="513" spans="3:16" x14ac:dyDescent="0.25">
      <c r="C513" s="614">
        <v>507</v>
      </c>
      <c r="D513" s="614">
        <v>549414</v>
      </c>
      <c r="E513" s="64" t="s">
        <v>9542</v>
      </c>
      <c r="F513" s="64" t="s">
        <v>13388</v>
      </c>
      <c r="G513" s="614" t="s">
        <v>296</v>
      </c>
      <c r="H513" s="614" t="s">
        <v>682</v>
      </c>
      <c r="I513" s="614" t="s">
        <v>1153</v>
      </c>
      <c r="J513" s="64" t="s">
        <v>13389</v>
      </c>
      <c r="K513" s="1940" t="s">
        <v>13390</v>
      </c>
      <c r="L513" s="1940" t="s">
        <v>13391</v>
      </c>
      <c r="M513" t="s">
        <v>13392</v>
      </c>
      <c r="N513" t="s">
        <v>13393</v>
      </c>
      <c r="O513" t="s">
        <v>13388</v>
      </c>
      <c r="P513" s="614">
        <f>COUNTIF(EducPlans_кодНАЦИД_Спец[аФакСец],EducPlans_кодНАЦИД_Спец[[#This Row],[аФакСец]])</f>
        <v>1</v>
      </c>
    </row>
    <row r="514" spans="3:16" x14ac:dyDescent="0.25">
      <c r="C514" s="614">
        <v>508</v>
      </c>
      <c r="D514" s="614">
        <v>12908</v>
      </c>
      <c r="E514" s="64" t="s">
        <v>1800</v>
      </c>
      <c r="F514" s="64" t="s">
        <v>5421</v>
      </c>
      <c r="G514" s="614" t="s">
        <v>42</v>
      </c>
      <c r="H514" s="614" t="s">
        <v>681</v>
      </c>
      <c r="I514" s="614" t="s">
        <v>1153</v>
      </c>
      <c r="J514" s="64" t="s">
        <v>3470</v>
      </c>
      <c r="K514" s="1940" t="s">
        <v>5422</v>
      </c>
      <c r="L514" s="1940" t="s">
        <v>8272</v>
      </c>
      <c r="M514" t="s">
        <v>11665</v>
      </c>
      <c r="N514" t="s">
        <v>9987</v>
      </c>
      <c r="O514" t="s">
        <v>5421</v>
      </c>
      <c r="P514" s="614">
        <f>COUNTIF(EducPlans_кодНАЦИД_Спец[аФакСец],EducPlans_кодНАЦИД_Спец[[#This Row],[аФакСец]])</f>
        <v>1</v>
      </c>
    </row>
    <row r="515" spans="3:16" x14ac:dyDescent="0.25">
      <c r="C515" s="614">
        <v>509</v>
      </c>
      <c r="D515" s="614">
        <v>12909</v>
      </c>
      <c r="E515" s="64" t="s">
        <v>1800</v>
      </c>
      <c r="F515" s="64" t="s">
        <v>5423</v>
      </c>
      <c r="G515" s="614" t="s">
        <v>42</v>
      </c>
      <c r="H515" s="614" t="s">
        <v>681</v>
      </c>
      <c r="I515" s="614" t="s">
        <v>1149</v>
      </c>
      <c r="J515" s="64" t="s">
        <v>3469</v>
      </c>
      <c r="K515" s="1940" t="s">
        <v>5424</v>
      </c>
      <c r="L515" s="1940" t="s">
        <v>8273</v>
      </c>
      <c r="M515" t="s">
        <v>11666</v>
      </c>
      <c r="N515" t="s">
        <v>9988</v>
      </c>
      <c r="O515" t="s">
        <v>5423</v>
      </c>
      <c r="P515" s="614">
        <f>COUNTIF(EducPlans_кодНАЦИД_Спец[аФакСец],EducPlans_кодНАЦИД_Спец[[#This Row],[аФакСец]])</f>
        <v>1</v>
      </c>
    </row>
    <row r="516" spans="3:16" x14ac:dyDescent="0.25">
      <c r="C516" s="614">
        <v>510</v>
      </c>
      <c r="D516" s="614">
        <v>587634</v>
      </c>
      <c r="E516" s="64" t="s">
        <v>1800</v>
      </c>
      <c r="F516" s="64" t="s">
        <v>5425</v>
      </c>
      <c r="G516" s="614" t="s">
        <v>42</v>
      </c>
      <c r="H516" s="614" t="s">
        <v>682</v>
      </c>
      <c r="I516" s="614" t="s">
        <v>1153</v>
      </c>
      <c r="J516" s="64" t="s">
        <v>5426</v>
      </c>
      <c r="K516" s="1940" t="s">
        <v>5427</v>
      </c>
      <c r="L516" s="1940" t="s">
        <v>8274</v>
      </c>
      <c r="M516" t="s">
        <v>11667</v>
      </c>
      <c r="N516" t="s">
        <v>9989</v>
      </c>
      <c r="O516" t="s">
        <v>5425</v>
      </c>
      <c r="P516" s="614">
        <f>COUNTIF(EducPlans_кодНАЦИД_Спец[аФакСец],EducPlans_кодНАЦИД_Спец[[#This Row],[аФакСец]])</f>
        <v>1</v>
      </c>
    </row>
    <row r="517" spans="3:16" x14ac:dyDescent="0.25">
      <c r="C517" s="614">
        <v>511</v>
      </c>
      <c r="D517" s="614">
        <v>587397</v>
      </c>
      <c r="E517" s="64" t="s">
        <v>1800</v>
      </c>
      <c r="F517" s="64" t="s">
        <v>5428</v>
      </c>
      <c r="G517" s="614" t="s">
        <v>42</v>
      </c>
      <c r="H517" s="614" t="s">
        <v>682</v>
      </c>
      <c r="I517" s="614" t="s">
        <v>1149</v>
      </c>
      <c r="J517" s="64" t="s">
        <v>5429</v>
      </c>
      <c r="K517" s="1940" t="s">
        <v>5430</v>
      </c>
      <c r="L517" s="1940" t="s">
        <v>8275</v>
      </c>
      <c r="M517" t="s">
        <v>11668</v>
      </c>
      <c r="N517" t="s">
        <v>9990</v>
      </c>
      <c r="O517" t="s">
        <v>5428</v>
      </c>
      <c r="P517" s="614">
        <f>COUNTIF(EducPlans_кодНАЦИД_Спец[аФакСец],EducPlans_кодНАЦИД_Спец[[#This Row],[аФакСец]])</f>
        <v>1</v>
      </c>
    </row>
    <row r="518" spans="3:16" x14ac:dyDescent="0.25">
      <c r="C518" s="614">
        <v>512</v>
      </c>
      <c r="D518" s="614">
        <v>587635</v>
      </c>
      <c r="E518" s="64" t="s">
        <v>1800</v>
      </c>
      <c r="F518" s="64" t="s">
        <v>5431</v>
      </c>
      <c r="G518" s="614" t="s">
        <v>42</v>
      </c>
      <c r="H518" s="614" t="s">
        <v>682</v>
      </c>
      <c r="I518" s="614" t="s">
        <v>1149</v>
      </c>
      <c r="J518" s="64" t="s">
        <v>5432</v>
      </c>
      <c r="K518" s="1940" t="s">
        <v>5433</v>
      </c>
      <c r="L518" s="1940" t="s">
        <v>8276</v>
      </c>
      <c r="M518" t="s">
        <v>11669</v>
      </c>
      <c r="N518" t="s">
        <v>9991</v>
      </c>
      <c r="O518" t="s">
        <v>5431</v>
      </c>
      <c r="P518" s="614">
        <f>COUNTIF(EducPlans_кодНАЦИД_Спец[аФакСец],EducPlans_кодНАЦИД_Спец[[#This Row],[аФакСец]])</f>
        <v>1</v>
      </c>
    </row>
    <row r="519" spans="3:16" x14ac:dyDescent="0.25">
      <c r="C519" s="614">
        <v>513</v>
      </c>
      <c r="D519" s="614">
        <v>12936</v>
      </c>
      <c r="E519" s="64" t="s">
        <v>1803</v>
      </c>
      <c r="F519" s="64" t="s">
        <v>5434</v>
      </c>
      <c r="G519" s="614" t="s">
        <v>42</v>
      </c>
      <c r="H519" s="614" t="s">
        <v>682</v>
      </c>
      <c r="I519" s="614" t="s">
        <v>1149</v>
      </c>
      <c r="J519" s="64" t="s">
        <v>3471</v>
      </c>
      <c r="K519" s="1940" t="s">
        <v>5435</v>
      </c>
      <c r="L519" s="1940" t="s">
        <v>8277</v>
      </c>
      <c r="M519" t="s">
        <v>11670</v>
      </c>
      <c r="N519" t="s">
        <v>9992</v>
      </c>
      <c r="O519" t="s">
        <v>5434</v>
      </c>
      <c r="P519" s="614">
        <f>COUNTIF(EducPlans_кодНАЦИД_Спец[аФакСец],EducPlans_кодНАЦИД_Спец[[#This Row],[аФакСец]])</f>
        <v>1</v>
      </c>
    </row>
    <row r="520" spans="3:16" x14ac:dyDescent="0.25">
      <c r="C520" s="614">
        <v>514</v>
      </c>
      <c r="D520" s="614">
        <v>12936</v>
      </c>
      <c r="E520" s="64" t="s">
        <v>1803</v>
      </c>
      <c r="F520" s="64" t="s">
        <v>5436</v>
      </c>
      <c r="G520" s="614" t="s">
        <v>42</v>
      </c>
      <c r="H520" s="614" t="s">
        <v>682</v>
      </c>
      <c r="I520" s="614" t="s">
        <v>1149</v>
      </c>
      <c r="J520" s="64" t="s">
        <v>3472</v>
      </c>
      <c r="K520" s="1940" t="s">
        <v>5435</v>
      </c>
      <c r="L520" s="1940" t="s">
        <v>8278</v>
      </c>
      <c r="M520" t="s">
        <v>11671</v>
      </c>
      <c r="N520" t="s">
        <v>9993</v>
      </c>
      <c r="O520" t="s">
        <v>5436</v>
      </c>
      <c r="P520" s="614">
        <f>COUNTIF(EducPlans_кодНАЦИД_Спец[аФакСец],EducPlans_кодНАЦИД_Спец[[#This Row],[аФакСец]])</f>
        <v>1</v>
      </c>
    </row>
    <row r="521" spans="3:16" x14ac:dyDescent="0.25">
      <c r="C521" s="614">
        <v>515</v>
      </c>
      <c r="D521" s="614">
        <v>956906</v>
      </c>
      <c r="E521" s="64" t="s">
        <v>13394</v>
      </c>
      <c r="F521" s="64" t="s">
        <v>13395</v>
      </c>
      <c r="G521" s="614" t="s">
        <v>626</v>
      </c>
      <c r="H521" s="614" t="s">
        <v>682</v>
      </c>
      <c r="I521" s="614" t="s">
        <v>1149</v>
      </c>
      <c r="J521" s="64" t="s">
        <v>13396</v>
      </c>
      <c r="K521" s="1940" t="s">
        <v>13397</v>
      </c>
      <c r="L521" s="1940" t="s">
        <v>13398</v>
      </c>
      <c r="M521" t="s">
        <v>13399</v>
      </c>
      <c r="N521" t="s">
        <v>13400</v>
      </c>
      <c r="O521" t="s">
        <v>13395</v>
      </c>
      <c r="P521" s="614">
        <f>COUNTIF(EducPlans_кодНАЦИД_Спец[аФакСец],EducPlans_кодНАЦИД_Спец[[#This Row],[аФакСец]])</f>
        <v>1</v>
      </c>
    </row>
    <row r="522" spans="3:16" x14ac:dyDescent="0.25">
      <c r="C522" s="614">
        <v>516</v>
      </c>
      <c r="D522" s="614">
        <v>956906</v>
      </c>
      <c r="E522" s="64" t="s">
        <v>13394</v>
      </c>
      <c r="F522" s="64" t="s">
        <v>13401</v>
      </c>
      <c r="G522" s="614" t="s">
        <v>626</v>
      </c>
      <c r="H522" s="614" t="s">
        <v>682</v>
      </c>
      <c r="I522" s="614" t="s">
        <v>1149</v>
      </c>
      <c r="J522" s="64" t="s">
        <v>13402</v>
      </c>
      <c r="K522" s="1940" t="s">
        <v>13397</v>
      </c>
      <c r="L522" s="1940" t="s">
        <v>13403</v>
      </c>
      <c r="M522" t="s">
        <v>13404</v>
      </c>
      <c r="N522" t="s">
        <v>13405</v>
      </c>
      <c r="O522" t="s">
        <v>13401</v>
      </c>
      <c r="P522" s="614">
        <f>COUNTIF(EducPlans_кодНАЦИД_Спец[аФакСец],EducPlans_кодНАЦИД_Спец[[#This Row],[аФакСец]])</f>
        <v>1</v>
      </c>
    </row>
    <row r="523" spans="3:16" x14ac:dyDescent="0.25">
      <c r="C523" s="614">
        <v>517</v>
      </c>
      <c r="D523" s="614">
        <v>11185</v>
      </c>
      <c r="E523" s="64" t="s">
        <v>1553</v>
      </c>
      <c r="F523" s="64" t="s">
        <v>5437</v>
      </c>
      <c r="G523" s="614" t="s">
        <v>48</v>
      </c>
      <c r="H523" s="614" t="s">
        <v>682</v>
      </c>
      <c r="I523" s="614" t="s">
        <v>1153</v>
      </c>
      <c r="J523" s="64" t="s">
        <v>3134</v>
      </c>
      <c r="K523" s="1940" t="s">
        <v>5438</v>
      </c>
      <c r="L523" s="1940" t="s">
        <v>8279</v>
      </c>
      <c r="M523" t="s">
        <v>11672</v>
      </c>
      <c r="N523" t="s">
        <v>9994</v>
      </c>
      <c r="O523" t="s">
        <v>5437</v>
      </c>
      <c r="P523" s="614">
        <f>COUNTIF(EducPlans_кодНАЦИД_Спец[аФакСец],EducPlans_кодНАЦИД_Спец[[#This Row],[аФакСец]])</f>
        <v>1</v>
      </c>
    </row>
    <row r="524" spans="3:16" x14ac:dyDescent="0.25">
      <c r="C524" s="614">
        <v>518</v>
      </c>
      <c r="D524" s="614">
        <v>11185</v>
      </c>
      <c r="E524" s="64" t="s">
        <v>1553</v>
      </c>
      <c r="F524" s="64" t="s">
        <v>5439</v>
      </c>
      <c r="G524" s="614" t="s">
        <v>48</v>
      </c>
      <c r="H524" s="614" t="s">
        <v>682</v>
      </c>
      <c r="I524" s="614" t="s">
        <v>1153</v>
      </c>
      <c r="J524" s="64" t="s">
        <v>3133</v>
      </c>
      <c r="K524" s="1940" t="s">
        <v>5438</v>
      </c>
      <c r="L524" s="1940" t="s">
        <v>8280</v>
      </c>
      <c r="M524" t="s">
        <v>11673</v>
      </c>
      <c r="N524" t="s">
        <v>9995</v>
      </c>
      <c r="O524" t="s">
        <v>5439</v>
      </c>
      <c r="P524" s="614">
        <f>COUNTIF(EducPlans_кодНАЦИД_Спец[аФакСец],EducPlans_кодНАЦИД_Спец[[#This Row],[аФакСец]])</f>
        <v>1</v>
      </c>
    </row>
    <row r="525" spans="3:16" x14ac:dyDescent="0.25">
      <c r="C525" s="614">
        <v>519</v>
      </c>
      <c r="D525" s="614">
        <v>11186</v>
      </c>
      <c r="E525" s="64" t="s">
        <v>1553</v>
      </c>
      <c r="F525" s="64" t="s">
        <v>5440</v>
      </c>
      <c r="G525" s="614" t="s">
        <v>48</v>
      </c>
      <c r="H525" s="614" t="s">
        <v>682</v>
      </c>
      <c r="I525" s="614" t="s">
        <v>1149</v>
      </c>
      <c r="J525" s="64" t="s">
        <v>3131</v>
      </c>
      <c r="K525" s="1940" t="s">
        <v>5441</v>
      </c>
      <c r="L525" s="1940" t="s">
        <v>8281</v>
      </c>
      <c r="M525" t="s">
        <v>11674</v>
      </c>
      <c r="N525" t="s">
        <v>9996</v>
      </c>
      <c r="O525" t="s">
        <v>5440</v>
      </c>
      <c r="P525" s="614">
        <f>COUNTIF(EducPlans_кодНАЦИД_Спец[аФакСец],EducPlans_кодНАЦИД_Спец[[#This Row],[аФакСец]])</f>
        <v>1</v>
      </c>
    </row>
    <row r="526" spans="3:16" x14ac:dyDescent="0.25">
      <c r="C526" s="614">
        <v>520</v>
      </c>
      <c r="D526" s="614">
        <v>11186</v>
      </c>
      <c r="E526" s="64" t="s">
        <v>1553</v>
      </c>
      <c r="F526" s="64" t="s">
        <v>5442</v>
      </c>
      <c r="G526" s="614" t="s">
        <v>48</v>
      </c>
      <c r="H526" s="614" t="s">
        <v>682</v>
      </c>
      <c r="I526" s="614" t="s">
        <v>1149</v>
      </c>
      <c r="J526" s="64" t="s">
        <v>3132</v>
      </c>
      <c r="K526" s="1940" t="s">
        <v>5441</v>
      </c>
      <c r="L526" s="1940" t="s">
        <v>8282</v>
      </c>
      <c r="M526" t="s">
        <v>11675</v>
      </c>
      <c r="N526" t="s">
        <v>9997</v>
      </c>
      <c r="O526" t="s">
        <v>5442</v>
      </c>
      <c r="P526" s="614">
        <f>COUNTIF(EducPlans_кодНАЦИД_Спец[аФакСец],EducPlans_кодНАЦИД_Спец[[#This Row],[аФакСец]])</f>
        <v>1</v>
      </c>
    </row>
    <row r="527" spans="3:16" x14ac:dyDescent="0.25">
      <c r="C527" s="614">
        <v>521</v>
      </c>
      <c r="D527" s="614">
        <v>11189</v>
      </c>
      <c r="E527" s="64" t="s">
        <v>1554</v>
      </c>
      <c r="F527" s="64" t="s">
        <v>5443</v>
      </c>
      <c r="G527" s="614" t="s">
        <v>48</v>
      </c>
      <c r="H527" s="614" t="s">
        <v>682</v>
      </c>
      <c r="I527" s="614" t="s">
        <v>1153</v>
      </c>
      <c r="J527" s="64" t="s">
        <v>5444</v>
      </c>
      <c r="K527" s="1940" t="s">
        <v>5445</v>
      </c>
      <c r="L527" s="1940" t="s">
        <v>8283</v>
      </c>
      <c r="M527" t="s">
        <v>11676</v>
      </c>
      <c r="N527" t="s">
        <v>9998</v>
      </c>
      <c r="O527" t="s">
        <v>5443</v>
      </c>
      <c r="P527" s="614">
        <f>COUNTIF(EducPlans_кодНАЦИД_Спец[аФакСец],EducPlans_кодНАЦИД_Спец[[#This Row],[аФакСец]])</f>
        <v>1</v>
      </c>
    </row>
    <row r="528" spans="3:16" x14ac:dyDescent="0.25">
      <c r="C528" s="614">
        <v>522</v>
      </c>
      <c r="D528" s="614">
        <v>11190</v>
      </c>
      <c r="E528" s="64" t="s">
        <v>1554</v>
      </c>
      <c r="F528" s="64" t="s">
        <v>5446</v>
      </c>
      <c r="G528" s="614" t="s">
        <v>48</v>
      </c>
      <c r="H528" s="614" t="s">
        <v>682</v>
      </c>
      <c r="I528" s="614" t="s">
        <v>1149</v>
      </c>
      <c r="J528" s="64" t="s">
        <v>5447</v>
      </c>
      <c r="K528" s="1940" t="s">
        <v>5448</v>
      </c>
      <c r="L528" s="1940" t="s">
        <v>8284</v>
      </c>
      <c r="M528" t="s">
        <v>11677</v>
      </c>
      <c r="N528" t="s">
        <v>9999</v>
      </c>
      <c r="O528" t="s">
        <v>5446</v>
      </c>
      <c r="P528" s="614">
        <f>COUNTIF(EducPlans_кодНАЦИД_Спец[аФакСец],EducPlans_кодНАЦИД_Спец[[#This Row],[аФакСец]])</f>
        <v>1</v>
      </c>
    </row>
    <row r="529" spans="3:16" x14ac:dyDescent="0.25">
      <c r="C529" s="614">
        <v>523</v>
      </c>
      <c r="D529" s="614">
        <v>11190</v>
      </c>
      <c r="E529" s="64" t="s">
        <v>1554</v>
      </c>
      <c r="F529" s="64" t="s">
        <v>5449</v>
      </c>
      <c r="G529" s="614" t="s">
        <v>48</v>
      </c>
      <c r="H529" s="614" t="s">
        <v>682</v>
      </c>
      <c r="I529" s="614" t="s">
        <v>1149</v>
      </c>
      <c r="J529" s="64" t="s">
        <v>5450</v>
      </c>
      <c r="K529" s="1940" t="s">
        <v>5448</v>
      </c>
      <c r="L529" s="1940" t="s">
        <v>8285</v>
      </c>
      <c r="M529" t="s">
        <v>11678</v>
      </c>
      <c r="N529" t="s">
        <v>10000</v>
      </c>
      <c r="O529" t="s">
        <v>5449</v>
      </c>
      <c r="P529" s="614">
        <f>COUNTIF(EducPlans_кодНАЦИД_Спец[аФакСец],EducPlans_кодНАЦИД_Спец[[#This Row],[аФакСец]])</f>
        <v>1</v>
      </c>
    </row>
    <row r="530" spans="3:16" x14ac:dyDescent="0.25">
      <c r="C530" s="614">
        <v>524</v>
      </c>
      <c r="D530" s="614">
        <v>11191</v>
      </c>
      <c r="E530" s="64" t="s">
        <v>1555</v>
      </c>
      <c r="F530" s="64" t="s">
        <v>5451</v>
      </c>
      <c r="G530" s="614" t="s">
        <v>48</v>
      </c>
      <c r="H530" s="614" t="s">
        <v>682</v>
      </c>
      <c r="I530" s="614" t="s">
        <v>1153</v>
      </c>
      <c r="J530" s="64" t="s">
        <v>3135</v>
      </c>
      <c r="K530" s="1940" t="s">
        <v>5452</v>
      </c>
      <c r="L530" s="1940" t="s">
        <v>8286</v>
      </c>
      <c r="M530" t="s">
        <v>11679</v>
      </c>
      <c r="N530" t="s">
        <v>10001</v>
      </c>
      <c r="O530" t="s">
        <v>5451</v>
      </c>
      <c r="P530" s="614">
        <f>COUNTIF(EducPlans_кодНАЦИД_Спец[аФакСец],EducPlans_кодНАЦИД_Спец[[#This Row],[аФакСец]])</f>
        <v>1</v>
      </c>
    </row>
    <row r="531" spans="3:16" x14ac:dyDescent="0.25">
      <c r="C531" s="614">
        <v>525</v>
      </c>
      <c r="D531" s="614">
        <v>11830</v>
      </c>
      <c r="E531" s="64" t="s">
        <v>2323</v>
      </c>
      <c r="F531" s="64" t="s">
        <v>5453</v>
      </c>
      <c r="G531" s="614" t="s">
        <v>26</v>
      </c>
      <c r="H531" s="614" t="s">
        <v>682</v>
      </c>
      <c r="I531" s="614" t="s">
        <v>1153</v>
      </c>
      <c r="J531" s="64" t="s">
        <v>3680</v>
      </c>
      <c r="K531" s="1940" t="s">
        <v>5454</v>
      </c>
      <c r="L531" s="1940" t="s">
        <v>8287</v>
      </c>
      <c r="M531" t="s">
        <v>11680</v>
      </c>
      <c r="N531" t="s">
        <v>10002</v>
      </c>
      <c r="O531" t="s">
        <v>5453</v>
      </c>
      <c r="P531" s="614">
        <f>COUNTIF(EducPlans_кодНАЦИД_Спец[аФакСец],EducPlans_кодНАЦИД_Спец[[#This Row],[аФакСец]])</f>
        <v>1</v>
      </c>
    </row>
    <row r="532" spans="3:16" x14ac:dyDescent="0.25">
      <c r="C532" s="614">
        <v>526</v>
      </c>
      <c r="D532" s="614">
        <v>11830</v>
      </c>
      <c r="E532" s="64" t="s">
        <v>2323</v>
      </c>
      <c r="F532" s="64" t="s">
        <v>5455</v>
      </c>
      <c r="G532" s="614" t="s">
        <v>26</v>
      </c>
      <c r="H532" s="614" t="s">
        <v>682</v>
      </c>
      <c r="I532" s="614" t="s">
        <v>1153</v>
      </c>
      <c r="J532" s="64" t="s">
        <v>3683</v>
      </c>
      <c r="K532" s="1940" t="s">
        <v>5454</v>
      </c>
      <c r="L532" s="1940" t="s">
        <v>8288</v>
      </c>
      <c r="M532" t="s">
        <v>11681</v>
      </c>
      <c r="N532" t="s">
        <v>10003</v>
      </c>
      <c r="O532" t="s">
        <v>5455</v>
      </c>
      <c r="P532" s="614">
        <f>COUNTIF(EducPlans_кодНАЦИД_Спец[аФакСец],EducPlans_кодНАЦИД_Спец[[#This Row],[аФакСец]])</f>
        <v>1</v>
      </c>
    </row>
    <row r="533" spans="3:16" x14ac:dyDescent="0.25">
      <c r="C533" s="614">
        <v>527</v>
      </c>
      <c r="D533" s="614">
        <v>11830</v>
      </c>
      <c r="E533" s="64" t="s">
        <v>2323</v>
      </c>
      <c r="F533" s="64" t="s">
        <v>5456</v>
      </c>
      <c r="G533" s="614" t="s">
        <v>26</v>
      </c>
      <c r="H533" s="614" t="s">
        <v>682</v>
      </c>
      <c r="I533" s="614" t="s">
        <v>1153</v>
      </c>
      <c r="J533" s="64" t="s">
        <v>3681</v>
      </c>
      <c r="K533" s="1940" t="s">
        <v>5454</v>
      </c>
      <c r="L533" s="1940" t="s">
        <v>8289</v>
      </c>
      <c r="M533" t="s">
        <v>11682</v>
      </c>
      <c r="N533" t="s">
        <v>10004</v>
      </c>
      <c r="O533" t="s">
        <v>5456</v>
      </c>
      <c r="P533" s="614">
        <f>COUNTIF(EducPlans_кодНАЦИД_Спец[аФакСец],EducPlans_кодНАЦИД_Спец[[#This Row],[аФакСец]])</f>
        <v>1</v>
      </c>
    </row>
    <row r="534" spans="3:16" x14ac:dyDescent="0.25">
      <c r="C534" s="614">
        <v>528</v>
      </c>
      <c r="D534" s="614">
        <v>11830</v>
      </c>
      <c r="E534" s="64" t="s">
        <v>2323</v>
      </c>
      <c r="F534" s="64" t="s">
        <v>5457</v>
      </c>
      <c r="G534" s="614" t="s">
        <v>26</v>
      </c>
      <c r="H534" s="614" t="s">
        <v>682</v>
      </c>
      <c r="I534" s="614" t="s">
        <v>1153</v>
      </c>
      <c r="J534" s="64" t="s">
        <v>3682</v>
      </c>
      <c r="K534" s="1940" t="s">
        <v>5454</v>
      </c>
      <c r="L534" s="1940" t="s">
        <v>8290</v>
      </c>
      <c r="M534" t="s">
        <v>11683</v>
      </c>
      <c r="N534" t="s">
        <v>10005</v>
      </c>
      <c r="O534" t="s">
        <v>5457</v>
      </c>
      <c r="P534" s="614">
        <f>COUNTIF(EducPlans_кодНАЦИД_Спец[аФакСец],EducPlans_кодНАЦИД_Спец[[#This Row],[аФакСец]])</f>
        <v>1</v>
      </c>
    </row>
    <row r="535" spans="3:16" x14ac:dyDescent="0.25">
      <c r="C535" s="614">
        <v>529</v>
      </c>
      <c r="D535" s="614">
        <v>833546</v>
      </c>
      <c r="E535" s="64" t="s">
        <v>2323</v>
      </c>
      <c r="F535" s="64" t="s">
        <v>13406</v>
      </c>
      <c r="G535" s="614" t="s">
        <v>26</v>
      </c>
      <c r="H535" s="614" t="s">
        <v>682</v>
      </c>
      <c r="I535" s="614" t="s">
        <v>1153</v>
      </c>
      <c r="J535" s="64" t="s">
        <v>13407</v>
      </c>
      <c r="K535" s="1940" t="s">
        <v>5454</v>
      </c>
      <c r="L535" s="1940" t="s">
        <v>13408</v>
      </c>
      <c r="M535" t="s">
        <v>13409</v>
      </c>
      <c r="N535" t="s">
        <v>13410</v>
      </c>
      <c r="O535" t="s">
        <v>13406</v>
      </c>
      <c r="P535" s="614">
        <f>COUNTIF(EducPlans_кодНАЦИД_Спец[аФакСец],EducPlans_кодНАЦИД_Спец[[#This Row],[аФакСец]])</f>
        <v>1</v>
      </c>
    </row>
    <row r="536" spans="3:16" x14ac:dyDescent="0.25">
      <c r="C536" s="614">
        <v>530</v>
      </c>
      <c r="D536" s="614">
        <v>143521</v>
      </c>
      <c r="E536" s="64" t="s">
        <v>1732</v>
      </c>
      <c r="F536" s="64" t="s">
        <v>5458</v>
      </c>
      <c r="G536" s="614" t="s">
        <v>44</v>
      </c>
      <c r="H536" s="614" t="s">
        <v>682</v>
      </c>
      <c r="I536" s="614" t="s">
        <v>1153</v>
      </c>
      <c r="J536" s="64" t="s">
        <v>4286</v>
      </c>
      <c r="K536" s="1940" t="s">
        <v>5459</v>
      </c>
      <c r="L536" s="1940" t="s">
        <v>8291</v>
      </c>
      <c r="M536" t="s">
        <v>11684</v>
      </c>
      <c r="N536" t="s">
        <v>10006</v>
      </c>
      <c r="O536" t="s">
        <v>5458</v>
      </c>
      <c r="P536" s="614">
        <f>COUNTIF(EducPlans_кодНАЦИД_Спец[аФакСец],EducPlans_кодНАЦИД_Спец[[#This Row],[аФакСец]])</f>
        <v>1</v>
      </c>
    </row>
    <row r="537" spans="3:16" x14ac:dyDescent="0.25">
      <c r="C537" s="614">
        <v>531</v>
      </c>
      <c r="D537" s="614">
        <v>12239</v>
      </c>
      <c r="E537" s="64" t="s">
        <v>2223</v>
      </c>
      <c r="F537" s="64" t="s">
        <v>5460</v>
      </c>
      <c r="G537" s="614" t="s">
        <v>31</v>
      </c>
      <c r="H537" s="614" t="s">
        <v>682</v>
      </c>
      <c r="I537" s="614" t="s">
        <v>1153</v>
      </c>
      <c r="J537" s="64" t="s">
        <v>2951</v>
      </c>
      <c r="K537" s="1940" t="s">
        <v>5461</v>
      </c>
      <c r="L537" s="1940" t="s">
        <v>8292</v>
      </c>
      <c r="M537" t="s">
        <v>11685</v>
      </c>
      <c r="N537" t="s">
        <v>10007</v>
      </c>
      <c r="O537" t="s">
        <v>5460</v>
      </c>
      <c r="P537" s="614">
        <f>COUNTIF(EducPlans_кодНАЦИД_Спец[аФакСец],EducPlans_кодНАЦИД_Спец[[#This Row],[аФакСец]])</f>
        <v>1</v>
      </c>
    </row>
    <row r="538" spans="3:16" x14ac:dyDescent="0.25">
      <c r="C538" s="614">
        <v>532</v>
      </c>
      <c r="D538" s="614">
        <v>11272</v>
      </c>
      <c r="E538" s="64" t="s">
        <v>1166</v>
      </c>
      <c r="F538" s="64" t="s">
        <v>5462</v>
      </c>
      <c r="G538" s="614" t="s">
        <v>39</v>
      </c>
      <c r="H538" s="614" t="s">
        <v>682</v>
      </c>
      <c r="I538" s="614" t="s">
        <v>1167</v>
      </c>
      <c r="J538" s="64" t="s">
        <v>3867</v>
      </c>
      <c r="K538" s="1940" t="s">
        <v>5463</v>
      </c>
      <c r="L538" s="1940" t="s">
        <v>8293</v>
      </c>
      <c r="M538" t="s">
        <v>11686</v>
      </c>
      <c r="N538" t="s">
        <v>10008</v>
      </c>
      <c r="O538" t="s">
        <v>5462</v>
      </c>
      <c r="P538" s="614">
        <f>COUNTIF(EducPlans_кодНАЦИД_Спец[аФакСец],EducPlans_кодНАЦИД_Спец[[#This Row],[аФакСец]])</f>
        <v>1</v>
      </c>
    </row>
    <row r="539" spans="3:16" x14ac:dyDescent="0.25">
      <c r="C539" s="614">
        <v>533</v>
      </c>
      <c r="D539" s="614">
        <v>11571</v>
      </c>
      <c r="E539" s="64" t="s">
        <v>1386</v>
      </c>
      <c r="F539" s="64" t="s">
        <v>5464</v>
      </c>
      <c r="G539" s="614" t="s">
        <v>33</v>
      </c>
      <c r="H539" s="614" t="s">
        <v>682</v>
      </c>
      <c r="I539" s="614" t="s">
        <v>1153</v>
      </c>
      <c r="J539" s="64" t="s">
        <v>3533</v>
      </c>
      <c r="K539" s="1940" t="s">
        <v>5465</v>
      </c>
      <c r="L539" s="1940" t="s">
        <v>8294</v>
      </c>
      <c r="M539" t="s">
        <v>11687</v>
      </c>
      <c r="N539" t="s">
        <v>10009</v>
      </c>
      <c r="O539" t="s">
        <v>5464</v>
      </c>
      <c r="P539" s="614">
        <f>COUNTIF(EducPlans_кодНАЦИД_Спец[аФакСец],EducPlans_кодНАЦИД_Спец[[#This Row],[аФакСец]])</f>
        <v>1</v>
      </c>
    </row>
    <row r="540" spans="3:16" x14ac:dyDescent="0.25">
      <c r="C540" s="614">
        <v>534</v>
      </c>
      <c r="D540" s="614">
        <v>11571</v>
      </c>
      <c r="E540" s="64" t="s">
        <v>1386</v>
      </c>
      <c r="F540" s="64" t="s">
        <v>5466</v>
      </c>
      <c r="G540" s="614" t="s">
        <v>33</v>
      </c>
      <c r="H540" s="614" t="s">
        <v>682</v>
      </c>
      <c r="I540" s="614" t="s">
        <v>1153</v>
      </c>
      <c r="J540" s="64" t="s">
        <v>3531</v>
      </c>
      <c r="K540" s="1940" t="s">
        <v>5465</v>
      </c>
      <c r="L540" s="1940" t="s">
        <v>8295</v>
      </c>
      <c r="M540" t="s">
        <v>11688</v>
      </c>
      <c r="N540" t="s">
        <v>10010</v>
      </c>
      <c r="O540" t="s">
        <v>5466</v>
      </c>
      <c r="P540" s="614">
        <f>COUNTIF(EducPlans_кодНАЦИД_Спец[аФакСец],EducPlans_кодНАЦИД_Спец[[#This Row],[аФакСец]])</f>
        <v>1</v>
      </c>
    </row>
    <row r="541" spans="3:16" x14ac:dyDescent="0.25">
      <c r="C541" s="614">
        <v>535</v>
      </c>
      <c r="D541" s="614">
        <v>11571</v>
      </c>
      <c r="E541" s="64" t="s">
        <v>1386</v>
      </c>
      <c r="F541" s="64" t="s">
        <v>5467</v>
      </c>
      <c r="G541" s="614" t="s">
        <v>33</v>
      </c>
      <c r="H541" s="614" t="s">
        <v>682</v>
      </c>
      <c r="I541" s="614" t="s">
        <v>1153</v>
      </c>
      <c r="J541" s="64" t="s">
        <v>3532</v>
      </c>
      <c r="K541" s="1940" t="s">
        <v>5465</v>
      </c>
      <c r="L541" s="1940" t="s">
        <v>8296</v>
      </c>
      <c r="M541" t="s">
        <v>11689</v>
      </c>
      <c r="N541" t="s">
        <v>10011</v>
      </c>
      <c r="O541" t="s">
        <v>5467</v>
      </c>
      <c r="P541" s="614">
        <f>COUNTIF(EducPlans_кодНАЦИД_Спец[аФакСец],EducPlans_кодНАЦИД_Спец[[#This Row],[аФакСец]])</f>
        <v>1</v>
      </c>
    </row>
    <row r="542" spans="3:16" x14ac:dyDescent="0.25">
      <c r="C542" s="614">
        <v>536</v>
      </c>
      <c r="D542" s="614">
        <v>11646</v>
      </c>
      <c r="E542" s="64" t="s">
        <v>1388</v>
      </c>
      <c r="F542" s="64" t="s">
        <v>5468</v>
      </c>
      <c r="G542" s="614" t="s">
        <v>33</v>
      </c>
      <c r="H542" s="614" t="s">
        <v>682</v>
      </c>
      <c r="I542" s="614" t="s">
        <v>1153</v>
      </c>
      <c r="J542" s="64" t="s">
        <v>3534</v>
      </c>
      <c r="K542" s="1940" t="s">
        <v>5469</v>
      </c>
      <c r="L542" s="1940" t="s">
        <v>8297</v>
      </c>
      <c r="M542" t="s">
        <v>11690</v>
      </c>
      <c r="N542" t="s">
        <v>10012</v>
      </c>
      <c r="O542" t="s">
        <v>5468</v>
      </c>
      <c r="P542" s="614">
        <f>COUNTIF(EducPlans_кодНАЦИД_Спец[аФакСец],EducPlans_кодНАЦИД_Спец[[#This Row],[аФакСец]])</f>
        <v>1</v>
      </c>
    </row>
    <row r="543" spans="3:16" x14ac:dyDescent="0.25">
      <c r="C543" s="614">
        <v>537</v>
      </c>
      <c r="D543" s="614">
        <v>11849</v>
      </c>
      <c r="E543" s="64" t="s">
        <v>2324</v>
      </c>
      <c r="F543" s="64" t="s">
        <v>5470</v>
      </c>
      <c r="G543" s="614" t="s">
        <v>26</v>
      </c>
      <c r="H543" s="614" t="s">
        <v>682</v>
      </c>
      <c r="I543" s="614" t="s">
        <v>1153</v>
      </c>
      <c r="J543" s="64" t="s">
        <v>3684</v>
      </c>
      <c r="K543" s="1940" t="s">
        <v>5471</v>
      </c>
      <c r="L543" s="1940" t="s">
        <v>8298</v>
      </c>
      <c r="M543" t="s">
        <v>11691</v>
      </c>
      <c r="N543" t="s">
        <v>10013</v>
      </c>
      <c r="O543" t="s">
        <v>5470</v>
      </c>
      <c r="P543" s="614">
        <f>COUNTIF(EducPlans_кодНАЦИД_Спец[аФакСец],EducPlans_кодНАЦИД_Спец[[#This Row],[аФакСец]])</f>
        <v>1</v>
      </c>
    </row>
    <row r="544" spans="3:16" x14ac:dyDescent="0.25">
      <c r="C544" s="614">
        <v>538</v>
      </c>
      <c r="D544" s="614">
        <v>11481</v>
      </c>
      <c r="E544" s="64" t="s">
        <v>1630</v>
      </c>
      <c r="F544" s="64" t="s">
        <v>5472</v>
      </c>
      <c r="G544" s="614" t="s">
        <v>2788</v>
      </c>
      <c r="H544" s="614" t="s">
        <v>682</v>
      </c>
      <c r="I544" s="614" t="s">
        <v>1149</v>
      </c>
      <c r="J544" s="64" t="s">
        <v>4334</v>
      </c>
      <c r="K544" s="1940" t="s">
        <v>5473</v>
      </c>
      <c r="L544" s="1940" t="s">
        <v>8299</v>
      </c>
      <c r="M544" t="s">
        <v>11692</v>
      </c>
      <c r="N544" t="s">
        <v>10014</v>
      </c>
      <c r="O544" t="s">
        <v>5472</v>
      </c>
      <c r="P544" s="614">
        <f>COUNTIF(EducPlans_кодНАЦИД_Спец[аФакСец],EducPlans_кодНАЦИД_Спец[[#This Row],[аФакСец]])</f>
        <v>1</v>
      </c>
    </row>
    <row r="545" spans="3:16" x14ac:dyDescent="0.25">
      <c r="C545" s="614">
        <v>539</v>
      </c>
      <c r="D545" s="614">
        <v>11481</v>
      </c>
      <c r="E545" s="64" t="s">
        <v>1630</v>
      </c>
      <c r="F545" s="64" t="s">
        <v>5474</v>
      </c>
      <c r="G545" s="614" t="s">
        <v>2788</v>
      </c>
      <c r="H545" s="614" t="s">
        <v>682</v>
      </c>
      <c r="I545" s="614" t="s">
        <v>1149</v>
      </c>
      <c r="J545" s="64" t="s">
        <v>4335</v>
      </c>
      <c r="K545" s="1940" t="s">
        <v>5473</v>
      </c>
      <c r="L545" s="1940" t="s">
        <v>8300</v>
      </c>
      <c r="M545" t="s">
        <v>11693</v>
      </c>
      <c r="N545" t="s">
        <v>10015</v>
      </c>
      <c r="O545" t="s">
        <v>5474</v>
      </c>
      <c r="P545" s="614">
        <f>COUNTIF(EducPlans_кодНАЦИД_Спец[аФакСец],EducPlans_кодНАЦИД_Спец[[#This Row],[аФакСец]])</f>
        <v>1</v>
      </c>
    </row>
    <row r="546" spans="3:16" x14ac:dyDescent="0.25">
      <c r="C546" s="614">
        <v>540</v>
      </c>
      <c r="D546" s="614">
        <v>11486</v>
      </c>
      <c r="E546" s="64" t="s">
        <v>1631</v>
      </c>
      <c r="F546" s="64" t="s">
        <v>5475</v>
      </c>
      <c r="G546" s="614" t="s">
        <v>2788</v>
      </c>
      <c r="H546" s="614" t="s">
        <v>682</v>
      </c>
      <c r="I546" s="614" t="s">
        <v>1153</v>
      </c>
      <c r="J546" s="64" t="s">
        <v>4337</v>
      </c>
      <c r="K546" s="1940" t="s">
        <v>5476</v>
      </c>
      <c r="L546" s="1940" t="s">
        <v>8301</v>
      </c>
      <c r="M546" t="s">
        <v>11694</v>
      </c>
      <c r="N546" t="s">
        <v>10016</v>
      </c>
      <c r="O546" t="s">
        <v>5475</v>
      </c>
      <c r="P546" s="614">
        <f>COUNTIF(EducPlans_кодНАЦИД_Спец[аФакСец],EducPlans_кодНАЦИД_Спец[[#This Row],[аФакСец]])</f>
        <v>1</v>
      </c>
    </row>
    <row r="547" spans="3:16" x14ac:dyDescent="0.25">
      <c r="C547" s="614">
        <v>541</v>
      </c>
      <c r="D547" s="614">
        <v>11487</v>
      </c>
      <c r="E547" s="64" t="s">
        <v>1631</v>
      </c>
      <c r="F547" s="64" t="s">
        <v>5477</v>
      </c>
      <c r="G547" s="614" t="s">
        <v>2788</v>
      </c>
      <c r="H547" s="614" t="s">
        <v>682</v>
      </c>
      <c r="I547" s="614" t="s">
        <v>1149</v>
      </c>
      <c r="J547" s="64" t="s">
        <v>4336</v>
      </c>
      <c r="K547" s="1940" t="s">
        <v>5478</v>
      </c>
      <c r="L547" s="1940" t="s">
        <v>8302</v>
      </c>
      <c r="M547" t="s">
        <v>11695</v>
      </c>
      <c r="N547" t="s">
        <v>10017</v>
      </c>
      <c r="O547" t="s">
        <v>5477</v>
      </c>
      <c r="P547" s="614">
        <f>COUNTIF(EducPlans_кодНАЦИД_Спец[аФакСец],EducPlans_кодНАЦИД_Спец[[#This Row],[аФакСец]])</f>
        <v>1</v>
      </c>
    </row>
    <row r="548" spans="3:16" x14ac:dyDescent="0.25">
      <c r="C548" s="614">
        <v>542</v>
      </c>
      <c r="D548" s="614">
        <v>725801</v>
      </c>
      <c r="E548" s="64" t="s">
        <v>13411</v>
      </c>
      <c r="F548" s="64" t="s">
        <v>13412</v>
      </c>
      <c r="G548" s="614" t="s">
        <v>296</v>
      </c>
      <c r="H548" s="614" t="s">
        <v>682</v>
      </c>
      <c r="I548" s="614" t="s">
        <v>1153</v>
      </c>
      <c r="J548" s="64" t="s">
        <v>13413</v>
      </c>
      <c r="K548" s="1940" t="s">
        <v>13414</v>
      </c>
      <c r="L548" s="1940" t="s">
        <v>13415</v>
      </c>
      <c r="M548" t="s">
        <v>13416</v>
      </c>
      <c r="N548" t="s">
        <v>13417</v>
      </c>
      <c r="O548" t="s">
        <v>13412</v>
      </c>
      <c r="P548" s="614">
        <f>COUNTIF(EducPlans_кодНАЦИД_Спец[аФакСец],EducPlans_кодНАЦИД_Спец[[#This Row],[аФакСец]])</f>
        <v>1</v>
      </c>
    </row>
    <row r="549" spans="3:16" x14ac:dyDescent="0.25">
      <c r="C549" s="614">
        <v>543</v>
      </c>
      <c r="D549" s="614">
        <v>10914</v>
      </c>
      <c r="E549" s="64" t="s">
        <v>1665</v>
      </c>
      <c r="F549" s="64" t="s">
        <v>5479</v>
      </c>
      <c r="G549" s="614" t="s">
        <v>35</v>
      </c>
      <c r="H549" s="614" t="s">
        <v>682</v>
      </c>
      <c r="I549" s="614" t="s">
        <v>1153</v>
      </c>
      <c r="J549" s="64" t="s">
        <v>3702</v>
      </c>
      <c r="K549" s="1940" t="s">
        <v>5480</v>
      </c>
      <c r="L549" s="1940" t="s">
        <v>8303</v>
      </c>
      <c r="M549" t="s">
        <v>11696</v>
      </c>
      <c r="N549" t="s">
        <v>10018</v>
      </c>
      <c r="O549" t="s">
        <v>5479</v>
      </c>
      <c r="P549" s="614">
        <f>COUNTIF(EducPlans_кодНАЦИД_Спец[аФакСец],EducPlans_кодНАЦИД_Спец[[#This Row],[аФакСец]])</f>
        <v>1</v>
      </c>
    </row>
    <row r="550" spans="3:16" x14ac:dyDescent="0.25">
      <c r="C550" s="614">
        <v>544</v>
      </c>
      <c r="D550" s="614">
        <v>10914</v>
      </c>
      <c r="E550" s="64" t="s">
        <v>1665</v>
      </c>
      <c r="F550" s="64" t="s">
        <v>5481</v>
      </c>
      <c r="G550" s="614" t="s">
        <v>35</v>
      </c>
      <c r="H550" s="614" t="s">
        <v>682</v>
      </c>
      <c r="I550" s="614" t="s">
        <v>1153</v>
      </c>
      <c r="J550" s="64" t="s">
        <v>4005</v>
      </c>
      <c r="K550" s="1940" t="s">
        <v>5480</v>
      </c>
      <c r="L550" s="1940" t="s">
        <v>8304</v>
      </c>
      <c r="M550" t="s">
        <v>11697</v>
      </c>
      <c r="N550" t="s">
        <v>10019</v>
      </c>
      <c r="O550" t="s">
        <v>5481</v>
      </c>
      <c r="P550" s="614">
        <f>COUNTIF(EducPlans_кодНАЦИД_Спец[аФакСец],EducPlans_кодНАЦИД_Спец[[#This Row],[аФакСец]])</f>
        <v>1</v>
      </c>
    </row>
    <row r="551" spans="3:16" x14ac:dyDescent="0.25">
      <c r="C551" s="614">
        <v>545</v>
      </c>
      <c r="D551" s="614">
        <v>11816</v>
      </c>
      <c r="E551" s="64" t="s">
        <v>2325</v>
      </c>
      <c r="F551" s="64" t="s">
        <v>5482</v>
      </c>
      <c r="G551" s="614" t="s">
        <v>26</v>
      </c>
      <c r="H551" s="614" t="s">
        <v>682</v>
      </c>
      <c r="I551" s="614" t="s">
        <v>1153</v>
      </c>
      <c r="J551" s="64" t="s">
        <v>3690</v>
      </c>
      <c r="K551" s="1940" t="s">
        <v>5483</v>
      </c>
      <c r="L551" s="1940" t="s">
        <v>8305</v>
      </c>
      <c r="M551" t="s">
        <v>11698</v>
      </c>
      <c r="N551" t="s">
        <v>10020</v>
      </c>
      <c r="O551" t="s">
        <v>5482</v>
      </c>
      <c r="P551" s="614">
        <f>COUNTIF(EducPlans_кодНАЦИД_Спец[аФакСец],EducPlans_кодНАЦИД_Спец[[#This Row],[аФакСец]])</f>
        <v>1</v>
      </c>
    </row>
    <row r="552" spans="3:16" x14ac:dyDescent="0.25">
      <c r="C552" s="614">
        <v>546</v>
      </c>
      <c r="D552" s="614">
        <v>11816</v>
      </c>
      <c r="E552" s="64" t="s">
        <v>2325</v>
      </c>
      <c r="F552" s="64" t="s">
        <v>5484</v>
      </c>
      <c r="G552" s="614" t="s">
        <v>26</v>
      </c>
      <c r="H552" s="614" t="s">
        <v>682</v>
      </c>
      <c r="I552" s="614" t="s">
        <v>1153</v>
      </c>
      <c r="J552" s="64" t="s">
        <v>3685</v>
      </c>
      <c r="K552" s="1940" t="s">
        <v>5483</v>
      </c>
      <c r="L552" s="1940" t="s">
        <v>8306</v>
      </c>
      <c r="M552" t="s">
        <v>11699</v>
      </c>
      <c r="N552" t="s">
        <v>10021</v>
      </c>
      <c r="O552" t="s">
        <v>5484</v>
      </c>
      <c r="P552" s="614">
        <f>COUNTIF(EducPlans_кодНАЦИД_Спец[аФакСец],EducPlans_кодНАЦИД_Спец[[#This Row],[аФакСец]])</f>
        <v>1</v>
      </c>
    </row>
    <row r="553" spans="3:16" x14ac:dyDescent="0.25">
      <c r="C553" s="614">
        <v>547</v>
      </c>
      <c r="D553" s="614">
        <v>11816</v>
      </c>
      <c r="E553" s="64" t="s">
        <v>2325</v>
      </c>
      <c r="F553" s="64" t="s">
        <v>5485</v>
      </c>
      <c r="G553" s="614" t="s">
        <v>26</v>
      </c>
      <c r="H553" s="614" t="s">
        <v>682</v>
      </c>
      <c r="I553" s="614" t="s">
        <v>1153</v>
      </c>
      <c r="J553" s="64" t="s">
        <v>3686</v>
      </c>
      <c r="K553" s="1940" t="s">
        <v>5483</v>
      </c>
      <c r="L553" s="1940" t="s">
        <v>8307</v>
      </c>
      <c r="M553" t="s">
        <v>11700</v>
      </c>
      <c r="N553" t="s">
        <v>10022</v>
      </c>
      <c r="O553" t="s">
        <v>5485</v>
      </c>
      <c r="P553" s="614">
        <f>COUNTIF(EducPlans_кодНАЦИД_Спец[аФакСец],EducPlans_кодНАЦИД_Спец[[#This Row],[аФакСец]])</f>
        <v>1</v>
      </c>
    </row>
    <row r="554" spans="3:16" x14ac:dyDescent="0.25">
      <c r="C554" s="614">
        <v>548</v>
      </c>
      <c r="D554" s="614">
        <v>11817</v>
      </c>
      <c r="E554" s="64" t="s">
        <v>2325</v>
      </c>
      <c r="F554" s="64" t="s">
        <v>5486</v>
      </c>
      <c r="G554" s="614" t="s">
        <v>26</v>
      </c>
      <c r="H554" s="614" t="s">
        <v>682</v>
      </c>
      <c r="I554" s="614" t="s">
        <v>1153</v>
      </c>
      <c r="J554" s="64" t="s">
        <v>3688</v>
      </c>
      <c r="K554" s="1940" t="s">
        <v>5483</v>
      </c>
      <c r="L554" s="1940" t="s">
        <v>8308</v>
      </c>
      <c r="M554" t="s">
        <v>11701</v>
      </c>
      <c r="N554" t="s">
        <v>10023</v>
      </c>
      <c r="O554" t="s">
        <v>5486</v>
      </c>
      <c r="P554" s="614">
        <f>COUNTIF(EducPlans_кодНАЦИД_Спец[аФакСец],EducPlans_кодНАЦИД_Спец[[#This Row],[аФакСец]])</f>
        <v>1</v>
      </c>
    </row>
    <row r="555" spans="3:16" x14ac:dyDescent="0.25">
      <c r="C555" s="614">
        <v>549</v>
      </c>
      <c r="D555" s="614">
        <v>11817</v>
      </c>
      <c r="E555" s="64" t="s">
        <v>2325</v>
      </c>
      <c r="F555" s="64" t="s">
        <v>5487</v>
      </c>
      <c r="G555" s="614" t="s">
        <v>26</v>
      </c>
      <c r="H555" s="614" t="s">
        <v>682</v>
      </c>
      <c r="I555" s="614" t="s">
        <v>1153</v>
      </c>
      <c r="J555" s="64" t="s">
        <v>3689</v>
      </c>
      <c r="K555" s="1940" t="s">
        <v>5483</v>
      </c>
      <c r="L555" s="1940" t="s">
        <v>8309</v>
      </c>
      <c r="M555" t="s">
        <v>11702</v>
      </c>
      <c r="N555" t="s">
        <v>10024</v>
      </c>
      <c r="O555" t="s">
        <v>5487</v>
      </c>
      <c r="P555" s="614">
        <f>COUNTIF(EducPlans_кодНАЦИД_Спец[аФакСец],EducPlans_кодНАЦИД_Спец[[#This Row],[аФакСец]])</f>
        <v>1</v>
      </c>
    </row>
    <row r="556" spans="3:16" x14ac:dyDescent="0.25">
      <c r="C556" s="614">
        <v>550</v>
      </c>
      <c r="D556" s="614">
        <v>11817</v>
      </c>
      <c r="E556" s="64" t="s">
        <v>2325</v>
      </c>
      <c r="F556" s="64" t="s">
        <v>5488</v>
      </c>
      <c r="G556" s="614" t="s">
        <v>26</v>
      </c>
      <c r="H556" s="614" t="s">
        <v>682</v>
      </c>
      <c r="I556" s="614" t="s">
        <v>1153</v>
      </c>
      <c r="J556" s="64" t="s">
        <v>3687</v>
      </c>
      <c r="K556" s="1940" t="s">
        <v>5483</v>
      </c>
      <c r="L556" s="1940" t="s">
        <v>8310</v>
      </c>
      <c r="M556" t="s">
        <v>11703</v>
      </c>
      <c r="N556" t="s">
        <v>10025</v>
      </c>
      <c r="O556" t="s">
        <v>5488</v>
      </c>
      <c r="P556" s="614">
        <f>COUNTIF(EducPlans_кодНАЦИД_Спец[аФакСец],EducPlans_кодНАЦИД_Спец[[#This Row],[аФакСец]])</f>
        <v>1</v>
      </c>
    </row>
    <row r="557" spans="3:16" x14ac:dyDescent="0.25">
      <c r="C557" s="614">
        <v>551</v>
      </c>
      <c r="D557" s="614">
        <v>973272</v>
      </c>
      <c r="E557" s="64" t="s">
        <v>2325</v>
      </c>
      <c r="F557" s="64" t="s">
        <v>13418</v>
      </c>
      <c r="G557" s="614" t="s">
        <v>26</v>
      </c>
      <c r="H557" s="614" t="s">
        <v>682</v>
      </c>
      <c r="I557" s="614" t="s">
        <v>1153</v>
      </c>
      <c r="J557" s="64" t="s">
        <v>13419</v>
      </c>
      <c r="K557" s="1940" t="s">
        <v>5483</v>
      </c>
      <c r="L557" s="1940" t="s">
        <v>13420</v>
      </c>
      <c r="M557" t="s">
        <v>13421</v>
      </c>
      <c r="N557" t="s">
        <v>13422</v>
      </c>
      <c r="O557" t="s">
        <v>13418</v>
      </c>
      <c r="P557" s="614">
        <f>COUNTIF(EducPlans_кодНАЦИД_Спец[аФакСец],EducPlans_кодНАЦИД_Спец[[#This Row],[аФакСец]])</f>
        <v>1</v>
      </c>
    </row>
    <row r="558" spans="3:16" x14ac:dyDescent="0.25">
      <c r="C558" s="614">
        <v>552</v>
      </c>
      <c r="D558" s="614">
        <v>286654</v>
      </c>
      <c r="E558" s="64" t="s">
        <v>13423</v>
      </c>
      <c r="F558" s="64" t="s">
        <v>5489</v>
      </c>
      <c r="G558" s="614" t="s">
        <v>626</v>
      </c>
      <c r="H558" s="614" t="s">
        <v>682</v>
      </c>
      <c r="I558" s="614" t="s">
        <v>1153</v>
      </c>
      <c r="J558" s="64" t="s">
        <v>3272</v>
      </c>
      <c r="K558" s="1940" t="s">
        <v>5490</v>
      </c>
      <c r="L558" s="1940" t="s">
        <v>8311</v>
      </c>
      <c r="M558" t="s">
        <v>13424</v>
      </c>
      <c r="N558" t="s">
        <v>10026</v>
      </c>
      <c r="O558" t="s">
        <v>5489</v>
      </c>
      <c r="P558" s="614">
        <f>COUNTIF(EducPlans_кодНАЦИД_Спец[аФакСец],EducPlans_кодНАЦИД_Спец[[#This Row],[аФакСец]])</f>
        <v>1</v>
      </c>
    </row>
    <row r="559" spans="3:16" x14ac:dyDescent="0.25">
      <c r="C559" s="614">
        <v>553</v>
      </c>
      <c r="D559" s="614">
        <v>628358</v>
      </c>
      <c r="E559" s="64" t="s">
        <v>13423</v>
      </c>
      <c r="F559" s="64" t="s">
        <v>13425</v>
      </c>
      <c r="G559" s="614" t="s">
        <v>626</v>
      </c>
      <c r="H559" s="614" t="s">
        <v>682</v>
      </c>
      <c r="I559" s="614" t="s">
        <v>1153</v>
      </c>
      <c r="J559" s="64" t="s">
        <v>5492</v>
      </c>
      <c r="K559" s="1940" t="s">
        <v>5490</v>
      </c>
      <c r="L559" s="1940" t="s">
        <v>8312</v>
      </c>
      <c r="M559" t="s">
        <v>13426</v>
      </c>
      <c r="N559" t="s">
        <v>10027</v>
      </c>
      <c r="O559" t="s">
        <v>13425</v>
      </c>
      <c r="P559" s="614">
        <f>COUNTIF(EducPlans_кодНАЦИД_Спец[аФакСец],EducPlans_кодНАЦИД_Спец[[#This Row],[аФакСец]])</f>
        <v>1</v>
      </c>
    </row>
    <row r="560" spans="3:16" x14ac:dyDescent="0.25">
      <c r="C560" s="614">
        <v>554</v>
      </c>
      <c r="D560" s="614">
        <v>12455</v>
      </c>
      <c r="E560" s="64" t="s">
        <v>2265</v>
      </c>
      <c r="F560" s="64" t="s">
        <v>5493</v>
      </c>
      <c r="G560" s="614" t="s">
        <v>50</v>
      </c>
      <c r="H560" s="614" t="s">
        <v>682</v>
      </c>
      <c r="I560" s="614" t="s">
        <v>1149</v>
      </c>
      <c r="J560" s="64" t="s">
        <v>2999</v>
      </c>
      <c r="K560" s="1940" t="s">
        <v>5494</v>
      </c>
      <c r="L560" s="1940" t="s">
        <v>8313</v>
      </c>
      <c r="M560" t="s">
        <v>11704</v>
      </c>
      <c r="N560" t="s">
        <v>10028</v>
      </c>
      <c r="O560" t="s">
        <v>5493</v>
      </c>
      <c r="P560" s="614">
        <f>COUNTIF(EducPlans_кодНАЦИД_Спец[аФакСец],EducPlans_кодНАЦИД_Спец[[#This Row],[аФакСец]])</f>
        <v>1</v>
      </c>
    </row>
    <row r="561" spans="3:16" x14ac:dyDescent="0.25">
      <c r="C561" s="614">
        <v>555</v>
      </c>
      <c r="D561" s="614">
        <v>12454</v>
      </c>
      <c r="E561" s="64" t="s">
        <v>2266</v>
      </c>
      <c r="F561" s="64" t="s">
        <v>5495</v>
      </c>
      <c r="G561" s="614" t="s">
        <v>50</v>
      </c>
      <c r="H561" s="614" t="s">
        <v>682</v>
      </c>
      <c r="I561" s="614" t="s">
        <v>1153</v>
      </c>
      <c r="J561" s="64" t="s">
        <v>3000</v>
      </c>
      <c r="K561" s="1940" t="s">
        <v>5496</v>
      </c>
      <c r="L561" s="1940" t="s">
        <v>8314</v>
      </c>
      <c r="M561" t="s">
        <v>11705</v>
      </c>
      <c r="N561" t="s">
        <v>10029</v>
      </c>
      <c r="O561" t="s">
        <v>5495</v>
      </c>
      <c r="P561" s="614">
        <f>COUNTIF(EducPlans_кодНАЦИД_Спец[аФакСец],EducPlans_кодНАЦИД_Спец[[#This Row],[аФакСец]])</f>
        <v>1</v>
      </c>
    </row>
    <row r="562" spans="3:16" x14ac:dyDescent="0.25">
      <c r="C562" s="614">
        <v>556</v>
      </c>
      <c r="D562" s="614">
        <v>12450</v>
      </c>
      <c r="E562" s="64" t="s">
        <v>2267</v>
      </c>
      <c r="F562" s="64" t="s">
        <v>5497</v>
      </c>
      <c r="G562" s="614" t="s">
        <v>50</v>
      </c>
      <c r="H562" s="614" t="s">
        <v>682</v>
      </c>
      <c r="I562" s="614" t="s">
        <v>1153</v>
      </c>
      <c r="J562" s="64" t="s">
        <v>3002</v>
      </c>
      <c r="K562" s="1940" t="s">
        <v>5498</v>
      </c>
      <c r="L562" s="1940" t="s">
        <v>8315</v>
      </c>
      <c r="M562" t="s">
        <v>11706</v>
      </c>
      <c r="N562" t="s">
        <v>10030</v>
      </c>
      <c r="O562" t="s">
        <v>5497</v>
      </c>
      <c r="P562" s="614">
        <f>COUNTIF(EducPlans_кодНАЦИД_Спец[аФакСец],EducPlans_кодНАЦИД_Спец[[#This Row],[аФакСец]])</f>
        <v>1</v>
      </c>
    </row>
    <row r="563" spans="3:16" x14ac:dyDescent="0.25">
      <c r="C563" s="614">
        <v>557</v>
      </c>
      <c r="D563" s="614">
        <v>12450</v>
      </c>
      <c r="E563" s="64" t="s">
        <v>2267</v>
      </c>
      <c r="F563" s="64" t="s">
        <v>5499</v>
      </c>
      <c r="G563" s="614" t="s">
        <v>50</v>
      </c>
      <c r="H563" s="614" t="s">
        <v>682</v>
      </c>
      <c r="I563" s="614" t="s">
        <v>1153</v>
      </c>
      <c r="J563" s="64" t="s">
        <v>3003</v>
      </c>
      <c r="K563" s="1940" t="s">
        <v>5498</v>
      </c>
      <c r="L563" s="1940" t="s">
        <v>8316</v>
      </c>
      <c r="M563" t="s">
        <v>11707</v>
      </c>
      <c r="N563" t="s">
        <v>10031</v>
      </c>
      <c r="O563" t="s">
        <v>5499</v>
      </c>
      <c r="P563" s="614">
        <f>COUNTIF(EducPlans_кодНАЦИД_Спец[аФакСец],EducPlans_кодНАЦИД_Спец[[#This Row],[аФакСец]])</f>
        <v>1</v>
      </c>
    </row>
    <row r="564" spans="3:16" x14ac:dyDescent="0.25">
      <c r="C564" s="614">
        <v>558</v>
      </c>
      <c r="D564" s="614">
        <v>12452</v>
      </c>
      <c r="E564" s="64" t="s">
        <v>2267</v>
      </c>
      <c r="F564" s="64" t="s">
        <v>5500</v>
      </c>
      <c r="G564" s="614" t="s">
        <v>50</v>
      </c>
      <c r="H564" s="614" t="s">
        <v>682</v>
      </c>
      <c r="I564" s="614" t="s">
        <v>1149</v>
      </c>
      <c r="J564" s="64" t="s">
        <v>3001</v>
      </c>
      <c r="K564" s="1940" t="s">
        <v>5501</v>
      </c>
      <c r="L564" s="1940" t="s">
        <v>8317</v>
      </c>
      <c r="M564" t="s">
        <v>11708</v>
      </c>
      <c r="N564" t="s">
        <v>10032</v>
      </c>
      <c r="O564" t="s">
        <v>5500</v>
      </c>
      <c r="P564" s="614">
        <f>COUNTIF(EducPlans_кодНАЦИД_Спец[аФакСец],EducPlans_кодНАЦИД_Спец[[#This Row],[аФакСец]])</f>
        <v>1</v>
      </c>
    </row>
    <row r="565" spans="3:16" x14ac:dyDescent="0.25">
      <c r="C565" s="614">
        <v>559</v>
      </c>
      <c r="D565" s="614">
        <v>12449</v>
      </c>
      <c r="E565" s="64" t="s">
        <v>2268</v>
      </c>
      <c r="F565" s="64" t="s">
        <v>5502</v>
      </c>
      <c r="G565" s="614" t="s">
        <v>50</v>
      </c>
      <c r="H565" s="614" t="s">
        <v>682</v>
      </c>
      <c r="I565" s="614" t="s">
        <v>1153</v>
      </c>
      <c r="J565" s="64" t="s">
        <v>5503</v>
      </c>
      <c r="K565" s="1940" t="s">
        <v>5504</v>
      </c>
      <c r="L565" s="1940" t="s">
        <v>8318</v>
      </c>
      <c r="M565" t="s">
        <v>11709</v>
      </c>
      <c r="N565" t="s">
        <v>10033</v>
      </c>
      <c r="O565" t="s">
        <v>5502</v>
      </c>
      <c r="P565" s="614">
        <f>COUNTIF(EducPlans_кодНАЦИД_Спец[аФакСец],EducPlans_кодНАЦИД_Спец[[#This Row],[аФакСец]])</f>
        <v>1</v>
      </c>
    </row>
    <row r="566" spans="3:16" x14ac:dyDescent="0.25">
      <c r="C566" s="614">
        <v>560</v>
      </c>
      <c r="D566" s="614">
        <v>12455</v>
      </c>
      <c r="E566" s="64" t="s">
        <v>2268</v>
      </c>
      <c r="F566" s="64" t="s">
        <v>5505</v>
      </c>
      <c r="G566" s="614" t="s">
        <v>50</v>
      </c>
      <c r="H566" s="614" t="s">
        <v>682</v>
      </c>
      <c r="I566" s="614" t="s">
        <v>1149</v>
      </c>
      <c r="J566" s="64" t="s">
        <v>3004</v>
      </c>
      <c r="K566" s="1940" t="s">
        <v>5506</v>
      </c>
      <c r="L566" s="1940" t="s">
        <v>8319</v>
      </c>
      <c r="M566" t="s">
        <v>11710</v>
      </c>
      <c r="N566" t="s">
        <v>10034</v>
      </c>
      <c r="O566" t="s">
        <v>5505</v>
      </c>
      <c r="P566" s="614">
        <f>COUNTIF(EducPlans_кодНАЦИД_Спец[аФакСец],EducPlans_кодНАЦИД_Спец[[#This Row],[аФакСец]])</f>
        <v>1</v>
      </c>
    </row>
    <row r="567" spans="3:16" x14ac:dyDescent="0.25">
      <c r="C567" s="614">
        <v>561</v>
      </c>
      <c r="D567" s="614">
        <v>12629</v>
      </c>
      <c r="E567" s="64" t="s">
        <v>284</v>
      </c>
      <c r="F567" s="64" t="s">
        <v>5507</v>
      </c>
      <c r="G567" s="614" t="s">
        <v>296</v>
      </c>
      <c r="H567" s="614" t="s">
        <v>681</v>
      </c>
      <c r="I567" s="614" t="s">
        <v>1153</v>
      </c>
      <c r="J567" s="64" t="s">
        <v>3772</v>
      </c>
      <c r="K567" s="1940" t="s">
        <v>5508</v>
      </c>
      <c r="L567" s="1940" t="s">
        <v>8320</v>
      </c>
      <c r="M567" t="s">
        <v>11711</v>
      </c>
      <c r="N567" t="s">
        <v>10035</v>
      </c>
      <c r="O567" t="s">
        <v>5507</v>
      </c>
      <c r="P567" s="614">
        <f>COUNTIF(EducPlans_кодНАЦИД_Спец[аФакСец],EducPlans_кодНАЦИД_Спец[[#This Row],[аФакСец]])</f>
        <v>1</v>
      </c>
    </row>
    <row r="568" spans="3:16" x14ac:dyDescent="0.25">
      <c r="C568" s="614">
        <v>562</v>
      </c>
      <c r="D568" s="614">
        <v>1053047</v>
      </c>
      <c r="E568" s="64" t="s">
        <v>13427</v>
      </c>
      <c r="F568" s="64" t="s">
        <v>13428</v>
      </c>
      <c r="G568" s="614" t="s">
        <v>48</v>
      </c>
      <c r="H568" s="614" t="s">
        <v>682</v>
      </c>
      <c r="I568" s="614" t="s">
        <v>1153</v>
      </c>
      <c r="J568" s="64" t="s">
        <v>13429</v>
      </c>
      <c r="K568" s="1940" t="s">
        <v>13430</v>
      </c>
      <c r="L568" s="1940" t="s">
        <v>13431</v>
      </c>
      <c r="M568" t="s">
        <v>13432</v>
      </c>
      <c r="N568" t="s">
        <v>13433</v>
      </c>
      <c r="O568" t="s">
        <v>13428</v>
      </c>
      <c r="P568" s="614">
        <f>COUNTIF(EducPlans_кодНАЦИД_Спец[аФакСец],EducPlans_кодНАЦИД_Спец[[#This Row],[аФакСец]])</f>
        <v>1</v>
      </c>
    </row>
    <row r="569" spans="3:16" x14ac:dyDescent="0.25">
      <c r="C569" s="614">
        <v>563</v>
      </c>
      <c r="D569" s="614">
        <v>1053048</v>
      </c>
      <c r="E569" s="64" t="s">
        <v>13427</v>
      </c>
      <c r="F569" s="64" t="s">
        <v>13434</v>
      </c>
      <c r="G569" s="614" t="s">
        <v>48</v>
      </c>
      <c r="H569" s="614" t="s">
        <v>682</v>
      </c>
      <c r="I569" s="614" t="s">
        <v>1153</v>
      </c>
      <c r="J569" s="64" t="s">
        <v>13435</v>
      </c>
      <c r="K569" s="1940" t="s">
        <v>13430</v>
      </c>
      <c r="L569" s="1940" t="s">
        <v>13436</v>
      </c>
      <c r="M569" t="s">
        <v>13437</v>
      </c>
      <c r="N569" t="s">
        <v>13438</v>
      </c>
      <c r="O569" t="s">
        <v>13434</v>
      </c>
      <c r="P569" s="614">
        <f>COUNTIF(EducPlans_кодНАЦИД_Спец[аФакСец],EducPlans_кодНАЦИД_Спец[[#This Row],[аФакСец]])</f>
        <v>1</v>
      </c>
    </row>
    <row r="570" spans="3:16" x14ac:dyDescent="0.25">
      <c r="C570" s="614">
        <v>564</v>
      </c>
      <c r="D570" s="614">
        <v>11669</v>
      </c>
      <c r="E570" s="64" t="s">
        <v>1389</v>
      </c>
      <c r="F570" s="64" t="s">
        <v>5509</v>
      </c>
      <c r="G570" s="614" t="s">
        <v>33</v>
      </c>
      <c r="H570" s="614" t="s">
        <v>682</v>
      </c>
      <c r="I570" s="614" t="s">
        <v>1153</v>
      </c>
      <c r="J570" s="64" t="s">
        <v>3535</v>
      </c>
      <c r="K570" s="1940" t="s">
        <v>5510</v>
      </c>
      <c r="L570" s="1940" t="s">
        <v>8321</v>
      </c>
      <c r="M570" t="s">
        <v>11712</v>
      </c>
      <c r="N570" t="s">
        <v>10036</v>
      </c>
      <c r="O570" t="s">
        <v>5509</v>
      </c>
      <c r="P570" s="614">
        <f>COUNTIF(EducPlans_кодНАЦИД_Спец[аФакСец],EducPlans_кодНАЦИД_Спец[[#This Row],[аФакСец]])</f>
        <v>1</v>
      </c>
    </row>
    <row r="571" spans="3:16" x14ac:dyDescent="0.25">
      <c r="C571" s="614">
        <v>565</v>
      </c>
      <c r="D571" s="614">
        <v>11818</v>
      </c>
      <c r="E571" s="64" t="s">
        <v>2326</v>
      </c>
      <c r="F571" s="64" t="s">
        <v>5511</v>
      </c>
      <c r="G571" s="614" t="s">
        <v>26</v>
      </c>
      <c r="H571" s="614" t="s">
        <v>682</v>
      </c>
      <c r="I571" s="614" t="s">
        <v>1153</v>
      </c>
      <c r="J571" s="64" t="s">
        <v>3692</v>
      </c>
      <c r="K571" s="1940" t="s">
        <v>5512</v>
      </c>
      <c r="L571" s="1940" t="s">
        <v>8322</v>
      </c>
      <c r="M571" t="s">
        <v>11713</v>
      </c>
      <c r="N571" t="s">
        <v>10037</v>
      </c>
      <c r="O571" t="s">
        <v>5511</v>
      </c>
      <c r="P571" s="614">
        <f>COUNTIF(EducPlans_кодНАЦИД_Спец[аФакСец],EducPlans_кодНАЦИД_Спец[[#This Row],[аФакСец]])</f>
        <v>1</v>
      </c>
    </row>
    <row r="572" spans="3:16" x14ac:dyDescent="0.25">
      <c r="C572" s="614">
        <v>566</v>
      </c>
      <c r="D572" s="614">
        <v>11818</v>
      </c>
      <c r="E572" s="64" t="s">
        <v>2326</v>
      </c>
      <c r="F572" s="64" t="s">
        <v>5513</v>
      </c>
      <c r="G572" s="614" t="s">
        <v>26</v>
      </c>
      <c r="H572" s="614" t="s">
        <v>682</v>
      </c>
      <c r="I572" s="614" t="s">
        <v>1153</v>
      </c>
      <c r="J572" s="64" t="s">
        <v>3693</v>
      </c>
      <c r="K572" s="1940" t="s">
        <v>5512</v>
      </c>
      <c r="L572" s="1940" t="s">
        <v>8323</v>
      </c>
      <c r="M572" t="s">
        <v>11714</v>
      </c>
      <c r="N572" t="s">
        <v>10038</v>
      </c>
      <c r="O572" t="s">
        <v>5513</v>
      </c>
      <c r="P572" s="614">
        <f>COUNTIF(EducPlans_кодНАЦИД_Спец[аФакСец],EducPlans_кодНАЦИД_Спец[[#This Row],[аФакСец]])</f>
        <v>1</v>
      </c>
    </row>
    <row r="573" spans="3:16" x14ac:dyDescent="0.25">
      <c r="C573" s="614">
        <v>567</v>
      </c>
      <c r="D573" s="614">
        <v>11818</v>
      </c>
      <c r="E573" s="64" t="s">
        <v>2326</v>
      </c>
      <c r="F573" s="64" t="s">
        <v>5514</v>
      </c>
      <c r="G573" s="614" t="s">
        <v>26</v>
      </c>
      <c r="H573" s="614" t="s">
        <v>682</v>
      </c>
      <c r="I573" s="614" t="s">
        <v>1153</v>
      </c>
      <c r="J573" s="64" t="s">
        <v>3695</v>
      </c>
      <c r="K573" s="1940" t="s">
        <v>5512</v>
      </c>
      <c r="L573" s="1940" t="s">
        <v>8324</v>
      </c>
      <c r="M573" t="s">
        <v>11715</v>
      </c>
      <c r="N573" t="s">
        <v>10039</v>
      </c>
      <c r="O573" t="s">
        <v>5514</v>
      </c>
      <c r="P573" s="614">
        <f>COUNTIF(EducPlans_кодНАЦИД_Спец[аФакСец],EducPlans_кодНАЦИД_Спец[[#This Row],[аФакСец]])</f>
        <v>1</v>
      </c>
    </row>
    <row r="574" spans="3:16" x14ac:dyDescent="0.25">
      <c r="C574" s="614">
        <v>568</v>
      </c>
      <c r="D574" s="614">
        <v>11818</v>
      </c>
      <c r="E574" s="64" t="s">
        <v>2326</v>
      </c>
      <c r="F574" s="64" t="s">
        <v>5515</v>
      </c>
      <c r="G574" s="614" t="s">
        <v>26</v>
      </c>
      <c r="H574" s="614" t="s">
        <v>682</v>
      </c>
      <c r="I574" s="614" t="s">
        <v>1153</v>
      </c>
      <c r="J574" s="64" t="s">
        <v>3696</v>
      </c>
      <c r="K574" s="1940" t="s">
        <v>5512</v>
      </c>
      <c r="L574" s="1940" t="s">
        <v>8325</v>
      </c>
      <c r="M574" t="s">
        <v>11716</v>
      </c>
      <c r="N574" t="s">
        <v>10040</v>
      </c>
      <c r="O574" t="s">
        <v>5515</v>
      </c>
      <c r="P574" s="614">
        <f>COUNTIF(EducPlans_кодНАЦИД_Спец[аФакСец],EducPlans_кодНАЦИД_Спец[[#This Row],[аФакСец]])</f>
        <v>1</v>
      </c>
    </row>
    <row r="575" spans="3:16" x14ac:dyDescent="0.25">
      <c r="C575" s="614">
        <v>569</v>
      </c>
      <c r="D575" s="614">
        <v>11818</v>
      </c>
      <c r="E575" s="64" t="s">
        <v>2326</v>
      </c>
      <c r="F575" s="64" t="s">
        <v>5516</v>
      </c>
      <c r="G575" s="614" t="s">
        <v>26</v>
      </c>
      <c r="H575" s="614" t="s">
        <v>682</v>
      </c>
      <c r="I575" s="614" t="s">
        <v>1153</v>
      </c>
      <c r="J575" s="64" t="s">
        <v>3691</v>
      </c>
      <c r="K575" s="1940" t="s">
        <v>5512</v>
      </c>
      <c r="L575" s="1940" t="s">
        <v>8326</v>
      </c>
      <c r="M575" t="s">
        <v>11717</v>
      </c>
      <c r="N575" t="s">
        <v>10041</v>
      </c>
      <c r="O575" t="s">
        <v>5516</v>
      </c>
      <c r="P575" s="614">
        <f>COUNTIF(EducPlans_кодНАЦИД_Спец[аФакСец],EducPlans_кодНАЦИД_Спец[[#This Row],[аФакСец]])</f>
        <v>1</v>
      </c>
    </row>
    <row r="576" spans="3:16" x14ac:dyDescent="0.25">
      <c r="C576" s="614">
        <v>570</v>
      </c>
      <c r="D576" s="614">
        <v>11818</v>
      </c>
      <c r="E576" s="64" t="s">
        <v>2326</v>
      </c>
      <c r="F576" s="64" t="s">
        <v>5517</v>
      </c>
      <c r="G576" s="614" t="s">
        <v>26</v>
      </c>
      <c r="H576" s="614" t="s">
        <v>682</v>
      </c>
      <c r="I576" s="614" t="s">
        <v>1153</v>
      </c>
      <c r="J576" s="64" t="s">
        <v>3694</v>
      </c>
      <c r="K576" s="1940" t="s">
        <v>5512</v>
      </c>
      <c r="L576" s="1940" t="s">
        <v>8327</v>
      </c>
      <c r="M576" t="s">
        <v>11718</v>
      </c>
      <c r="N576" t="s">
        <v>10042</v>
      </c>
      <c r="O576" t="s">
        <v>5517</v>
      </c>
      <c r="P576" s="614">
        <f>COUNTIF(EducPlans_кодНАЦИД_Спец[аФакСец],EducPlans_кодНАЦИД_Спец[[#This Row],[аФакСец]])</f>
        <v>1</v>
      </c>
    </row>
    <row r="577" spans="3:16" x14ac:dyDescent="0.25">
      <c r="C577" s="614">
        <v>571</v>
      </c>
      <c r="D577" s="614">
        <v>11780</v>
      </c>
      <c r="E577" s="64" t="s">
        <v>2301</v>
      </c>
      <c r="F577" s="64" t="s">
        <v>5518</v>
      </c>
      <c r="G577" s="614" t="s">
        <v>26</v>
      </c>
      <c r="H577" s="614" t="s">
        <v>682</v>
      </c>
      <c r="I577" s="614" t="s">
        <v>1153</v>
      </c>
      <c r="J577" s="64" t="s">
        <v>5519</v>
      </c>
      <c r="K577" s="1940" t="s">
        <v>5520</v>
      </c>
      <c r="L577" s="1940" t="s">
        <v>8328</v>
      </c>
      <c r="M577" t="s">
        <v>11719</v>
      </c>
      <c r="N577" t="s">
        <v>10043</v>
      </c>
      <c r="O577" t="s">
        <v>5518</v>
      </c>
      <c r="P577" s="614">
        <f>COUNTIF(EducPlans_кодНАЦИД_Спец[аФакСец],EducPlans_кодНАЦИД_Спец[[#This Row],[аФакСец]])</f>
        <v>1</v>
      </c>
    </row>
    <row r="578" spans="3:16" x14ac:dyDescent="0.25">
      <c r="C578" s="614">
        <v>572</v>
      </c>
      <c r="D578" s="614">
        <v>11780</v>
      </c>
      <c r="E578" s="64" t="s">
        <v>2301</v>
      </c>
      <c r="F578" s="64" t="s">
        <v>5521</v>
      </c>
      <c r="G578" s="614" t="s">
        <v>26</v>
      </c>
      <c r="H578" s="614" t="s">
        <v>682</v>
      </c>
      <c r="I578" s="614" t="s">
        <v>1153</v>
      </c>
      <c r="J578" s="64" t="s">
        <v>5522</v>
      </c>
      <c r="K578" s="1940" t="s">
        <v>5520</v>
      </c>
      <c r="L578" s="1940" t="s">
        <v>8329</v>
      </c>
      <c r="M578" t="s">
        <v>11720</v>
      </c>
      <c r="N578" t="s">
        <v>10044</v>
      </c>
      <c r="O578" t="s">
        <v>5521</v>
      </c>
      <c r="P578" s="614">
        <f>COUNTIF(EducPlans_кодНАЦИД_Спец[аФакСец],EducPlans_кодНАЦИД_Спец[[#This Row],[аФакСец]])</f>
        <v>1</v>
      </c>
    </row>
    <row r="579" spans="3:16" x14ac:dyDescent="0.25">
      <c r="C579" s="614">
        <v>573</v>
      </c>
      <c r="D579" s="614">
        <v>11780</v>
      </c>
      <c r="E579" s="64" t="s">
        <v>2301</v>
      </c>
      <c r="F579" s="64" t="s">
        <v>5523</v>
      </c>
      <c r="G579" s="614" t="s">
        <v>26</v>
      </c>
      <c r="H579" s="614" t="s">
        <v>682</v>
      </c>
      <c r="I579" s="614" t="s">
        <v>1153</v>
      </c>
      <c r="J579" s="64" t="s">
        <v>5524</v>
      </c>
      <c r="K579" s="1940" t="s">
        <v>5520</v>
      </c>
      <c r="L579" s="1940" t="s">
        <v>8330</v>
      </c>
      <c r="M579" t="s">
        <v>11721</v>
      </c>
      <c r="N579" t="s">
        <v>10045</v>
      </c>
      <c r="O579" t="s">
        <v>5523</v>
      </c>
      <c r="P579" s="614">
        <f>COUNTIF(EducPlans_кодНАЦИД_Спец[аФакСец],EducPlans_кодНАЦИД_Спец[[#This Row],[аФакСец]])</f>
        <v>1</v>
      </c>
    </row>
    <row r="580" spans="3:16" x14ac:dyDescent="0.25">
      <c r="C580" s="614">
        <v>574</v>
      </c>
      <c r="D580" s="614">
        <v>11780</v>
      </c>
      <c r="E580" s="64" t="s">
        <v>2301</v>
      </c>
      <c r="F580" s="64" t="s">
        <v>5525</v>
      </c>
      <c r="G580" s="614" t="s">
        <v>26</v>
      </c>
      <c r="H580" s="614" t="s">
        <v>682</v>
      </c>
      <c r="I580" s="614" t="s">
        <v>1153</v>
      </c>
      <c r="J580" s="64" t="s">
        <v>5526</v>
      </c>
      <c r="K580" s="1940" t="s">
        <v>5520</v>
      </c>
      <c r="L580" s="1940" t="s">
        <v>8331</v>
      </c>
      <c r="M580" t="s">
        <v>11722</v>
      </c>
      <c r="N580" t="s">
        <v>10046</v>
      </c>
      <c r="O580" t="s">
        <v>5525</v>
      </c>
      <c r="P580" s="614">
        <f>COUNTIF(EducPlans_кодНАЦИД_Спец[аФакСец],EducPlans_кодНАЦИД_Спец[[#This Row],[аФакСец]])</f>
        <v>1</v>
      </c>
    </row>
    <row r="581" spans="3:16" x14ac:dyDescent="0.25">
      <c r="C581" s="614">
        <v>575</v>
      </c>
      <c r="D581" s="614">
        <v>11803</v>
      </c>
      <c r="E581" s="64" t="s">
        <v>2302</v>
      </c>
      <c r="F581" s="64" t="s">
        <v>5527</v>
      </c>
      <c r="G581" s="614" t="s">
        <v>26</v>
      </c>
      <c r="H581" s="614" t="s">
        <v>682</v>
      </c>
      <c r="I581" s="614" t="s">
        <v>1153</v>
      </c>
      <c r="J581" s="64" t="s">
        <v>3697</v>
      </c>
      <c r="K581" s="1940" t="s">
        <v>5528</v>
      </c>
      <c r="L581" s="1940" t="s">
        <v>8332</v>
      </c>
      <c r="M581" t="s">
        <v>11723</v>
      </c>
      <c r="N581" t="s">
        <v>10047</v>
      </c>
      <c r="O581" t="s">
        <v>5527</v>
      </c>
      <c r="P581" s="614">
        <f>COUNTIF(EducPlans_кодНАЦИД_Спец[аФакСец],EducPlans_кодНАЦИД_Спец[[#This Row],[аФакСец]])</f>
        <v>1</v>
      </c>
    </row>
    <row r="582" spans="3:16" x14ac:dyDescent="0.25">
      <c r="C582" s="614">
        <v>576</v>
      </c>
      <c r="D582" s="614">
        <v>12102</v>
      </c>
      <c r="E582" s="64" t="s">
        <v>2167</v>
      </c>
      <c r="F582" s="64" t="s">
        <v>5529</v>
      </c>
      <c r="G582" s="614" t="s">
        <v>29</v>
      </c>
      <c r="H582" s="614" t="s">
        <v>682</v>
      </c>
      <c r="I582" s="614" t="s">
        <v>1153</v>
      </c>
      <c r="J582" s="64" t="s">
        <v>5530</v>
      </c>
      <c r="K582" s="1940" t="s">
        <v>5531</v>
      </c>
      <c r="L582" s="1940" t="s">
        <v>8333</v>
      </c>
      <c r="M582" t="s">
        <v>11724</v>
      </c>
      <c r="N582" t="s">
        <v>10048</v>
      </c>
      <c r="O582" t="s">
        <v>5529</v>
      </c>
      <c r="P582" s="614">
        <f>COUNTIF(EducPlans_кодНАЦИД_Спец[аФакСец],EducPlans_кодНАЦИД_Спец[[#This Row],[аФакСец]])</f>
        <v>1</v>
      </c>
    </row>
    <row r="583" spans="3:16" x14ac:dyDescent="0.25">
      <c r="C583" s="614">
        <v>577</v>
      </c>
      <c r="D583" s="614">
        <v>12098</v>
      </c>
      <c r="E583" s="64" t="s">
        <v>2168</v>
      </c>
      <c r="F583" s="64" t="s">
        <v>5532</v>
      </c>
      <c r="G583" s="614" t="s">
        <v>29</v>
      </c>
      <c r="H583" s="614" t="s">
        <v>682</v>
      </c>
      <c r="I583" s="614" t="s">
        <v>1153</v>
      </c>
      <c r="J583" s="64" t="s">
        <v>4156</v>
      </c>
      <c r="K583" s="1940" t="s">
        <v>5533</v>
      </c>
      <c r="L583" s="1940" t="s">
        <v>8334</v>
      </c>
      <c r="M583" t="s">
        <v>11725</v>
      </c>
      <c r="N583" t="s">
        <v>10049</v>
      </c>
      <c r="O583" t="s">
        <v>5532</v>
      </c>
      <c r="P583" s="614">
        <f>COUNTIF(EducPlans_кодНАЦИД_Спец[аФакСец],EducPlans_кодНАЦИД_Спец[[#This Row],[аФакСец]])</f>
        <v>1</v>
      </c>
    </row>
    <row r="584" spans="3:16" x14ac:dyDescent="0.25">
      <c r="C584" s="614">
        <v>578</v>
      </c>
      <c r="D584" s="614">
        <v>12098</v>
      </c>
      <c r="E584" s="64" t="s">
        <v>2168</v>
      </c>
      <c r="F584" s="64" t="s">
        <v>13439</v>
      </c>
      <c r="G584" s="614" t="s">
        <v>29</v>
      </c>
      <c r="H584" s="614" t="s">
        <v>682</v>
      </c>
      <c r="I584" s="614" t="s">
        <v>1153</v>
      </c>
      <c r="J584" s="64" t="s">
        <v>13440</v>
      </c>
      <c r="K584" s="1940" t="s">
        <v>5533</v>
      </c>
      <c r="L584" s="1940" t="s">
        <v>13441</v>
      </c>
      <c r="M584" t="s">
        <v>13442</v>
      </c>
      <c r="N584" t="s">
        <v>13443</v>
      </c>
      <c r="O584" t="s">
        <v>13439</v>
      </c>
      <c r="P584" s="614">
        <f>COUNTIF(EducPlans_кодНАЦИД_Спец[аФакСец],EducPlans_кодНАЦИД_Спец[[#This Row],[аФакСец]])</f>
        <v>1</v>
      </c>
    </row>
    <row r="585" spans="3:16" x14ac:dyDescent="0.25">
      <c r="C585" s="614">
        <v>579</v>
      </c>
      <c r="D585" s="614">
        <v>12756</v>
      </c>
      <c r="E585" s="64" t="s">
        <v>233</v>
      </c>
      <c r="F585" s="64" t="s">
        <v>5534</v>
      </c>
      <c r="G585" s="614" t="s">
        <v>626</v>
      </c>
      <c r="H585" s="614" t="s">
        <v>681</v>
      </c>
      <c r="I585" s="614" t="s">
        <v>1153</v>
      </c>
      <c r="J585" s="64" t="s">
        <v>3273</v>
      </c>
      <c r="K585" s="1940" t="s">
        <v>5535</v>
      </c>
      <c r="L585" s="1940" t="s">
        <v>8335</v>
      </c>
      <c r="M585" t="s">
        <v>11726</v>
      </c>
      <c r="N585" t="s">
        <v>10050</v>
      </c>
      <c r="O585" t="s">
        <v>5534</v>
      </c>
      <c r="P585" s="614">
        <f>COUNTIF(EducPlans_кодНАЦИД_Спец[аФакСец],EducPlans_кодНАЦИД_Спец[[#This Row],[аФакСец]])</f>
        <v>1</v>
      </c>
    </row>
    <row r="586" spans="3:16" x14ac:dyDescent="0.25">
      <c r="C586" s="614">
        <v>580</v>
      </c>
      <c r="D586" s="614">
        <v>12756</v>
      </c>
      <c r="E586" s="64" t="s">
        <v>233</v>
      </c>
      <c r="F586" s="64" t="s">
        <v>5536</v>
      </c>
      <c r="G586" s="614" t="s">
        <v>626</v>
      </c>
      <c r="H586" s="614" t="s">
        <v>681</v>
      </c>
      <c r="I586" s="614" t="s">
        <v>1153</v>
      </c>
      <c r="J586" s="64" t="s">
        <v>3274</v>
      </c>
      <c r="K586" s="1940" t="s">
        <v>5535</v>
      </c>
      <c r="L586" s="1940" t="s">
        <v>8336</v>
      </c>
      <c r="M586" t="s">
        <v>11727</v>
      </c>
      <c r="N586" t="s">
        <v>10051</v>
      </c>
      <c r="O586" t="s">
        <v>5536</v>
      </c>
      <c r="P586" s="614">
        <f>COUNTIF(EducPlans_кодНАЦИД_Спец[аФакСец],EducPlans_кодНАЦИД_Спец[[#This Row],[аФакСец]])</f>
        <v>1</v>
      </c>
    </row>
    <row r="587" spans="3:16" x14ac:dyDescent="0.25">
      <c r="C587" s="614">
        <v>581</v>
      </c>
      <c r="D587" s="614">
        <v>588670</v>
      </c>
      <c r="E587" s="64" t="s">
        <v>233</v>
      </c>
      <c r="F587" s="64" t="s">
        <v>5537</v>
      </c>
      <c r="G587" s="614" t="s">
        <v>626</v>
      </c>
      <c r="H587" s="614" t="s">
        <v>682</v>
      </c>
      <c r="I587" s="614" t="s">
        <v>1153</v>
      </c>
      <c r="J587" s="64" t="s">
        <v>5538</v>
      </c>
      <c r="K587" s="1940" t="s">
        <v>5539</v>
      </c>
      <c r="L587" s="1940" t="s">
        <v>8337</v>
      </c>
      <c r="M587" t="s">
        <v>11728</v>
      </c>
      <c r="N587" t="s">
        <v>10052</v>
      </c>
      <c r="O587" t="s">
        <v>5537</v>
      </c>
      <c r="P587" s="614">
        <f>COUNTIF(EducPlans_кодНАЦИД_Спец[аФакСец],EducPlans_кодНАЦИД_Спец[[#This Row],[аФакСец]])</f>
        <v>1</v>
      </c>
    </row>
    <row r="588" spans="3:16" x14ac:dyDescent="0.25">
      <c r="C588" s="614">
        <v>582</v>
      </c>
      <c r="D588" s="614">
        <v>12798</v>
      </c>
      <c r="E588" s="64" t="s">
        <v>1880</v>
      </c>
      <c r="F588" s="64" t="s">
        <v>5540</v>
      </c>
      <c r="G588" s="614" t="s">
        <v>626</v>
      </c>
      <c r="H588" s="614" t="s">
        <v>682</v>
      </c>
      <c r="I588" s="614" t="s">
        <v>1153</v>
      </c>
      <c r="J588" s="64" t="s">
        <v>3275</v>
      </c>
      <c r="K588" s="1940" t="s">
        <v>5541</v>
      </c>
      <c r="L588" s="1940" t="s">
        <v>8338</v>
      </c>
      <c r="M588" t="s">
        <v>11729</v>
      </c>
      <c r="N588" t="s">
        <v>10053</v>
      </c>
      <c r="O588" t="s">
        <v>5540</v>
      </c>
      <c r="P588" s="614">
        <f>COUNTIF(EducPlans_кодНАЦИД_Спец[аФакСец],EducPlans_кодНАЦИД_Спец[[#This Row],[аФакСец]])</f>
        <v>1</v>
      </c>
    </row>
    <row r="589" spans="3:16" x14ac:dyDescent="0.25">
      <c r="C589" s="614">
        <v>583</v>
      </c>
      <c r="D589" s="614">
        <v>12857</v>
      </c>
      <c r="E589" s="64" t="s">
        <v>1960</v>
      </c>
      <c r="F589" s="64" t="s">
        <v>5542</v>
      </c>
      <c r="G589" s="614" t="s">
        <v>626</v>
      </c>
      <c r="H589" s="614" t="s">
        <v>682</v>
      </c>
      <c r="I589" s="614" t="s">
        <v>1153</v>
      </c>
      <c r="J589" s="64" t="s">
        <v>3278</v>
      </c>
      <c r="K589" s="1940" t="s">
        <v>5543</v>
      </c>
      <c r="L589" s="1940" t="s">
        <v>8339</v>
      </c>
      <c r="M589" t="s">
        <v>11730</v>
      </c>
      <c r="N589" t="s">
        <v>10054</v>
      </c>
      <c r="O589" t="s">
        <v>5542</v>
      </c>
      <c r="P589" s="614">
        <f>COUNTIF(EducPlans_кодНАЦИД_Спец[аФакСец],EducPlans_кодНАЦИД_Спец[[#This Row],[аФакСец]])</f>
        <v>1</v>
      </c>
    </row>
    <row r="590" spans="3:16" x14ac:dyDescent="0.25">
      <c r="C590" s="614">
        <v>584</v>
      </c>
      <c r="D590" s="614">
        <v>12857</v>
      </c>
      <c r="E590" s="64" t="s">
        <v>1960</v>
      </c>
      <c r="F590" s="64" t="s">
        <v>5544</v>
      </c>
      <c r="G590" s="614" t="s">
        <v>626</v>
      </c>
      <c r="H590" s="614" t="s">
        <v>682</v>
      </c>
      <c r="I590" s="614" t="s">
        <v>1153</v>
      </c>
      <c r="J590" s="64" t="s">
        <v>3276</v>
      </c>
      <c r="K590" s="1940" t="s">
        <v>5543</v>
      </c>
      <c r="L590" s="1940" t="s">
        <v>8340</v>
      </c>
      <c r="M590" t="s">
        <v>11731</v>
      </c>
      <c r="N590" t="s">
        <v>10055</v>
      </c>
      <c r="O590" t="s">
        <v>5544</v>
      </c>
      <c r="P590" s="614">
        <f>COUNTIF(EducPlans_кодНАЦИД_Спец[аФакСец],EducPlans_кодНАЦИД_Спец[[#This Row],[аФакСец]])</f>
        <v>1</v>
      </c>
    </row>
    <row r="591" spans="3:16" x14ac:dyDescent="0.25">
      <c r="C591" s="614">
        <v>585</v>
      </c>
      <c r="D591" s="614">
        <v>12857</v>
      </c>
      <c r="E591" s="64" t="s">
        <v>1960</v>
      </c>
      <c r="F591" s="64" t="s">
        <v>5545</v>
      </c>
      <c r="G591" s="614" t="s">
        <v>626</v>
      </c>
      <c r="H591" s="614" t="s">
        <v>682</v>
      </c>
      <c r="I591" s="614" t="s">
        <v>1153</v>
      </c>
      <c r="J591" s="64" t="s">
        <v>3279</v>
      </c>
      <c r="K591" s="1940" t="s">
        <v>5543</v>
      </c>
      <c r="L591" s="1940" t="s">
        <v>8341</v>
      </c>
      <c r="M591" t="s">
        <v>11732</v>
      </c>
      <c r="N591" t="s">
        <v>10056</v>
      </c>
      <c r="O591" t="s">
        <v>5545</v>
      </c>
      <c r="P591" s="614">
        <f>COUNTIF(EducPlans_кодНАЦИД_Спец[аФакСец],EducPlans_кодНАЦИД_Спец[[#This Row],[аФакСец]])</f>
        <v>1</v>
      </c>
    </row>
    <row r="592" spans="3:16" x14ac:dyDescent="0.25">
      <c r="C592" s="614">
        <v>586</v>
      </c>
      <c r="D592" s="614">
        <v>12857</v>
      </c>
      <c r="E592" s="64" t="s">
        <v>1960</v>
      </c>
      <c r="F592" s="64" t="s">
        <v>5546</v>
      </c>
      <c r="G592" s="614" t="s">
        <v>626</v>
      </c>
      <c r="H592" s="614" t="s">
        <v>682</v>
      </c>
      <c r="I592" s="614" t="s">
        <v>1153</v>
      </c>
      <c r="J592" s="64" t="s">
        <v>3277</v>
      </c>
      <c r="K592" s="1940" t="s">
        <v>5543</v>
      </c>
      <c r="L592" s="1940" t="s">
        <v>8342</v>
      </c>
      <c r="M592" t="s">
        <v>11733</v>
      </c>
      <c r="N592" t="s">
        <v>10057</v>
      </c>
      <c r="O592" t="s">
        <v>5546</v>
      </c>
      <c r="P592" s="614">
        <f>COUNTIF(EducPlans_кодНАЦИД_Спец[аФакСец],EducPlans_кодНАЦИД_Спец[[#This Row],[аФакСец]])</f>
        <v>1</v>
      </c>
    </row>
    <row r="593" spans="3:16" x14ac:dyDescent="0.25">
      <c r="C593" s="614">
        <v>587</v>
      </c>
      <c r="D593" s="614">
        <v>12857</v>
      </c>
      <c r="E593" s="64" t="s">
        <v>1960</v>
      </c>
      <c r="F593" s="64" t="s">
        <v>5547</v>
      </c>
      <c r="G593" s="614" t="s">
        <v>626</v>
      </c>
      <c r="H593" s="614" t="s">
        <v>682</v>
      </c>
      <c r="I593" s="614" t="s">
        <v>1153</v>
      </c>
      <c r="J593" s="64" t="s">
        <v>3280</v>
      </c>
      <c r="K593" s="1940" t="s">
        <v>5543</v>
      </c>
      <c r="L593" s="1940" t="s">
        <v>8343</v>
      </c>
      <c r="M593" t="s">
        <v>11734</v>
      </c>
      <c r="N593" t="s">
        <v>10058</v>
      </c>
      <c r="O593" t="s">
        <v>5547</v>
      </c>
      <c r="P593" s="614">
        <f>COUNTIF(EducPlans_кодНАЦИД_Спец[аФакСец],EducPlans_кодНАЦИД_Спец[[#This Row],[аФакСец]])</f>
        <v>1</v>
      </c>
    </row>
    <row r="594" spans="3:16" x14ac:dyDescent="0.25">
      <c r="C594" s="614">
        <v>588</v>
      </c>
      <c r="D594" s="614">
        <v>12873</v>
      </c>
      <c r="E594" s="64" t="s">
        <v>1961</v>
      </c>
      <c r="F594" s="64" t="s">
        <v>5548</v>
      </c>
      <c r="G594" s="614" t="s">
        <v>626</v>
      </c>
      <c r="H594" s="614" t="s">
        <v>682</v>
      </c>
      <c r="I594" s="614" t="s">
        <v>1153</v>
      </c>
      <c r="J594" s="64" t="s">
        <v>3282</v>
      </c>
      <c r="K594" s="1940" t="s">
        <v>5549</v>
      </c>
      <c r="L594" s="1940" t="s">
        <v>8344</v>
      </c>
      <c r="M594" t="s">
        <v>11735</v>
      </c>
      <c r="N594" t="s">
        <v>10059</v>
      </c>
      <c r="O594" t="s">
        <v>5548</v>
      </c>
      <c r="P594" s="614">
        <f>COUNTIF(EducPlans_кодНАЦИД_Спец[аФакСец],EducPlans_кодНАЦИД_Спец[[#This Row],[аФакСец]])</f>
        <v>1</v>
      </c>
    </row>
    <row r="595" spans="3:16" x14ac:dyDescent="0.25">
      <c r="C595" s="614">
        <v>589</v>
      </c>
      <c r="D595" s="614">
        <v>12873</v>
      </c>
      <c r="E595" s="64" t="s">
        <v>1961</v>
      </c>
      <c r="F595" s="64" t="s">
        <v>5550</v>
      </c>
      <c r="G595" s="614" t="s">
        <v>626</v>
      </c>
      <c r="H595" s="614" t="s">
        <v>682</v>
      </c>
      <c r="I595" s="614" t="s">
        <v>1153</v>
      </c>
      <c r="J595" s="64" t="s">
        <v>3281</v>
      </c>
      <c r="K595" s="1940" t="s">
        <v>5549</v>
      </c>
      <c r="L595" s="1940" t="s">
        <v>8345</v>
      </c>
      <c r="M595" t="s">
        <v>11736</v>
      </c>
      <c r="N595" t="s">
        <v>10060</v>
      </c>
      <c r="O595" t="s">
        <v>5550</v>
      </c>
      <c r="P595" s="614">
        <f>COUNTIF(EducPlans_кодНАЦИД_Спец[аФакСец],EducPlans_кодНАЦИД_Спец[[#This Row],[аФакСец]])</f>
        <v>2</v>
      </c>
    </row>
    <row r="596" spans="3:16" x14ac:dyDescent="0.25">
      <c r="C596" s="614">
        <v>590</v>
      </c>
      <c r="D596" s="614">
        <v>12874</v>
      </c>
      <c r="E596" s="64" t="s">
        <v>1962</v>
      </c>
      <c r="F596" s="64" t="s">
        <v>5551</v>
      </c>
      <c r="G596" s="614" t="s">
        <v>626</v>
      </c>
      <c r="H596" s="614" t="s">
        <v>682</v>
      </c>
      <c r="I596" s="614" t="s">
        <v>1153</v>
      </c>
      <c r="J596" s="64" t="s">
        <v>3283</v>
      </c>
      <c r="K596" s="1940" t="s">
        <v>5552</v>
      </c>
      <c r="L596" s="1940" t="s">
        <v>8346</v>
      </c>
      <c r="M596" t="s">
        <v>11737</v>
      </c>
      <c r="N596" t="s">
        <v>10061</v>
      </c>
      <c r="O596" t="s">
        <v>5551</v>
      </c>
      <c r="P596" s="614">
        <f>COUNTIF(EducPlans_кодНАЦИД_Спец[аФакСец],EducPlans_кодНАЦИД_Спец[[#This Row],[аФакСец]])</f>
        <v>2</v>
      </c>
    </row>
    <row r="597" spans="3:16" x14ac:dyDescent="0.25">
      <c r="C597" s="614">
        <v>591</v>
      </c>
      <c r="D597" s="614">
        <v>12899</v>
      </c>
      <c r="E597" s="64" t="s">
        <v>1963</v>
      </c>
      <c r="F597" s="64" t="s">
        <v>5553</v>
      </c>
      <c r="G597" s="614" t="s">
        <v>626</v>
      </c>
      <c r="H597" s="614" t="s">
        <v>682</v>
      </c>
      <c r="I597" s="614" t="s">
        <v>1153</v>
      </c>
      <c r="J597" s="64" t="s">
        <v>3285</v>
      </c>
      <c r="K597" s="1940" t="s">
        <v>5554</v>
      </c>
      <c r="L597" s="1940" t="s">
        <v>8347</v>
      </c>
      <c r="M597" t="s">
        <v>11738</v>
      </c>
      <c r="N597" t="s">
        <v>10062</v>
      </c>
      <c r="O597" t="s">
        <v>5553</v>
      </c>
      <c r="P597" s="614">
        <f>COUNTIF(EducPlans_кодНАЦИД_Спец[аФакСец],EducPlans_кодНАЦИД_Спец[[#This Row],[аФакСец]])</f>
        <v>2</v>
      </c>
    </row>
    <row r="598" spans="3:16" x14ac:dyDescent="0.25">
      <c r="C598" s="614">
        <v>592</v>
      </c>
      <c r="D598" s="614">
        <v>12825</v>
      </c>
      <c r="E598" s="64" t="s">
        <v>1964</v>
      </c>
      <c r="F598" s="64" t="s">
        <v>5555</v>
      </c>
      <c r="G598" s="614" t="s">
        <v>626</v>
      </c>
      <c r="H598" s="614" t="s">
        <v>682</v>
      </c>
      <c r="I598" s="614" t="s">
        <v>1153</v>
      </c>
      <c r="J598" s="64" t="s">
        <v>3286</v>
      </c>
      <c r="K598" s="1940" t="s">
        <v>5556</v>
      </c>
      <c r="L598" s="1940" t="s">
        <v>8348</v>
      </c>
      <c r="M598" t="s">
        <v>11739</v>
      </c>
      <c r="N598" t="s">
        <v>10063</v>
      </c>
      <c r="O598" t="s">
        <v>5555</v>
      </c>
      <c r="P598" s="614">
        <f>COUNTIF(EducPlans_кодНАЦИД_Спец[аФакСец],EducPlans_кодНАЦИД_Спец[[#This Row],[аФакСец]])</f>
        <v>1</v>
      </c>
    </row>
    <row r="599" spans="3:16" x14ac:dyDescent="0.25">
      <c r="C599" s="614">
        <v>593</v>
      </c>
      <c r="D599" s="614">
        <v>12825</v>
      </c>
      <c r="E599" s="64" t="s">
        <v>1964</v>
      </c>
      <c r="F599" s="64" t="s">
        <v>5557</v>
      </c>
      <c r="G599" s="614" t="s">
        <v>626</v>
      </c>
      <c r="H599" s="614" t="s">
        <v>682</v>
      </c>
      <c r="I599" s="614" t="s">
        <v>1153</v>
      </c>
      <c r="J599" s="64" t="s">
        <v>3287</v>
      </c>
      <c r="K599" s="1940" t="s">
        <v>5556</v>
      </c>
      <c r="L599" s="1940" t="s">
        <v>8349</v>
      </c>
      <c r="M599" t="s">
        <v>11740</v>
      </c>
      <c r="N599" t="s">
        <v>10064</v>
      </c>
      <c r="O599" t="s">
        <v>5557</v>
      </c>
      <c r="P599" s="614">
        <f>COUNTIF(EducPlans_кодНАЦИД_Спец[аФакСец],EducPlans_кодНАЦИД_Спец[[#This Row],[аФакСец]])</f>
        <v>1</v>
      </c>
    </row>
    <row r="600" spans="3:16" x14ac:dyDescent="0.25">
      <c r="C600" s="614">
        <v>594</v>
      </c>
      <c r="D600" s="614">
        <v>12832</v>
      </c>
      <c r="E600" s="64" t="s">
        <v>1965</v>
      </c>
      <c r="F600" s="64" t="s">
        <v>5558</v>
      </c>
      <c r="G600" s="614" t="s">
        <v>626</v>
      </c>
      <c r="H600" s="614" t="s">
        <v>682</v>
      </c>
      <c r="I600" s="614" t="s">
        <v>1153</v>
      </c>
      <c r="J600" s="64" t="s">
        <v>3288</v>
      </c>
      <c r="K600" s="1940" t="s">
        <v>5559</v>
      </c>
      <c r="L600" s="1940" t="s">
        <v>8350</v>
      </c>
      <c r="M600" t="s">
        <v>11741</v>
      </c>
      <c r="N600" t="s">
        <v>10065</v>
      </c>
      <c r="O600" t="s">
        <v>5558</v>
      </c>
      <c r="P600" s="614">
        <f>COUNTIF(EducPlans_кодНАЦИД_Спец[аФакСец],EducPlans_кодНАЦИД_Спец[[#This Row],[аФакСец]])</f>
        <v>1</v>
      </c>
    </row>
    <row r="601" spans="3:16" x14ac:dyDescent="0.25">
      <c r="C601" s="614">
        <v>595</v>
      </c>
      <c r="D601" s="614">
        <v>12844</v>
      </c>
      <c r="E601" s="64" t="s">
        <v>1966</v>
      </c>
      <c r="F601" s="64" t="s">
        <v>5560</v>
      </c>
      <c r="G601" s="614" t="s">
        <v>626</v>
      </c>
      <c r="H601" s="614" t="s">
        <v>682</v>
      </c>
      <c r="I601" s="614" t="s">
        <v>1153</v>
      </c>
      <c r="J601" s="64" t="s">
        <v>3281</v>
      </c>
      <c r="K601" s="1940" t="s">
        <v>5561</v>
      </c>
      <c r="L601" s="1940" t="s">
        <v>8345</v>
      </c>
      <c r="M601" t="s">
        <v>11742</v>
      </c>
      <c r="N601" t="s">
        <v>10060</v>
      </c>
      <c r="O601" t="s">
        <v>5560</v>
      </c>
      <c r="P601" s="614">
        <f>COUNTIF(EducPlans_кодНАЦИД_Спец[аФакСец],EducPlans_кодНАЦИД_Спец[[#This Row],[аФакСец]])</f>
        <v>2</v>
      </c>
    </row>
    <row r="602" spans="3:16" x14ac:dyDescent="0.25">
      <c r="C602" s="614">
        <v>596</v>
      </c>
      <c r="D602" s="614">
        <v>12845</v>
      </c>
      <c r="E602" s="64" t="s">
        <v>1967</v>
      </c>
      <c r="F602" s="64" t="s">
        <v>5562</v>
      </c>
      <c r="G602" s="614" t="s">
        <v>626</v>
      </c>
      <c r="H602" s="614" t="s">
        <v>682</v>
      </c>
      <c r="I602" s="614" t="s">
        <v>1153</v>
      </c>
      <c r="J602" s="64" t="s">
        <v>3283</v>
      </c>
      <c r="K602" s="1940" t="s">
        <v>5563</v>
      </c>
      <c r="L602" s="1940" t="s">
        <v>8346</v>
      </c>
      <c r="M602" t="s">
        <v>11743</v>
      </c>
      <c r="N602" t="s">
        <v>10061</v>
      </c>
      <c r="O602" t="s">
        <v>5562</v>
      </c>
      <c r="P602" s="614">
        <f>COUNTIF(EducPlans_кодНАЦИД_Спец[аФакСец],EducPlans_кодНАЦИД_Спец[[#This Row],[аФакСец]])</f>
        <v>2</v>
      </c>
    </row>
    <row r="603" spans="3:16" x14ac:dyDescent="0.25">
      <c r="C603" s="614">
        <v>597</v>
      </c>
      <c r="D603" s="614">
        <v>12845</v>
      </c>
      <c r="E603" s="64" t="s">
        <v>1967</v>
      </c>
      <c r="F603" s="64" t="s">
        <v>5564</v>
      </c>
      <c r="G603" s="614" t="s">
        <v>626</v>
      </c>
      <c r="H603" s="614" t="s">
        <v>682</v>
      </c>
      <c r="I603" s="614" t="s">
        <v>1153</v>
      </c>
      <c r="J603" s="64" t="s">
        <v>3290</v>
      </c>
      <c r="K603" s="1940" t="s">
        <v>5563</v>
      </c>
      <c r="L603" s="1940" t="s">
        <v>8351</v>
      </c>
      <c r="M603" t="s">
        <v>11744</v>
      </c>
      <c r="N603" t="s">
        <v>10066</v>
      </c>
      <c r="O603" t="s">
        <v>5564</v>
      </c>
      <c r="P603" s="614">
        <f>COUNTIF(EducPlans_кодНАЦИД_Спец[аФакСец],EducPlans_кодНАЦИД_Спец[[#This Row],[аФакСец]])</f>
        <v>1</v>
      </c>
    </row>
    <row r="604" spans="3:16" x14ac:dyDescent="0.25">
      <c r="C604" s="614">
        <v>598</v>
      </c>
      <c r="D604" s="614">
        <v>12845</v>
      </c>
      <c r="E604" s="64" t="s">
        <v>1967</v>
      </c>
      <c r="F604" s="64" t="s">
        <v>5565</v>
      </c>
      <c r="G604" s="614" t="s">
        <v>626</v>
      </c>
      <c r="H604" s="614" t="s">
        <v>682</v>
      </c>
      <c r="I604" s="614" t="s">
        <v>1153</v>
      </c>
      <c r="J604" s="64" t="s">
        <v>3285</v>
      </c>
      <c r="K604" s="1940" t="s">
        <v>5563</v>
      </c>
      <c r="L604" s="1940" t="s">
        <v>8347</v>
      </c>
      <c r="M604" t="s">
        <v>11745</v>
      </c>
      <c r="N604" t="s">
        <v>10062</v>
      </c>
      <c r="O604" t="s">
        <v>5565</v>
      </c>
      <c r="P604" s="614">
        <f>COUNTIF(EducPlans_кодНАЦИД_Спец[аФакСец],EducPlans_кодНАЦИД_Спец[[#This Row],[аФакСец]])</f>
        <v>2</v>
      </c>
    </row>
    <row r="605" spans="3:16" x14ac:dyDescent="0.25">
      <c r="C605" s="614">
        <v>599</v>
      </c>
      <c r="D605" s="614">
        <v>12837</v>
      </c>
      <c r="E605" s="64" t="s">
        <v>1968</v>
      </c>
      <c r="F605" s="64" t="s">
        <v>5566</v>
      </c>
      <c r="G605" s="614" t="s">
        <v>626</v>
      </c>
      <c r="H605" s="614" t="s">
        <v>682</v>
      </c>
      <c r="I605" s="614" t="s">
        <v>1153</v>
      </c>
      <c r="J605" s="64" t="s">
        <v>3291</v>
      </c>
      <c r="K605" s="1940" t="s">
        <v>5567</v>
      </c>
      <c r="L605" s="1940" t="s">
        <v>8352</v>
      </c>
      <c r="M605" t="s">
        <v>11746</v>
      </c>
      <c r="N605" t="s">
        <v>10067</v>
      </c>
      <c r="O605" t="s">
        <v>5566</v>
      </c>
      <c r="P605" s="614">
        <f>COUNTIF(EducPlans_кодНАЦИД_Спец[аФакСец],EducPlans_кодНАЦИД_Спец[[#This Row],[аФакСец]])</f>
        <v>1</v>
      </c>
    </row>
    <row r="606" spans="3:16" x14ac:dyDescent="0.25">
      <c r="C606" s="614">
        <v>600</v>
      </c>
      <c r="D606" s="614">
        <v>12842</v>
      </c>
      <c r="E606" s="64" t="s">
        <v>1970</v>
      </c>
      <c r="F606" s="64" t="s">
        <v>5568</v>
      </c>
      <c r="G606" s="614" t="s">
        <v>626</v>
      </c>
      <c r="H606" s="614" t="s">
        <v>682</v>
      </c>
      <c r="I606" s="614" t="s">
        <v>1153</v>
      </c>
      <c r="J606" s="64" t="s">
        <v>3292</v>
      </c>
      <c r="K606" s="1940" t="s">
        <v>5569</v>
      </c>
      <c r="L606" s="1940" t="s">
        <v>8353</v>
      </c>
      <c r="M606" t="s">
        <v>11747</v>
      </c>
      <c r="N606" t="s">
        <v>10068</v>
      </c>
      <c r="O606" t="s">
        <v>5568</v>
      </c>
      <c r="P606" s="614">
        <f>COUNTIF(EducPlans_кодНАЦИД_Спец[аФакСец],EducPlans_кодНАЦИД_Спец[[#This Row],[аФакСец]])</f>
        <v>1</v>
      </c>
    </row>
    <row r="607" spans="3:16" x14ac:dyDescent="0.25">
      <c r="C607" s="614">
        <v>601</v>
      </c>
      <c r="D607" s="614">
        <v>12841</v>
      </c>
      <c r="E607" s="64" t="s">
        <v>1971</v>
      </c>
      <c r="F607" s="64" t="s">
        <v>5570</v>
      </c>
      <c r="G607" s="614" t="s">
        <v>626</v>
      </c>
      <c r="H607" s="614" t="s">
        <v>682</v>
      </c>
      <c r="I607" s="614" t="s">
        <v>1153</v>
      </c>
      <c r="J607" s="64" t="s">
        <v>3293</v>
      </c>
      <c r="K607" s="1940" t="s">
        <v>5571</v>
      </c>
      <c r="L607" s="1940" t="s">
        <v>8354</v>
      </c>
      <c r="M607" t="s">
        <v>11748</v>
      </c>
      <c r="N607" t="s">
        <v>10069</v>
      </c>
      <c r="O607" t="s">
        <v>5570</v>
      </c>
      <c r="P607" s="614">
        <f>COUNTIF(EducPlans_кодНАЦИД_Спец[аФакСец],EducPlans_кодНАЦИД_Спец[[#This Row],[аФакСец]])</f>
        <v>1</v>
      </c>
    </row>
    <row r="608" spans="3:16" x14ac:dyDescent="0.25">
      <c r="C608" s="614">
        <v>602</v>
      </c>
      <c r="D608" s="614">
        <v>12833</v>
      </c>
      <c r="E608" s="64" t="s">
        <v>1972</v>
      </c>
      <c r="F608" s="64" t="s">
        <v>5572</v>
      </c>
      <c r="G608" s="614" t="s">
        <v>626</v>
      </c>
      <c r="H608" s="614" t="s">
        <v>682</v>
      </c>
      <c r="I608" s="614" t="s">
        <v>1153</v>
      </c>
      <c r="J608" s="64" t="s">
        <v>3294</v>
      </c>
      <c r="K608" s="1940" t="s">
        <v>5573</v>
      </c>
      <c r="L608" s="1940" t="s">
        <v>8355</v>
      </c>
      <c r="M608" t="s">
        <v>11749</v>
      </c>
      <c r="N608" t="s">
        <v>10070</v>
      </c>
      <c r="O608" t="s">
        <v>5572</v>
      </c>
      <c r="P608" s="614">
        <f>COUNTIF(EducPlans_кодНАЦИД_Спец[аФакСец],EducPlans_кодНАЦИД_Спец[[#This Row],[аФакСец]])</f>
        <v>1</v>
      </c>
    </row>
    <row r="609" spans="3:16" x14ac:dyDescent="0.25">
      <c r="C609" s="614">
        <v>603</v>
      </c>
      <c r="D609" s="614">
        <v>12834</v>
      </c>
      <c r="E609" s="64" t="s">
        <v>1972</v>
      </c>
      <c r="F609" s="64" t="s">
        <v>5574</v>
      </c>
      <c r="G609" s="614" t="s">
        <v>626</v>
      </c>
      <c r="H609" s="614" t="s">
        <v>682</v>
      </c>
      <c r="I609" s="614" t="s">
        <v>1153</v>
      </c>
      <c r="J609" s="64" t="s">
        <v>3295</v>
      </c>
      <c r="K609" s="1940" t="s">
        <v>5575</v>
      </c>
      <c r="L609" s="1940" t="s">
        <v>8356</v>
      </c>
      <c r="M609" t="s">
        <v>11750</v>
      </c>
      <c r="N609" t="s">
        <v>10071</v>
      </c>
      <c r="O609" t="s">
        <v>5574</v>
      </c>
      <c r="P609" s="614">
        <f>COUNTIF(EducPlans_кодНАЦИД_Спец[аФакСец],EducPlans_кодНАЦИД_Спец[[#This Row],[аФакСец]])</f>
        <v>1</v>
      </c>
    </row>
    <row r="610" spans="3:16" x14ac:dyDescent="0.25">
      <c r="C610" s="614">
        <v>604</v>
      </c>
      <c r="D610" s="614">
        <v>288562</v>
      </c>
      <c r="E610" s="64" t="s">
        <v>1973</v>
      </c>
      <c r="F610" s="64" t="s">
        <v>5576</v>
      </c>
      <c r="G610" s="614" t="s">
        <v>626</v>
      </c>
      <c r="H610" s="614" t="s">
        <v>682</v>
      </c>
      <c r="I610" s="614" t="s">
        <v>1153</v>
      </c>
      <c r="J610" s="64" t="s">
        <v>5577</v>
      </c>
      <c r="K610" s="1940" t="s">
        <v>5578</v>
      </c>
      <c r="L610" s="1940" t="s">
        <v>8357</v>
      </c>
      <c r="M610" t="s">
        <v>11751</v>
      </c>
      <c r="N610" t="s">
        <v>10072</v>
      </c>
      <c r="O610" t="s">
        <v>5576</v>
      </c>
      <c r="P610" s="614">
        <f>COUNTIF(EducPlans_кодНАЦИД_Спец[аФакСец],EducPlans_кодНАЦИД_Спец[[#This Row],[аФакСец]])</f>
        <v>1</v>
      </c>
    </row>
    <row r="611" spans="3:16" x14ac:dyDescent="0.25">
      <c r="C611" s="614">
        <v>605</v>
      </c>
      <c r="D611" s="614">
        <v>288562</v>
      </c>
      <c r="E611" s="64" t="s">
        <v>1973</v>
      </c>
      <c r="F611" s="64" t="s">
        <v>5579</v>
      </c>
      <c r="G611" s="614" t="s">
        <v>626</v>
      </c>
      <c r="H611" s="614" t="s">
        <v>682</v>
      </c>
      <c r="I611" s="614" t="s">
        <v>1153</v>
      </c>
      <c r="J611" s="64" t="s">
        <v>3300</v>
      </c>
      <c r="K611" s="1940" t="s">
        <v>5578</v>
      </c>
      <c r="L611" s="1940" t="s">
        <v>8358</v>
      </c>
      <c r="M611" t="s">
        <v>11752</v>
      </c>
      <c r="N611" t="s">
        <v>10073</v>
      </c>
      <c r="O611" t="s">
        <v>5579</v>
      </c>
      <c r="P611" s="614">
        <f>COUNTIF(EducPlans_кодНАЦИД_Спец[аФакСец],EducPlans_кодНАЦИД_Спец[[#This Row],[аФакСец]])</f>
        <v>1</v>
      </c>
    </row>
    <row r="612" spans="3:16" x14ac:dyDescent="0.25">
      <c r="C612" s="614">
        <v>606</v>
      </c>
      <c r="D612" s="614">
        <v>286655</v>
      </c>
      <c r="E612" s="64" t="s">
        <v>1973</v>
      </c>
      <c r="F612" s="64" t="s">
        <v>5580</v>
      </c>
      <c r="G612" s="614" t="s">
        <v>626</v>
      </c>
      <c r="H612" s="614" t="s">
        <v>682</v>
      </c>
      <c r="I612" s="614" t="s">
        <v>1149</v>
      </c>
      <c r="J612" s="64" t="s">
        <v>3298</v>
      </c>
      <c r="K612" s="1940" t="s">
        <v>5581</v>
      </c>
      <c r="L612" s="1940" t="s">
        <v>8359</v>
      </c>
      <c r="M612" t="s">
        <v>11753</v>
      </c>
      <c r="N612" t="s">
        <v>10074</v>
      </c>
      <c r="O612" t="s">
        <v>5580</v>
      </c>
      <c r="P612" s="614">
        <f>COUNTIF(EducPlans_кодНАЦИД_Спец[аФакСец],EducPlans_кодНАЦИД_Спец[[#This Row],[аФакСец]])</f>
        <v>1</v>
      </c>
    </row>
    <row r="613" spans="3:16" x14ac:dyDescent="0.25">
      <c r="C613" s="614">
        <v>607</v>
      </c>
      <c r="D613" s="614">
        <v>286655</v>
      </c>
      <c r="E613" s="64" t="s">
        <v>1973</v>
      </c>
      <c r="F613" s="64" t="s">
        <v>5582</v>
      </c>
      <c r="G613" s="614" t="s">
        <v>626</v>
      </c>
      <c r="H613" s="614" t="s">
        <v>682</v>
      </c>
      <c r="I613" s="614" t="s">
        <v>1149</v>
      </c>
      <c r="J613" s="64" t="s">
        <v>3297</v>
      </c>
      <c r="K613" s="1940" t="s">
        <v>5581</v>
      </c>
      <c r="L613" s="1940" t="s">
        <v>8360</v>
      </c>
      <c r="M613" t="s">
        <v>11754</v>
      </c>
      <c r="N613" t="s">
        <v>10075</v>
      </c>
      <c r="O613" t="s">
        <v>5582</v>
      </c>
      <c r="P613" s="614">
        <f>COUNTIF(EducPlans_кодНАЦИД_Спец[аФакСец],EducPlans_кодНАЦИД_Спец[[#This Row],[аФакСец]])</f>
        <v>1</v>
      </c>
    </row>
    <row r="614" spans="3:16" x14ac:dyDescent="0.25">
      <c r="C614" s="614">
        <v>608</v>
      </c>
      <c r="D614" s="614">
        <v>12786</v>
      </c>
      <c r="E614" s="64" t="s">
        <v>1881</v>
      </c>
      <c r="F614" s="64" t="s">
        <v>5583</v>
      </c>
      <c r="G614" s="614" t="s">
        <v>626</v>
      </c>
      <c r="H614" s="614" t="s">
        <v>682</v>
      </c>
      <c r="I614" s="614" t="s">
        <v>1153</v>
      </c>
      <c r="J614" s="64" t="s">
        <v>3306</v>
      </c>
      <c r="K614" s="1940" t="s">
        <v>5584</v>
      </c>
      <c r="L614" s="1940" t="s">
        <v>8361</v>
      </c>
      <c r="M614" t="s">
        <v>11755</v>
      </c>
      <c r="N614" t="s">
        <v>10076</v>
      </c>
      <c r="O614" t="s">
        <v>5583</v>
      </c>
      <c r="P614" s="614">
        <f>COUNTIF(EducPlans_кодНАЦИД_Спец[аФакСец],EducPlans_кодНАЦИД_Спец[[#This Row],[аФакСец]])</f>
        <v>1</v>
      </c>
    </row>
    <row r="615" spans="3:16" x14ac:dyDescent="0.25">
      <c r="C615" s="614">
        <v>609</v>
      </c>
      <c r="D615" s="614">
        <v>12786</v>
      </c>
      <c r="E615" s="64" t="s">
        <v>1881</v>
      </c>
      <c r="F615" s="64" t="s">
        <v>5585</v>
      </c>
      <c r="G615" s="614" t="s">
        <v>626</v>
      </c>
      <c r="H615" s="614" t="s">
        <v>682</v>
      </c>
      <c r="I615" s="614" t="s">
        <v>1153</v>
      </c>
      <c r="J615" s="64" t="s">
        <v>3305</v>
      </c>
      <c r="K615" s="1940" t="s">
        <v>5584</v>
      </c>
      <c r="L615" s="1940" t="s">
        <v>8362</v>
      </c>
      <c r="M615" t="s">
        <v>11756</v>
      </c>
      <c r="N615" t="s">
        <v>10077</v>
      </c>
      <c r="O615" t="s">
        <v>5585</v>
      </c>
      <c r="P615" s="614">
        <f>COUNTIF(EducPlans_кодНАЦИД_Спец[аФакСец],EducPlans_кодНАЦИД_Спец[[#This Row],[аФакСец]])</f>
        <v>1</v>
      </c>
    </row>
    <row r="616" spans="3:16" x14ac:dyDescent="0.25">
      <c r="C616" s="614">
        <v>610</v>
      </c>
      <c r="D616" s="614">
        <v>12797</v>
      </c>
      <c r="E616" s="64" t="s">
        <v>1881</v>
      </c>
      <c r="F616" s="64" t="s">
        <v>5586</v>
      </c>
      <c r="G616" s="614" t="s">
        <v>626</v>
      </c>
      <c r="H616" s="614" t="s">
        <v>682</v>
      </c>
      <c r="I616" s="614" t="s">
        <v>1153</v>
      </c>
      <c r="J616" s="64" t="s">
        <v>3307</v>
      </c>
      <c r="K616" s="1940" t="s">
        <v>5587</v>
      </c>
      <c r="L616" s="1940" t="s">
        <v>8363</v>
      </c>
      <c r="M616" t="s">
        <v>11757</v>
      </c>
      <c r="N616" t="s">
        <v>10078</v>
      </c>
      <c r="O616" t="s">
        <v>5586</v>
      </c>
      <c r="P616" s="614">
        <f>COUNTIF(EducPlans_кодНАЦИД_Спец[аФакСец],EducPlans_кодНАЦИД_Спец[[#This Row],[аФакСец]])</f>
        <v>1</v>
      </c>
    </row>
    <row r="617" spans="3:16" x14ac:dyDescent="0.25">
      <c r="C617" s="614">
        <v>611</v>
      </c>
      <c r="D617" s="614">
        <v>12797</v>
      </c>
      <c r="E617" s="64" t="s">
        <v>1881</v>
      </c>
      <c r="F617" s="64" t="s">
        <v>5588</v>
      </c>
      <c r="G617" s="614" t="s">
        <v>626</v>
      </c>
      <c r="H617" s="614" t="s">
        <v>682</v>
      </c>
      <c r="I617" s="614" t="s">
        <v>1153</v>
      </c>
      <c r="J617" s="64" t="s">
        <v>3304</v>
      </c>
      <c r="K617" s="1940" t="s">
        <v>5587</v>
      </c>
      <c r="L617" s="1940" t="s">
        <v>8364</v>
      </c>
      <c r="M617" t="s">
        <v>11758</v>
      </c>
      <c r="N617" t="s">
        <v>10079</v>
      </c>
      <c r="O617" t="s">
        <v>5588</v>
      </c>
      <c r="P617" s="614">
        <f>COUNTIF(EducPlans_кодНАЦИД_Спец[аФакСец],EducPlans_кодНАЦИД_Спец[[#This Row],[аФакСец]])</f>
        <v>1</v>
      </c>
    </row>
    <row r="618" spans="3:16" x14ac:dyDescent="0.25">
      <c r="C618" s="614">
        <v>612</v>
      </c>
      <c r="D618" s="614">
        <v>12817</v>
      </c>
      <c r="E618" s="64" t="s">
        <v>1882</v>
      </c>
      <c r="F618" s="64" t="s">
        <v>5589</v>
      </c>
      <c r="G618" s="614" t="s">
        <v>626</v>
      </c>
      <c r="H618" s="614" t="s">
        <v>682</v>
      </c>
      <c r="I618" s="614" t="s">
        <v>1153</v>
      </c>
      <c r="J618" s="64" t="s">
        <v>3308</v>
      </c>
      <c r="K618" s="1940" t="s">
        <v>5590</v>
      </c>
      <c r="L618" s="1940" t="s">
        <v>8365</v>
      </c>
      <c r="M618" t="s">
        <v>11759</v>
      </c>
      <c r="N618" t="s">
        <v>10080</v>
      </c>
      <c r="O618" t="s">
        <v>5589</v>
      </c>
      <c r="P618" s="614">
        <f>COUNTIF(EducPlans_кодНАЦИД_Спец[аФакСец],EducPlans_кодНАЦИД_Спец[[#This Row],[аФакСец]])</f>
        <v>1</v>
      </c>
    </row>
    <row r="619" spans="3:16" x14ac:dyDescent="0.25">
      <c r="C619" s="614">
        <v>613</v>
      </c>
      <c r="D619" s="614">
        <v>12818</v>
      </c>
      <c r="E619" s="64" t="s">
        <v>1883</v>
      </c>
      <c r="F619" s="64" t="s">
        <v>5591</v>
      </c>
      <c r="G619" s="614" t="s">
        <v>626</v>
      </c>
      <c r="H619" s="614" t="s">
        <v>682</v>
      </c>
      <c r="I619" s="614" t="s">
        <v>1153</v>
      </c>
      <c r="J619" s="64" t="s">
        <v>3309</v>
      </c>
      <c r="K619" s="1940" t="s">
        <v>5592</v>
      </c>
      <c r="L619" s="1940" t="s">
        <v>8366</v>
      </c>
      <c r="M619" t="s">
        <v>11760</v>
      </c>
      <c r="N619" t="s">
        <v>10081</v>
      </c>
      <c r="O619" t="s">
        <v>5591</v>
      </c>
      <c r="P619" s="614">
        <f>COUNTIF(EducPlans_кодНАЦИД_Спец[аФакСец],EducPlans_кодНАЦИД_Спец[[#This Row],[аФакСец]])</f>
        <v>1</v>
      </c>
    </row>
    <row r="620" spans="3:16" x14ac:dyDescent="0.25">
      <c r="C620" s="614">
        <v>614</v>
      </c>
      <c r="D620" s="614">
        <v>12838</v>
      </c>
      <c r="E620" s="64" t="s">
        <v>1974</v>
      </c>
      <c r="F620" s="64" t="s">
        <v>5593</v>
      </c>
      <c r="G620" s="614" t="s">
        <v>626</v>
      </c>
      <c r="H620" s="614" t="s">
        <v>682</v>
      </c>
      <c r="I620" s="614" t="s">
        <v>1153</v>
      </c>
      <c r="J620" s="64" t="s">
        <v>3310</v>
      </c>
      <c r="K620" s="1940" t="s">
        <v>5594</v>
      </c>
      <c r="L620" s="1940" t="s">
        <v>8367</v>
      </c>
      <c r="M620" t="s">
        <v>11761</v>
      </c>
      <c r="N620" t="s">
        <v>10082</v>
      </c>
      <c r="O620" t="s">
        <v>5593</v>
      </c>
      <c r="P620" s="614">
        <f>COUNTIF(EducPlans_кодНАЦИД_Спец[аФакСец],EducPlans_кодНАЦИД_Спец[[#This Row],[аФакСец]])</f>
        <v>1</v>
      </c>
    </row>
    <row r="621" spans="3:16" x14ac:dyDescent="0.25">
      <c r="C621" s="614">
        <v>615</v>
      </c>
      <c r="D621" s="614">
        <v>12839</v>
      </c>
      <c r="E621" s="64" t="s">
        <v>1974</v>
      </c>
      <c r="F621" s="64" t="s">
        <v>5595</v>
      </c>
      <c r="G621" s="614" t="s">
        <v>626</v>
      </c>
      <c r="H621" s="614" t="s">
        <v>682</v>
      </c>
      <c r="I621" s="614" t="s">
        <v>1153</v>
      </c>
      <c r="J621" s="64" t="s">
        <v>3311</v>
      </c>
      <c r="K621" s="1940" t="s">
        <v>5596</v>
      </c>
      <c r="L621" s="1940" t="s">
        <v>8368</v>
      </c>
      <c r="M621" t="s">
        <v>11762</v>
      </c>
      <c r="N621" t="s">
        <v>10083</v>
      </c>
      <c r="O621" t="s">
        <v>5595</v>
      </c>
      <c r="P621" s="614">
        <f>COUNTIF(EducPlans_кодНАЦИД_Спец[аФакСец],EducPlans_кодНАЦИД_Спец[[#This Row],[аФакСец]])</f>
        <v>1</v>
      </c>
    </row>
    <row r="622" spans="3:16" x14ac:dyDescent="0.25">
      <c r="C622" s="614">
        <v>616</v>
      </c>
      <c r="D622" s="614">
        <v>12787</v>
      </c>
      <c r="E622" s="64" t="s">
        <v>1884</v>
      </c>
      <c r="F622" s="64" t="s">
        <v>5597</v>
      </c>
      <c r="G622" s="614" t="s">
        <v>626</v>
      </c>
      <c r="H622" s="614" t="s">
        <v>682</v>
      </c>
      <c r="I622" s="614" t="s">
        <v>1153</v>
      </c>
      <c r="J622" s="64" t="s">
        <v>3313</v>
      </c>
      <c r="K622" s="1940" t="s">
        <v>5598</v>
      </c>
      <c r="L622" s="1940" t="s">
        <v>8369</v>
      </c>
      <c r="M622" t="s">
        <v>11763</v>
      </c>
      <c r="N622" t="s">
        <v>10084</v>
      </c>
      <c r="O622" t="s">
        <v>5597</v>
      </c>
      <c r="P622" s="614">
        <f>COUNTIF(EducPlans_кодНАЦИД_Спец[аФакСец],EducPlans_кодНАЦИД_Спец[[#This Row],[аФакСец]])</f>
        <v>1</v>
      </c>
    </row>
    <row r="623" spans="3:16" x14ac:dyDescent="0.25">
      <c r="C623" s="614">
        <v>617</v>
      </c>
      <c r="D623" s="614">
        <v>12787</v>
      </c>
      <c r="E623" s="64" t="s">
        <v>1884</v>
      </c>
      <c r="F623" s="64" t="s">
        <v>5599</v>
      </c>
      <c r="G623" s="614" t="s">
        <v>626</v>
      </c>
      <c r="H623" s="614" t="s">
        <v>682</v>
      </c>
      <c r="I623" s="614" t="s">
        <v>1153</v>
      </c>
      <c r="J623" s="64" t="s">
        <v>3312</v>
      </c>
      <c r="K623" s="1940" t="s">
        <v>5598</v>
      </c>
      <c r="L623" s="1940" t="s">
        <v>8370</v>
      </c>
      <c r="M623" t="s">
        <v>11764</v>
      </c>
      <c r="N623" t="s">
        <v>10085</v>
      </c>
      <c r="O623" t="s">
        <v>5599</v>
      </c>
      <c r="P623" s="614">
        <f>COUNTIF(EducPlans_кодНАЦИД_Спец[аФакСец],EducPlans_кодНАЦИД_Спец[[#This Row],[аФакСец]])</f>
        <v>1</v>
      </c>
    </row>
    <row r="624" spans="3:16" x14ac:dyDescent="0.25">
      <c r="C624" s="614">
        <v>618</v>
      </c>
      <c r="D624" s="614">
        <v>12794</v>
      </c>
      <c r="E624" s="64" t="s">
        <v>1884</v>
      </c>
      <c r="F624" s="64" t="s">
        <v>5600</v>
      </c>
      <c r="G624" s="614" t="s">
        <v>626</v>
      </c>
      <c r="H624" s="614" t="s">
        <v>682</v>
      </c>
      <c r="I624" s="614" t="s">
        <v>1153</v>
      </c>
      <c r="J624" s="64" t="s">
        <v>3317</v>
      </c>
      <c r="K624" s="1940" t="s">
        <v>5601</v>
      </c>
      <c r="L624" s="1940" t="s">
        <v>8371</v>
      </c>
      <c r="M624" t="s">
        <v>11765</v>
      </c>
      <c r="N624" t="s">
        <v>10086</v>
      </c>
      <c r="O624" t="s">
        <v>5600</v>
      </c>
      <c r="P624" s="614">
        <f>COUNTIF(EducPlans_кодНАЦИД_Спец[аФакСец],EducPlans_кодНАЦИД_Спец[[#This Row],[аФакСец]])</f>
        <v>1</v>
      </c>
    </row>
    <row r="625" spans="3:16" x14ac:dyDescent="0.25">
      <c r="C625" s="614">
        <v>619</v>
      </c>
      <c r="D625" s="614">
        <v>12794</v>
      </c>
      <c r="E625" s="64" t="s">
        <v>1884</v>
      </c>
      <c r="F625" s="64" t="s">
        <v>5602</v>
      </c>
      <c r="G625" s="614" t="s">
        <v>626</v>
      </c>
      <c r="H625" s="614" t="s">
        <v>682</v>
      </c>
      <c r="I625" s="614" t="s">
        <v>1153</v>
      </c>
      <c r="J625" s="64" t="s">
        <v>3318</v>
      </c>
      <c r="K625" s="1940" t="s">
        <v>5601</v>
      </c>
      <c r="L625" s="1940" t="s">
        <v>8372</v>
      </c>
      <c r="M625" t="s">
        <v>11766</v>
      </c>
      <c r="N625" t="s">
        <v>10087</v>
      </c>
      <c r="O625" t="s">
        <v>5602</v>
      </c>
      <c r="P625" s="614">
        <f>COUNTIF(EducPlans_кодНАЦИД_Спец[аФакСец],EducPlans_кодНАЦИД_Спец[[#This Row],[аФакСец]])</f>
        <v>1</v>
      </c>
    </row>
    <row r="626" spans="3:16" x14ac:dyDescent="0.25">
      <c r="C626" s="614">
        <v>620</v>
      </c>
      <c r="D626" s="614">
        <v>12794</v>
      </c>
      <c r="E626" s="64" t="s">
        <v>1884</v>
      </c>
      <c r="F626" s="64" t="s">
        <v>5603</v>
      </c>
      <c r="G626" s="614" t="s">
        <v>626</v>
      </c>
      <c r="H626" s="614" t="s">
        <v>682</v>
      </c>
      <c r="I626" s="614" t="s">
        <v>1153</v>
      </c>
      <c r="J626" s="64" t="s">
        <v>3316</v>
      </c>
      <c r="K626" s="1940" t="s">
        <v>5601</v>
      </c>
      <c r="L626" s="1940" t="s">
        <v>8373</v>
      </c>
      <c r="M626" t="s">
        <v>11767</v>
      </c>
      <c r="N626" t="s">
        <v>10088</v>
      </c>
      <c r="O626" t="s">
        <v>5603</v>
      </c>
      <c r="P626" s="614">
        <f>COUNTIF(EducPlans_кодНАЦИД_Спец[аФакСец],EducPlans_кодНАЦИД_Спец[[#This Row],[аФакСец]])</f>
        <v>1</v>
      </c>
    </row>
    <row r="627" spans="3:16" x14ac:dyDescent="0.25">
      <c r="C627" s="614">
        <v>621</v>
      </c>
      <c r="D627" s="614">
        <v>12794</v>
      </c>
      <c r="E627" s="64" t="s">
        <v>1884</v>
      </c>
      <c r="F627" s="64" t="s">
        <v>5604</v>
      </c>
      <c r="G627" s="614" t="s">
        <v>626</v>
      </c>
      <c r="H627" s="614" t="s">
        <v>682</v>
      </c>
      <c r="I627" s="614" t="s">
        <v>1153</v>
      </c>
      <c r="J627" s="64" t="s">
        <v>3315</v>
      </c>
      <c r="K627" s="1940" t="s">
        <v>5601</v>
      </c>
      <c r="L627" s="1940" t="s">
        <v>8374</v>
      </c>
      <c r="M627" t="s">
        <v>11768</v>
      </c>
      <c r="N627" t="s">
        <v>10089</v>
      </c>
      <c r="O627" t="s">
        <v>5604</v>
      </c>
      <c r="P627" s="614">
        <f>COUNTIF(EducPlans_кодНАЦИД_Спец[аФакСец],EducPlans_кодНАЦИД_Спец[[#This Row],[аФакСец]])</f>
        <v>1</v>
      </c>
    </row>
    <row r="628" spans="3:16" x14ac:dyDescent="0.25">
      <c r="C628" s="614">
        <v>622</v>
      </c>
      <c r="D628" s="614">
        <v>12816</v>
      </c>
      <c r="E628" s="64" t="s">
        <v>1885</v>
      </c>
      <c r="F628" s="64" t="s">
        <v>5605</v>
      </c>
      <c r="G628" s="614" t="s">
        <v>626</v>
      </c>
      <c r="H628" s="614" t="s">
        <v>682</v>
      </c>
      <c r="I628" s="614" t="s">
        <v>1153</v>
      </c>
      <c r="J628" s="64" t="s">
        <v>3319</v>
      </c>
      <c r="K628" s="1940" t="s">
        <v>5606</v>
      </c>
      <c r="L628" s="1940" t="s">
        <v>8375</v>
      </c>
      <c r="M628" t="s">
        <v>11769</v>
      </c>
      <c r="N628" t="s">
        <v>10090</v>
      </c>
      <c r="O628" t="s">
        <v>5605</v>
      </c>
      <c r="P628" s="614">
        <f>COUNTIF(EducPlans_кодНАЦИД_Спец[аФакСец],EducPlans_кодНАЦИД_Спец[[#This Row],[аФакСец]])</f>
        <v>1</v>
      </c>
    </row>
    <row r="629" spans="3:16" x14ac:dyDescent="0.25">
      <c r="C629" s="614">
        <v>623</v>
      </c>
      <c r="D629" s="614">
        <v>1074814</v>
      </c>
      <c r="E629" s="64" t="s">
        <v>1975</v>
      </c>
      <c r="F629" s="64" t="s">
        <v>13444</v>
      </c>
      <c r="G629" s="614" t="s">
        <v>626</v>
      </c>
      <c r="H629" s="614" t="s">
        <v>681</v>
      </c>
      <c r="I629" s="614" t="s">
        <v>1153</v>
      </c>
      <c r="J629" s="64" t="s">
        <v>3321</v>
      </c>
      <c r="K629" s="1940" t="s">
        <v>5607</v>
      </c>
      <c r="L629" s="1940" t="s">
        <v>8376</v>
      </c>
      <c r="M629" t="s">
        <v>11770</v>
      </c>
      <c r="N629" t="s">
        <v>10091</v>
      </c>
      <c r="O629" t="s">
        <v>13444</v>
      </c>
      <c r="P629" s="614">
        <f>COUNTIF(EducPlans_кодНАЦИД_Спец[аФакСец],EducPlans_кодНАЦИД_Спец[[#This Row],[аФакСец]])</f>
        <v>1</v>
      </c>
    </row>
    <row r="630" spans="3:16" x14ac:dyDescent="0.25">
      <c r="C630" s="614">
        <v>624</v>
      </c>
      <c r="D630" s="614">
        <v>1074814</v>
      </c>
      <c r="E630" s="64" t="s">
        <v>1975</v>
      </c>
      <c r="F630" s="64" t="s">
        <v>13445</v>
      </c>
      <c r="G630" s="614" t="s">
        <v>626</v>
      </c>
      <c r="H630" s="614" t="s">
        <v>681</v>
      </c>
      <c r="I630" s="614" t="s">
        <v>1153</v>
      </c>
      <c r="J630" s="64" t="s">
        <v>3320</v>
      </c>
      <c r="K630" s="1940" t="s">
        <v>5607</v>
      </c>
      <c r="L630" s="1940" t="s">
        <v>8377</v>
      </c>
      <c r="M630" t="s">
        <v>11771</v>
      </c>
      <c r="N630" t="s">
        <v>10092</v>
      </c>
      <c r="O630" t="s">
        <v>13445</v>
      </c>
      <c r="P630" s="614">
        <f>COUNTIF(EducPlans_кодНАЦИД_Спец[аФакСец],EducPlans_кодНАЦИД_Спец[[#This Row],[аФакСец]])</f>
        <v>1</v>
      </c>
    </row>
    <row r="631" spans="3:16" x14ac:dyDescent="0.25">
      <c r="C631" s="614">
        <v>625</v>
      </c>
      <c r="D631" s="614">
        <v>12775</v>
      </c>
      <c r="E631" s="64" t="s">
        <v>1975</v>
      </c>
      <c r="F631" s="64" t="s">
        <v>5608</v>
      </c>
      <c r="G631" s="614" t="s">
        <v>626</v>
      </c>
      <c r="H631" s="614" t="s">
        <v>681</v>
      </c>
      <c r="I631" s="614" t="s">
        <v>1153</v>
      </c>
      <c r="J631" s="64" t="s">
        <v>3322</v>
      </c>
      <c r="K631" s="1940" t="s">
        <v>5607</v>
      </c>
      <c r="L631" s="1940" t="s">
        <v>8378</v>
      </c>
      <c r="M631" t="s">
        <v>11772</v>
      </c>
      <c r="N631" t="s">
        <v>10093</v>
      </c>
      <c r="O631" t="s">
        <v>5608</v>
      </c>
      <c r="P631" s="614">
        <f>COUNTIF(EducPlans_кодНАЦИД_Спец[аФакСец],EducPlans_кодНАЦИД_Спец[[#This Row],[аФакСец]])</f>
        <v>1</v>
      </c>
    </row>
    <row r="632" spans="3:16" x14ac:dyDescent="0.25">
      <c r="C632" s="614">
        <v>626</v>
      </c>
      <c r="D632" s="614">
        <v>12897</v>
      </c>
      <c r="E632" s="64" t="s">
        <v>1975</v>
      </c>
      <c r="F632" s="64" t="s">
        <v>13446</v>
      </c>
      <c r="G632" s="614" t="s">
        <v>626</v>
      </c>
      <c r="H632" s="614" t="s">
        <v>682</v>
      </c>
      <c r="I632" s="614" t="s">
        <v>1149</v>
      </c>
      <c r="J632" s="64" t="s">
        <v>3328</v>
      </c>
      <c r="K632" s="1940" t="s">
        <v>13447</v>
      </c>
      <c r="L632" s="1940" t="s">
        <v>8383</v>
      </c>
      <c r="M632" t="s">
        <v>13448</v>
      </c>
      <c r="N632" t="s">
        <v>10098</v>
      </c>
      <c r="O632" t="s">
        <v>13446</v>
      </c>
      <c r="P632" s="614">
        <f>COUNTIF(EducPlans_кодНАЦИД_Спец[аФакСец],EducPlans_кодНАЦИД_Спец[[#This Row],[аФакСец]])</f>
        <v>1</v>
      </c>
    </row>
    <row r="633" spans="3:16" x14ac:dyDescent="0.25">
      <c r="C633" s="614">
        <v>627</v>
      </c>
      <c r="D633" s="614">
        <v>12897</v>
      </c>
      <c r="E633" s="64" t="s">
        <v>1975</v>
      </c>
      <c r="F633" s="64" t="s">
        <v>13449</v>
      </c>
      <c r="G633" s="614" t="s">
        <v>626</v>
      </c>
      <c r="H633" s="614" t="s">
        <v>682</v>
      </c>
      <c r="I633" s="614" t="s">
        <v>1149</v>
      </c>
      <c r="J633" s="64" t="s">
        <v>3327</v>
      </c>
      <c r="K633" s="1940" t="s">
        <v>13447</v>
      </c>
      <c r="L633" s="1940" t="s">
        <v>8384</v>
      </c>
      <c r="M633" t="s">
        <v>13450</v>
      </c>
      <c r="N633" t="s">
        <v>10099</v>
      </c>
      <c r="O633" t="s">
        <v>13449</v>
      </c>
      <c r="P633" s="614">
        <f>COUNTIF(EducPlans_кодНАЦИД_Спец[аФакСец],EducPlans_кодНАЦИД_Спец[[#This Row],[аФакСец]])</f>
        <v>1</v>
      </c>
    </row>
    <row r="634" spans="3:16" x14ac:dyDescent="0.25">
      <c r="C634" s="614">
        <v>628</v>
      </c>
      <c r="D634" s="614">
        <v>12897</v>
      </c>
      <c r="E634" s="64" t="s">
        <v>1975</v>
      </c>
      <c r="F634" s="64" t="s">
        <v>13451</v>
      </c>
      <c r="G634" s="614" t="s">
        <v>626</v>
      </c>
      <c r="H634" s="614" t="s">
        <v>682</v>
      </c>
      <c r="I634" s="614" t="s">
        <v>1149</v>
      </c>
      <c r="J634" s="64" t="s">
        <v>3329</v>
      </c>
      <c r="K634" s="1940" t="s">
        <v>13447</v>
      </c>
      <c r="L634" s="1940" t="s">
        <v>8385</v>
      </c>
      <c r="M634" t="s">
        <v>13452</v>
      </c>
      <c r="N634" t="s">
        <v>10100</v>
      </c>
      <c r="O634" t="s">
        <v>13451</v>
      </c>
      <c r="P634" s="614">
        <f>COUNTIF(EducPlans_кодНАЦИД_Спец[аФакСец],EducPlans_кодНАЦИД_Спец[[#This Row],[аФакСец]])</f>
        <v>1</v>
      </c>
    </row>
    <row r="635" spans="3:16" x14ac:dyDescent="0.25">
      <c r="C635" s="614">
        <v>629</v>
      </c>
      <c r="D635" s="614">
        <v>12897</v>
      </c>
      <c r="E635" s="64" t="s">
        <v>1975</v>
      </c>
      <c r="F635" s="64" t="s">
        <v>13453</v>
      </c>
      <c r="G635" s="614" t="s">
        <v>626</v>
      </c>
      <c r="H635" s="614" t="s">
        <v>682</v>
      </c>
      <c r="I635" s="614" t="s">
        <v>1149</v>
      </c>
      <c r="J635" s="64" t="s">
        <v>3326</v>
      </c>
      <c r="K635" s="1940" t="s">
        <v>13447</v>
      </c>
      <c r="L635" s="1940" t="s">
        <v>8386</v>
      </c>
      <c r="M635" t="s">
        <v>13454</v>
      </c>
      <c r="N635" t="s">
        <v>10101</v>
      </c>
      <c r="O635" t="s">
        <v>13453</v>
      </c>
      <c r="P635" s="614">
        <f>COUNTIF(EducPlans_кодНАЦИД_Спец[аФакСец],EducPlans_кодНАЦИД_Спец[[#This Row],[аФакСец]])</f>
        <v>1</v>
      </c>
    </row>
    <row r="636" spans="3:16" x14ac:dyDescent="0.25">
      <c r="C636" s="614">
        <v>630</v>
      </c>
      <c r="D636" s="614">
        <v>12897</v>
      </c>
      <c r="E636" s="64" t="s">
        <v>1975</v>
      </c>
      <c r="F636" s="64" t="s">
        <v>13455</v>
      </c>
      <c r="G636" s="614" t="s">
        <v>626</v>
      </c>
      <c r="H636" s="614" t="s">
        <v>682</v>
      </c>
      <c r="I636" s="614" t="s">
        <v>1149</v>
      </c>
      <c r="J636" s="64" t="s">
        <v>3325</v>
      </c>
      <c r="K636" s="1940" t="s">
        <v>13447</v>
      </c>
      <c r="L636" s="1940" t="s">
        <v>8387</v>
      </c>
      <c r="M636" t="s">
        <v>13456</v>
      </c>
      <c r="N636" t="s">
        <v>10102</v>
      </c>
      <c r="O636" t="s">
        <v>13455</v>
      </c>
      <c r="P636" s="614">
        <f>COUNTIF(EducPlans_кодНАЦИД_Спец[аФакСец],EducPlans_кодНАЦИД_Спец[[#This Row],[аФакСец]])</f>
        <v>1</v>
      </c>
    </row>
    <row r="637" spans="3:16" x14ac:dyDescent="0.25">
      <c r="C637" s="614">
        <v>631</v>
      </c>
      <c r="D637" s="614">
        <v>12897</v>
      </c>
      <c r="E637" s="64" t="s">
        <v>1975</v>
      </c>
      <c r="F637" s="64" t="s">
        <v>13457</v>
      </c>
      <c r="G637" s="614" t="s">
        <v>626</v>
      </c>
      <c r="H637" s="614" t="s">
        <v>682</v>
      </c>
      <c r="I637" s="614" t="s">
        <v>1149</v>
      </c>
      <c r="J637" s="64" t="s">
        <v>3324</v>
      </c>
      <c r="K637" s="1940" t="s">
        <v>13447</v>
      </c>
      <c r="L637" s="1940" t="s">
        <v>8388</v>
      </c>
      <c r="M637" t="s">
        <v>13458</v>
      </c>
      <c r="N637" t="s">
        <v>10103</v>
      </c>
      <c r="O637" t="s">
        <v>13457</v>
      </c>
      <c r="P637" s="614">
        <f>COUNTIF(EducPlans_кодНАЦИД_Спец[аФакСец],EducPlans_кодНАЦИД_Спец[[#This Row],[аФакСец]])</f>
        <v>1</v>
      </c>
    </row>
    <row r="638" spans="3:16" x14ac:dyDescent="0.25">
      <c r="C638" s="614">
        <v>632</v>
      </c>
      <c r="D638" s="614">
        <v>12895</v>
      </c>
      <c r="E638" s="64" t="s">
        <v>1976</v>
      </c>
      <c r="F638" s="64" t="s">
        <v>5609</v>
      </c>
      <c r="G638" s="614" t="s">
        <v>626</v>
      </c>
      <c r="H638" s="614" t="s">
        <v>682</v>
      </c>
      <c r="I638" s="614" t="s">
        <v>1153</v>
      </c>
      <c r="J638" s="64" t="s">
        <v>3331</v>
      </c>
      <c r="K638" s="1940" t="s">
        <v>5610</v>
      </c>
      <c r="L638" s="1940" t="s">
        <v>8379</v>
      </c>
      <c r="M638" t="s">
        <v>11773</v>
      </c>
      <c r="N638" t="s">
        <v>10094</v>
      </c>
      <c r="O638" t="s">
        <v>5609</v>
      </c>
      <c r="P638" s="614">
        <f>COUNTIF(EducPlans_кодНАЦИД_Спец[аФакСец],EducPlans_кодНАЦИД_Спец[[#This Row],[аФакСец]])</f>
        <v>1</v>
      </c>
    </row>
    <row r="639" spans="3:16" x14ac:dyDescent="0.25">
      <c r="C639" s="614">
        <v>633</v>
      </c>
      <c r="D639" s="614">
        <v>12895</v>
      </c>
      <c r="E639" s="64" t="s">
        <v>1976</v>
      </c>
      <c r="F639" s="64" t="s">
        <v>5611</v>
      </c>
      <c r="G639" s="614" t="s">
        <v>626</v>
      </c>
      <c r="H639" s="614" t="s">
        <v>682</v>
      </c>
      <c r="I639" s="614" t="s">
        <v>1153</v>
      </c>
      <c r="J639" s="64" t="s">
        <v>3332</v>
      </c>
      <c r="K639" s="1940" t="s">
        <v>5610</v>
      </c>
      <c r="L639" s="1940" t="s">
        <v>8380</v>
      </c>
      <c r="M639" t="s">
        <v>11774</v>
      </c>
      <c r="N639" t="s">
        <v>10095</v>
      </c>
      <c r="O639" t="s">
        <v>5611</v>
      </c>
      <c r="P639" s="614">
        <f>COUNTIF(EducPlans_кодНАЦИД_Спец[аФакСец],EducPlans_кодНАЦИД_Спец[[#This Row],[аФакСец]])</f>
        <v>1</v>
      </c>
    </row>
    <row r="640" spans="3:16" x14ac:dyDescent="0.25">
      <c r="C640" s="614">
        <v>634</v>
      </c>
      <c r="D640" s="614">
        <v>12895</v>
      </c>
      <c r="E640" s="64" t="s">
        <v>1976</v>
      </c>
      <c r="F640" s="64" t="s">
        <v>5612</v>
      </c>
      <c r="G640" s="614" t="s">
        <v>626</v>
      </c>
      <c r="H640" s="614" t="s">
        <v>682</v>
      </c>
      <c r="I640" s="614" t="s">
        <v>1153</v>
      </c>
      <c r="J640" s="64" t="s">
        <v>3330</v>
      </c>
      <c r="K640" s="1940" t="s">
        <v>5610</v>
      </c>
      <c r="L640" s="1940" t="s">
        <v>8381</v>
      </c>
      <c r="M640" t="s">
        <v>11775</v>
      </c>
      <c r="N640" t="s">
        <v>10096</v>
      </c>
      <c r="O640" t="s">
        <v>5612</v>
      </c>
      <c r="P640" s="614">
        <f>COUNTIF(EducPlans_кодНАЦИД_Спец[аФакСец],EducPlans_кодНАЦИД_Спец[[#This Row],[аФакСец]])</f>
        <v>1</v>
      </c>
    </row>
    <row r="641" spans="3:16" x14ac:dyDescent="0.25">
      <c r="C641" s="614">
        <v>635</v>
      </c>
      <c r="D641" s="614">
        <v>12895</v>
      </c>
      <c r="E641" s="64" t="s">
        <v>1976</v>
      </c>
      <c r="F641" s="64" t="s">
        <v>5613</v>
      </c>
      <c r="G641" s="614" t="s">
        <v>626</v>
      </c>
      <c r="H641" s="614" t="s">
        <v>682</v>
      </c>
      <c r="I641" s="614" t="s">
        <v>1153</v>
      </c>
      <c r="J641" s="64" t="s">
        <v>3333</v>
      </c>
      <c r="K641" s="1940" t="s">
        <v>5610</v>
      </c>
      <c r="L641" s="1940" t="s">
        <v>8382</v>
      </c>
      <c r="M641" t="s">
        <v>11776</v>
      </c>
      <c r="N641" t="s">
        <v>10097</v>
      </c>
      <c r="O641" t="s">
        <v>5613</v>
      </c>
      <c r="P641" s="614">
        <f>COUNTIF(EducPlans_кодНАЦИД_Спец[аФакСец],EducPlans_кодНАЦИД_Спец[[#This Row],[аФакСец]])</f>
        <v>1</v>
      </c>
    </row>
    <row r="642" spans="3:16" x14ac:dyDescent="0.25">
      <c r="C642" s="614">
        <v>636</v>
      </c>
      <c r="D642" s="614">
        <v>12826</v>
      </c>
      <c r="E642" s="64" t="s">
        <v>1991</v>
      </c>
      <c r="F642" s="64" t="s">
        <v>5614</v>
      </c>
      <c r="G642" s="614" t="s">
        <v>626</v>
      </c>
      <c r="H642" s="614" t="s">
        <v>682</v>
      </c>
      <c r="I642" s="614" t="s">
        <v>1153</v>
      </c>
      <c r="J642" s="64" t="s">
        <v>3334</v>
      </c>
      <c r="K642" s="1940" t="s">
        <v>5615</v>
      </c>
      <c r="L642" s="1940" t="s">
        <v>8389</v>
      </c>
      <c r="M642" t="s">
        <v>11777</v>
      </c>
      <c r="N642" t="s">
        <v>10104</v>
      </c>
      <c r="O642" t="s">
        <v>5614</v>
      </c>
      <c r="P642" s="614">
        <f>COUNTIF(EducPlans_кодНАЦИД_Спец[аФакСец],EducPlans_кодНАЦИД_Спец[[#This Row],[аФакСец]])</f>
        <v>1</v>
      </c>
    </row>
    <row r="643" spans="3:16" x14ac:dyDescent="0.25">
      <c r="C643" s="614">
        <v>637</v>
      </c>
      <c r="D643" s="614">
        <v>12827</v>
      </c>
      <c r="E643" s="64" t="s">
        <v>1991</v>
      </c>
      <c r="F643" s="64" t="s">
        <v>5616</v>
      </c>
      <c r="G643" s="614" t="s">
        <v>626</v>
      </c>
      <c r="H643" s="614" t="s">
        <v>682</v>
      </c>
      <c r="I643" s="614" t="s">
        <v>1153</v>
      </c>
      <c r="J643" s="64" t="s">
        <v>3335</v>
      </c>
      <c r="K643" s="1940" t="s">
        <v>5617</v>
      </c>
      <c r="L643" s="1940" t="s">
        <v>8390</v>
      </c>
      <c r="M643" t="s">
        <v>11778</v>
      </c>
      <c r="N643" t="s">
        <v>10105</v>
      </c>
      <c r="O643" t="s">
        <v>5616</v>
      </c>
      <c r="P643" s="614">
        <f>COUNTIF(EducPlans_кодНАЦИД_Спец[аФакСец],EducPlans_кодНАЦИД_Спец[[#This Row],[аФакСец]])</f>
        <v>1</v>
      </c>
    </row>
    <row r="644" spans="3:16" x14ac:dyDescent="0.25">
      <c r="C644" s="614">
        <v>638</v>
      </c>
      <c r="D644" s="614">
        <v>12473</v>
      </c>
      <c r="E644" s="64" t="s">
        <v>2269</v>
      </c>
      <c r="F644" s="64" t="s">
        <v>5618</v>
      </c>
      <c r="G644" s="614" t="s">
        <v>50</v>
      </c>
      <c r="H644" s="614" t="s">
        <v>682</v>
      </c>
      <c r="I644" s="614" t="s">
        <v>1153</v>
      </c>
      <c r="J644" s="64" t="s">
        <v>3005</v>
      </c>
      <c r="K644" s="1940" t="s">
        <v>5619</v>
      </c>
      <c r="L644" s="1940" t="s">
        <v>8391</v>
      </c>
      <c r="M644" t="s">
        <v>11779</v>
      </c>
      <c r="N644" t="s">
        <v>10106</v>
      </c>
      <c r="O644" t="s">
        <v>5618</v>
      </c>
      <c r="P644" s="614">
        <f>COUNTIF(EducPlans_кодНАЦИД_Спец[аФакСец],EducPlans_кодНАЦИД_Спец[[#This Row],[аФакСец]])</f>
        <v>1</v>
      </c>
    </row>
    <row r="645" spans="3:16" x14ac:dyDescent="0.25">
      <c r="C645" s="614">
        <v>639</v>
      </c>
      <c r="D645" s="614">
        <v>11633</v>
      </c>
      <c r="E645" s="64" t="s">
        <v>4571</v>
      </c>
      <c r="F645" s="64" t="s">
        <v>5620</v>
      </c>
      <c r="G645" s="614" t="s">
        <v>33</v>
      </c>
      <c r="H645" s="614" t="s">
        <v>682</v>
      </c>
      <c r="I645" s="614" t="s">
        <v>1153</v>
      </c>
      <c r="J645" s="64" t="s">
        <v>3540</v>
      </c>
      <c r="K645" s="1940" t="s">
        <v>5621</v>
      </c>
      <c r="L645" s="1940" t="s">
        <v>8392</v>
      </c>
      <c r="M645" t="s">
        <v>11780</v>
      </c>
      <c r="N645" t="s">
        <v>10107</v>
      </c>
      <c r="O645" t="s">
        <v>5620</v>
      </c>
      <c r="P645" s="614">
        <f>COUNTIF(EducPlans_кодНАЦИД_Спец[аФакСец],EducPlans_кодНАЦИД_Спец[[#This Row],[аФакСец]])</f>
        <v>1</v>
      </c>
    </row>
    <row r="646" spans="3:16" x14ac:dyDescent="0.25">
      <c r="C646" s="614">
        <v>640</v>
      </c>
      <c r="D646" s="614">
        <v>11633</v>
      </c>
      <c r="E646" s="64" t="s">
        <v>4571</v>
      </c>
      <c r="F646" s="64" t="s">
        <v>5622</v>
      </c>
      <c r="G646" s="614" t="s">
        <v>33</v>
      </c>
      <c r="H646" s="614" t="s">
        <v>682</v>
      </c>
      <c r="I646" s="614" t="s">
        <v>1153</v>
      </c>
      <c r="J646" s="64" t="s">
        <v>3539</v>
      </c>
      <c r="K646" s="1940" t="s">
        <v>5621</v>
      </c>
      <c r="L646" s="1940" t="s">
        <v>8393</v>
      </c>
      <c r="M646" t="s">
        <v>11781</v>
      </c>
      <c r="N646" t="s">
        <v>10108</v>
      </c>
      <c r="O646" t="s">
        <v>5622</v>
      </c>
      <c r="P646" s="614">
        <f>COUNTIF(EducPlans_кодНАЦИД_Спец[аФакСец],EducPlans_кодНАЦИД_Спец[[#This Row],[аФакСец]])</f>
        <v>1</v>
      </c>
    </row>
    <row r="647" spans="3:16" x14ac:dyDescent="0.25">
      <c r="C647" s="614">
        <v>641</v>
      </c>
      <c r="D647" s="614">
        <v>11633</v>
      </c>
      <c r="E647" s="64" t="s">
        <v>4571</v>
      </c>
      <c r="F647" s="64" t="s">
        <v>5623</v>
      </c>
      <c r="G647" s="614" t="s">
        <v>33</v>
      </c>
      <c r="H647" s="614" t="s">
        <v>682</v>
      </c>
      <c r="I647" s="614" t="s">
        <v>1153</v>
      </c>
      <c r="J647" s="64" t="s">
        <v>3536</v>
      </c>
      <c r="K647" s="1940" t="s">
        <v>5621</v>
      </c>
      <c r="L647" s="1940" t="s">
        <v>8394</v>
      </c>
      <c r="M647" t="s">
        <v>11782</v>
      </c>
      <c r="N647" t="s">
        <v>10109</v>
      </c>
      <c r="O647" t="s">
        <v>5623</v>
      </c>
      <c r="P647" s="614">
        <f>COUNTIF(EducPlans_кодНАЦИД_Спец[аФакСец],EducPlans_кодНАЦИД_Спец[[#This Row],[аФакСец]])</f>
        <v>1</v>
      </c>
    </row>
    <row r="648" spans="3:16" x14ac:dyDescent="0.25">
      <c r="C648" s="614">
        <v>642</v>
      </c>
      <c r="D648" s="614">
        <v>11633</v>
      </c>
      <c r="E648" s="64" t="s">
        <v>4571</v>
      </c>
      <c r="F648" s="64" t="s">
        <v>5624</v>
      </c>
      <c r="G648" s="614" t="s">
        <v>33</v>
      </c>
      <c r="H648" s="614" t="s">
        <v>682</v>
      </c>
      <c r="I648" s="614" t="s">
        <v>1153</v>
      </c>
      <c r="J648" s="64" t="s">
        <v>4572</v>
      </c>
      <c r="K648" s="1940" t="s">
        <v>5621</v>
      </c>
      <c r="L648" s="1940" t="s">
        <v>8395</v>
      </c>
      <c r="M648" t="s">
        <v>11783</v>
      </c>
      <c r="N648" t="s">
        <v>10110</v>
      </c>
      <c r="O648" t="s">
        <v>5624</v>
      </c>
      <c r="P648" s="614">
        <f>COUNTIF(EducPlans_кодНАЦИД_Спец[аФакСец],EducPlans_кодНАЦИД_Спец[[#This Row],[аФакСец]])</f>
        <v>2</v>
      </c>
    </row>
    <row r="649" spans="3:16" x14ac:dyDescent="0.25">
      <c r="C649" s="614">
        <v>643</v>
      </c>
      <c r="D649" s="614">
        <v>11634</v>
      </c>
      <c r="E649" s="64" t="s">
        <v>4573</v>
      </c>
      <c r="F649" s="64" t="s">
        <v>5625</v>
      </c>
      <c r="G649" s="614" t="s">
        <v>33</v>
      </c>
      <c r="H649" s="614" t="s">
        <v>682</v>
      </c>
      <c r="I649" s="614" t="s">
        <v>1153</v>
      </c>
      <c r="J649" s="64" t="s">
        <v>3538</v>
      </c>
      <c r="K649" s="1940" t="s">
        <v>5626</v>
      </c>
      <c r="L649" s="1940" t="s">
        <v>8396</v>
      </c>
      <c r="M649" t="s">
        <v>11784</v>
      </c>
      <c r="N649" t="s">
        <v>10111</v>
      </c>
      <c r="O649" t="s">
        <v>5625</v>
      </c>
      <c r="P649" s="614">
        <f>COUNTIF(EducPlans_кодНАЦИД_Спец[аФакСец],EducPlans_кодНАЦИД_Спец[[#This Row],[аФакСец]])</f>
        <v>1</v>
      </c>
    </row>
    <row r="650" spans="3:16" x14ac:dyDescent="0.25">
      <c r="C650" s="614">
        <v>644</v>
      </c>
      <c r="D650" s="614">
        <v>11634</v>
      </c>
      <c r="E650" s="64" t="s">
        <v>4573</v>
      </c>
      <c r="F650" s="64" t="s">
        <v>5627</v>
      </c>
      <c r="G650" s="614" t="s">
        <v>33</v>
      </c>
      <c r="H650" s="614" t="s">
        <v>682</v>
      </c>
      <c r="I650" s="614" t="s">
        <v>1153</v>
      </c>
      <c r="J650" s="64" t="s">
        <v>3541</v>
      </c>
      <c r="K650" s="1940" t="s">
        <v>5626</v>
      </c>
      <c r="L650" s="1940" t="s">
        <v>8397</v>
      </c>
      <c r="M650" t="s">
        <v>11785</v>
      </c>
      <c r="N650" t="s">
        <v>10112</v>
      </c>
      <c r="O650" t="s">
        <v>5627</v>
      </c>
      <c r="P650" s="614">
        <f>COUNTIF(EducPlans_кодНАЦИД_Спец[аФакСец],EducPlans_кодНАЦИД_Спец[[#This Row],[аФакСец]])</f>
        <v>1</v>
      </c>
    </row>
    <row r="651" spans="3:16" x14ac:dyDescent="0.25">
      <c r="C651" s="614">
        <v>645</v>
      </c>
      <c r="D651" s="614">
        <v>11636</v>
      </c>
      <c r="E651" s="64" t="s">
        <v>4574</v>
      </c>
      <c r="F651" s="64" t="s">
        <v>5628</v>
      </c>
      <c r="G651" s="614" t="s">
        <v>33</v>
      </c>
      <c r="H651" s="614" t="s">
        <v>682</v>
      </c>
      <c r="I651" s="614" t="s">
        <v>1153</v>
      </c>
      <c r="J651" s="64" t="s">
        <v>4572</v>
      </c>
      <c r="K651" s="1940" t="s">
        <v>5629</v>
      </c>
      <c r="L651" s="1940" t="s">
        <v>8395</v>
      </c>
      <c r="M651" t="s">
        <v>11786</v>
      </c>
      <c r="N651" t="s">
        <v>10110</v>
      </c>
      <c r="O651" t="s">
        <v>5628</v>
      </c>
      <c r="P651" s="614">
        <f>COUNTIF(EducPlans_кодНАЦИД_Спец[аФакСец],EducPlans_кодНАЦИД_Спец[[#This Row],[аФакСец]])</f>
        <v>2</v>
      </c>
    </row>
    <row r="652" spans="3:16" x14ac:dyDescent="0.25">
      <c r="C652" s="614">
        <v>646</v>
      </c>
      <c r="D652" s="614">
        <v>11636</v>
      </c>
      <c r="E652" s="64" t="s">
        <v>4574</v>
      </c>
      <c r="F652" s="64" t="s">
        <v>5630</v>
      </c>
      <c r="G652" s="614" t="s">
        <v>33</v>
      </c>
      <c r="H652" s="614" t="s">
        <v>682</v>
      </c>
      <c r="I652" s="614" t="s">
        <v>1153</v>
      </c>
      <c r="J652" s="64" t="s">
        <v>3537</v>
      </c>
      <c r="K652" s="1940" t="s">
        <v>5629</v>
      </c>
      <c r="L652" s="1940" t="s">
        <v>8398</v>
      </c>
      <c r="M652" t="s">
        <v>11787</v>
      </c>
      <c r="N652" t="s">
        <v>10113</v>
      </c>
      <c r="O652" t="s">
        <v>5630</v>
      </c>
      <c r="P652" s="614">
        <f>COUNTIF(EducPlans_кодНАЦИД_Спец[аФакСец],EducPlans_кодНАЦИД_Спец[[#This Row],[аФакСец]])</f>
        <v>1</v>
      </c>
    </row>
    <row r="653" spans="3:16" x14ac:dyDescent="0.25">
      <c r="C653" s="614">
        <v>647</v>
      </c>
      <c r="D653" s="614">
        <v>11638</v>
      </c>
      <c r="E653" s="64" t="s">
        <v>4575</v>
      </c>
      <c r="F653" s="64" t="s">
        <v>5631</v>
      </c>
      <c r="G653" s="614" t="s">
        <v>33</v>
      </c>
      <c r="H653" s="614" t="s">
        <v>682</v>
      </c>
      <c r="I653" s="614" t="s">
        <v>1153</v>
      </c>
      <c r="J653" s="64" t="s">
        <v>3542</v>
      </c>
      <c r="K653" s="1940" t="s">
        <v>5632</v>
      </c>
      <c r="L653" s="1940" t="s">
        <v>8399</v>
      </c>
      <c r="M653" t="s">
        <v>11788</v>
      </c>
      <c r="N653" t="s">
        <v>10114</v>
      </c>
      <c r="O653" t="s">
        <v>5631</v>
      </c>
      <c r="P653" s="614">
        <f>COUNTIF(EducPlans_кодНАЦИД_Спец[аФакСец],EducPlans_кодНАЦИД_Спец[[#This Row],[аФакСец]])</f>
        <v>1</v>
      </c>
    </row>
    <row r="654" spans="3:16" x14ac:dyDescent="0.25">
      <c r="C654" s="614">
        <v>648</v>
      </c>
      <c r="D654" s="614">
        <v>624436</v>
      </c>
      <c r="E654" s="64" t="s">
        <v>1390</v>
      </c>
      <c r="F654" s="64" t="s">
        <v>5633</v>
      </c>
      <c r="G654" s="614" t="s">
        <v>33</v>
      </c>
      <c r="H654" s="614" t="s">
        <v>682</v>
      </c>
      <c r="I654" s="614" t="s">
        <v>1153</v>
      </c>
      <c r="J654" s="64" t="s">
        <v>5634</v>
      </c>
      <c r="K654" s="1940" t="s">
        <v>5635</v>
      </c>
      <c r="L654" s="1940" t="s">
        <v>8400</v>
      </c>
      <c r="M654" t="s">
        <v>11789</v>
      </c>
      <c r="N654" t="s">
        <v>10115</v>
      </c>
      <c r="O654" t="s">
        <v>5633</v>
      </c>
      <c r="P654" s="614">
        <f>COUNTIF(EducPlans_кодНАЦИД_Спец[аФакСец],EducPlans_кодНАЦИД_Спец[[#This Row],[аФакСец]])</f>
        <v>1</v>
      </c>
    </row>
    <row r="655" spans="3:16" x14ac:dyDescent="0.25">
      <c r="C655" s="614">
        <v>649</v>
      </c>
      <c r="D655" s="614">
        <v>11514</v>
      </c>
      <c r="E655" s="64" t="s">
        <v>901</v>
      </c>
      <c r="F655" s="64" t="s">
        <v>5636</v>
      </c>
      <c r="G655" s="614" t="s">
        <v>33</v>
      </c>
      <c r="H655" s="614" t="s">
        <v>681</v>
      </c>
      <c r="I655" s="614" t="s">
        <v>1153</v>
      </c>
      <c r="J655" s="64" t="s">
        <v>902</v>
      </c>
      <c r="K655" s="1940" t="s">
        <v>5637</v>
      </c>
      <c r="L655" s="1940" t="s">
        <v>8401</v>
      </c>
      <c r="M655" t="s">
        <v>11790</v>
      </c>
      <c r="N655" t="s">
        <v>10116</v>
      </c>
      <c r="O655" t="s">
        <v>5636</v>
      </c>
      <c r="P655" s="614">
        <f>COUNTIF(EducPlans_кодНАЦИД_Спец[аФакСец],EducPlans_кодНАЦИД_Спец[[#This Row],[аФакСец]])</f>
        <v>1</v>
      </c>
    </row>
    <row r="656" spans="3:16" x14ac:dyDescent="0.25">
      <c r="C656" s="614">
        <v>650</v>
      </c>
      <c r="D656" s="614">
        <v>12302</v>
      </c>
      <c r="E656" s="64" t="s">
        <v>2402</v>
      </c>
      <c r="F656" s="64" t="s">
        <v>5638</v>
      </c>
      <c r="G656" s="614" t="s">
        <v>31</v>
      </c>
      <c r="H656" s="614" t="s">
        <v>682</v>
      </c>
      <c r="I656" s="614" t="s">
        <v>1153</v>
      </c>
      <c r="J656" s="64" t="s">
        <v>2952</v>
      </c>
      <c r="K656" s="1940" t="s">
        <v>5639</v>
      </c>
      <c r="L656" s="1940" t="s">
        <v>8402</v>
      </c>
      <c r="M656" t="s">
        <v>11791</v>
      </c>
      <c r="N656" t="s">
        <v>10117</v>
      </c>
      <c r="O656" t="s">
        <v>5638</v>
      </c>
      <c r="P656" s="614">
        <f>COUNTIF(EducPlans_кодНАЦИД_Спец[аФакСец],EducPlans_кодНАЦИД_Спец[[#This Row],[аФакСец]])</f>
        <v>1</v>
      </c>
    </row>
    <row r="657" spans="3:16" x14ac:dyDescent="0.25">
      <c r="C657" s="614">
        <v>651</v>
      </c>
      <c r="D657" s="614">
        <v>550340</v>
      </c>
      <c r="E657" s="64" t="s">
        <v>5640</v>
      </c>
      <c r="F657" s="64" t="s">
        <v>5641</v>
      </c>
      <c r="G657" s="614" t="s">
        <v>31</v>
      </c>
      <c r="H657" s="614" t="s">
        <v>682</v>
      </c>
      <c r="I657" s="614" t="s">
        <v>1153</v>
      </c>
      <c r="J657" s="64" t="s">
        <v>5642</v>
      </c>
      <c r="K657" s="1940" t="s">
        <v>5643</v>
      </c>
      <c r="L657" s="1940" t="s">
        <v>8403</v>
      </c>
      <c r="M657" t="s">
        <v>11792</v>
      </c>
      <c r="N657" t="s">
        <v>10118</v>
      </c>
      <c r="O657" t="s">
        <v>5641</v>
      </c>
      <c r="P657" s="614">
        <f>COUNTIF(EducPlans_кодНАЦИД_Спец[аФакСец],EducPlans_кодНАЦИД_Спец[[#This Row],[аФакСец]])</f>
        <v>1</v>
      </c>
    </row>
    <row r="658" spans="3:16" x14ac:dyDescent="0.25">
      <c r="C658" s="614">
        <v>652</v>
      </c>
      <c r="D658" s="614">
        <v>11879</v>
      </c>
      <c r="E658" s="64" t="s">
        <v>2111</v>
      </c>
      <c r="F658" s="64" t="s">
        <v>5644</v>
      </c>
      <c r="G658" s="614" t="s">
        <v>628</v>
      </c>
      <c r="H658" s="614" t="s">
        <v>681</v>
      </c>
      <c r="I658" s="614" t="s">
        <v>1153</v>
      </c>
      <c r="J658" s="64" t="s">
        <v>4207</v>
      </c>
      <c r="K658" s="1940" t="s">
        <v>5645</v>
      </c>
      <c r="L658" s="1940" t="s">
        <v>8404</v>
      </c>
      <c r="M658" t="s">
        <v>11793</v>
      </c>
      <c r="N658" t="s">
        <v>10119</v>
      </c>
      <c r="O658" t="s">
        <v>5644</v>
      </c>
      <c r="P658" s="614">
        <f>COUNTIF(EducPlans_кодНАЦИД_Спец[аФакСец],EducPlans_кодНАЦИД_Спец[[#This Row],[аФакСец]])</f>
        <v>1</v>
      </c>
    </row>
    <row r="659" spans="3:16" x14ac:dyDescent="0.25">
      <c r="C659" s="614">
        <v>653</v>
      </c>
      <c r="D659" s="614">
        <v>11881</v>
      </c>
      <c r="E659" s="64" t="s">
        <v>2111</v>
      </c>
      <c r="F659" s="64" t="s">
        <v>5646</v>
      </c>
      <c r="G659" s="614" t="s">
        <v>628</v>
      </c>
      <c r="H659" s="614" t="s">
        <v>681</v>
      </c>
      <c r="I659" s="614" t="s">
        <v>1149</v>
      </c>
      <c r="J659" s="64" t="s">
        <v>4206</v>
      </c>
      <c r="K659" s="1940" t="s">
        <v>5647</v>
      </c>
      <c r="L659" s="1940" t="s">
        <v>8405</v>
      </c>
      <c r="M659" t="s">
        <v>11794</v>
      </c>
      <c r="N659" t="s">
        <v>10120</v>
      </c>
      <c r="O659" t="s">
        <v>5646</v>
      </c>
      <c r="P659" s="614">
        <f>COUNTIF(EducPlans_кодНАЦИД_Спец[аФакСец],EducPlans_кодНАЦИД_Спец[[#This Row],[аФакСец]])</f>
        <v>1</v>
      </c>
    </row>
    <row r="660" spans="3:16" x14ac:dyDescent="0.25">
      <c r="C660" s="614">
        <v>654</v>
      </c>
      <c r="D660" s="614">
        <v>11881</v>
      </c>
      <c r="E660" s="64" t="s">
        <v>2111</v>
      </c>
      <c r="F660" s="64" t="s">
        <v>5648</v>
      </c>
      <c r="G660" s="614" t="s">
        <v>628</v>
      </c>
      <c r="H660" s="614" t="s">
        <v>681</v>
      </c>
      <c r="I660" s="614" t="s">
        <v>1149</v>
      </c>
      <c r="J660" s="64" t="s">
        <v>4205</v>
      </c>
      <c r="K660" s="1940" t="s">
        <v>5647</v>
      </c>
      <c r="L660" s="1940" t="s">
        <v>8406</v>
      </c>
      <c r="M660" t="s">
        <v>11795</v>
      </c>
      <c r="N660" t="s">
        <v>10121</v>
      </c>
      <c r="O660" t="s">
        <v>5648</v>
      </c>
      <c r="P660" s="614">
        <f>COUNTIF(EducPlans_кодНАЦИД_Спец[аФакСец],EducPlans_кодНАЦИД_Спец[[#This Row],[аФакСец]])</f>
        <v>1</v>
      </c>
    </row>
    <row r="661" spans="3:16" x14ac:dyDescent="0.25">
      <c r="C661" s="614">
        <v>655</v>
      </c>
      <c r="D661" s="614">
        <v>11960</v>
      </c>
      <c r="E661" s="64" t="s">
        <v>2111</v>
      </c>
      <c r="F661" s="64" t="s">
        <v>5649</v>
      </c>
      <c r="G661" s="614" t="s">
        <v>628</v>
      </c>
      <c r="H661" s="614" t="s">
        <v>682</v>
      </c>
      <c r="I661" s="614" t="s">
        <v>1153</v>
      </c>
      <c r="J661" s="64" t="s">
        <v>5650</v>
      </c>
      <c r="K661" s="1940" t="s">
        <v>5651</v>
      </c>
      <c r="L661" s="1940" t="s">
        <v>8407</v>
      </c>
      <c r="M661" t="s">
        <v>11796</v>
      </c>
      <c r="N661" t="s">
        <v>10122</v>
      </c>
      <c r="O661" t="s">
        <v>5649</v>
      </c>
      <c r="P661" s="614">
        <f>COUNTIF(EducPlans_кодНАЦИД_Спец[аФакСец],EducPlans_кодНАЦИД_Спец[[#This Row],[аФакСец]])</f>
        <v>1</v>
      </c>
    </row>
    <row r="662" spans="3:16" x14ac:dyDescent="0.25">
      <c r="C662" s="614">
        <v>656</v>
      </c>
      <c r="D662" s="614">
        <v>12071</v>
      </c>
      <c r="E662" s="64" t="s">
        <v>2169</v>
      </c>
      <c r="F662" s="64" t="s">
        <v>5652</v>
      </c>
      <c r="G662" s="614" t="s">
        <v>29</v>
      </c>
      <c r="H662" s="614" t="s">
        <v>681</v>
      </c>
      <c r="I662" s="614" t="s">
        <v>1153</v>
      </c>
      <c r="J662" s="64" t="s">
        <v>4157</v>
      </c>
      <c r="K662" s="1940" t="s">
        <v>5653</v>
      </c>
      <c r="L662" s="1940" t="s">
        <v>8408</v>
      </c>
      <c r="M662" t="s">
        <v>11797</v>
      </c>
      <c r="N662" t="s">
        <v>10123</v>
      </c>
      <c r="O662" t="s">
        <v>5652</v>
      </c>
      <c r="P662" s="614">
        <f>COUNTIF(EducPlans_кодНАЦИД_Спец[аФакСец],EducPlans_кодНАЦИД_Спец[[#This Row],[аФакСец]])</f>
        <v>1</v>
      </c>
    </row>
    <row r="663" spans="3:16" x14ac:dyDescent="0.25">
      <c r="C663" s="614">
        <v>657</v>
      </c>
      <c r="D663" s="614">
        <v>862791</v>
      </c>
      <c r="E663" s="64" t="s">
        <v>13459</v>
      </c>
      <c r="F663" s="64" t="s">
        <v>13460</v>
      </c>
      <c r="G663" s="614" t="s">
        <v>296</v>
      </c>
      <c r="H663" s="614" t="s">
        <v>682</v>
      </c>
      <c r="I663" s="614" t="s">
        <v>1153</v>
      </c>
      <c r="J663" s="64" t="s">
        <v>13461</v>
      </c>
      <c r="K663" s="1940" t="s">
        <v>13462</v>
      </c>
      <c r="L663" s="1940" t="s">
        <v>13463</v>
      </c>
      <c r="M663" t="s">
        <v>13464</v>
      </c>
      <c r="N663" t="s">
        <v>13465</v>
      </c>
      <c r="O663" t="s">
        <v>13460</v>
      </c>
      <c r="P663" s="614">
        <f>COUNTIF(EducPlans_кодНАЦИД_Спец[аФакСец],EducPlans_кодНАЦИД_Спец[[#This Row],[аФакСец]])</f>
        <v>1</v>
      </c>
    </row>
    <row r="664" spans="3:16" x14ac:dyDescent="0.25">
      <c r="C664" s="614">
        <v>658</v>
      </c>
      <c r="D664" s="614">
        <v>549415</v>
      </c>
      <c r="E664" s="64" t="s">
        <v>13459</v>
      </c>
      <c r="F664" s="64" t="s">
        <v>5655</v>
      </c>
      <c r="G664" s="614" t="s">
        <v>296</v>
      </c>
      <c r="H664" s="614" t="s">
        <v>682</v>
      </c>
      <c r="I664" s="614" t="s">
        <v>1149</v>
      </c>
      <c r="J664" s="64" t="s">
        <v>5656</v>
      </c>
      <c r="K664" s="1940" t="s">
        <v>5657</v>
      </c>
      <c r="L664" s="1940" t="s">
        <v>8409</v>
      </c>
      <c r="M664" t="s">
        <v>13466</v>
      </c>
      <c r="N664" t="s">
        <v>10124</v>
      </c>
      <c r="O664" t="s">
        <v>5655</v>
      </c>
      <c r="P664" s="614">
        <f>COUNTIF(EducPlans_кодНАЦИД_Спец[аФакСец],EducPlans_кодНАЦИД_Спец[[#This Row],[аФакСец]])</f>
        <v>2</v>
      </c>
    </row>
    <row r="665" spans="3:16" x14ac:dyDescent="0.25">
      <c r="C665" s="614">
        <v>659</v>
      </c>
      <c r="D665" s="614">
        <v>549415</v>
      </c>
      <c r="E665" s="64" t="s">
        <v>13459</v>
      </c>
      <c r="F665" s="64" t="s">
        <v>13467</v>
      </c>
      <c r="G665" s="614" t="s">
        <v>296</v>
      </c>
      <c r="H665" s="614" t="s">
        <v>682</v>
      </c>
      <c r="I665" s="614" t="s">
        <v>1149</v>
      </c>
      <c r="J665" s="64" t="s">
        <v>13468</v>
      </c>
      <c r="K665" s="1940" t="s">
        <v>5657</v>
      </c>
      <c r="L665" s="1940" t="s">
        <v>13469</v>
      </c>
      <c r="M665" t="s">
        <v>13470</v>
      </c>
      <c r="N665" t="s">
        <v>13471</v>
      </c>
      <c r="O665" t="s">
        <v>13467</v>
      </c>
      <c r="P665" s="614">
        <f>COUNTIF(EducPlans_кодНАЦИД_Спец[аФакСец],EducPlans_кодНАЦИД_Спец[[#This Row],[аФакСец]])</f>
        <v>1</v>
      </c>
    </row>
    <row r="666" spans="3:16" x14ac:dyDescent="0.25">
      <c r="C666" s="614">
        <v>660</v>
      </c>
      <c r="D666" s="614">
        <v>954903</v>
      </c>
      <c r="E666" s="64" t="s">
        <v>13459</v>
      </c>
      <c r="F666" s="64" t="s">
        <v>13472</v>
      </c>
      <c r="G666" s="614" t="s">
        <v>296</v>
      </c>
      <c r="H666" s="614" t="s">
        <v>682</v>
      </c>
      <c r="I666" s="614" t="s">
        <v>1149</v>
      </c>
      <c r="J666" s="64" t="s">
        <v>5656</v>
      </c>
      <c r="K666" s="1940" t="s">
        <v>5657</v>
      </c>
      <c r="L666" s="1940" t="s">
        <v>8409</v>
      </c>
      <c r="M666" t="s">
        <v>13466</v>
      </c>
      <c r="N666" t="s">
        <v>10124</v>
      </c>
      <c r="O666" t="s">
        <v>13472</v>
      </c>
      <c r="P666" s="614">
        <f>COUNTIF(EducPlans_кодНАЦИД_Спец[аФакСец],EducPlans_кодНАЦИД_Спец[[#This Row],[аФакСец]])</f>
        <v>2</v>
      </c>
    </row>
    <row r="667" spans="3:16" x14ac:dyDescent="0.25">
      <c r="C667" s="614">
        <v>661</v>
      </c>
      <c r="D667" s="614">
        <v>602108</v>
      </c>
      <c r="E667" s="64" t="s">
        <v>5658</v>
      </c>
      <c r="F667" s="64" t="s">
        <v>5659</v>
      </c>
      <c r="G667" s="614" t="s">
        <v>626</v>
      </c>
      <c r="H667" s="614" t="s">
        <v>682</v>
      </c>
      <c r="I667" s="614" t="s">
        <v>1153</v>
      </c>
      <c r="J667" s="64" t="s">
        <v>5660</v>
      </c>
      <c r="K667" s="1940" t="s">
        <v>5661</v>
      </c>
      <c r="L667" s="1940" t="s">
        <v>8410</v>
      </c>
      <c r="M667" t="s">
        <v>11798</v>
      </c>
      <c r="N667" t="s">
        <v>10125</v>
      </c>
      <c r="O667" t="s">
        <v>5659</v>
      </c>
      <c r="P667" s="614">
        <f>COUNTIF(EducPlans_кодНАЦИД_Спец[аФакСец],EducPlans_кодНАЦИД_Спец[[#This Row],[аФакСец]])</f>
        <v>1</v>
      </c>
    </row>
    <row r="668" spans="3:16" x14ac:dyDescent="0.25">
      <c r="C668" s="614">
        <v>662</v>
      </c>
      <c r="D668" s="614">
        <v>602108</v>
      </c>
      <c r="E668" s="64" t="s">
        <v>5658</v>
      </c>
      <c r="F668" s="64" t="s">
        <v>5662</v>
      </c>
      <c r="G668" s="614" t="s">
        <v>626</v>
      </c>
      <c r="H668" s="614" t="s">
        <v>682</v>
      </c>
      <c r="I668" s="614" t="s">
        <v>1153</v>
      </c>
      <c r="J668" s="64" t="s">
        <v>5663</v>
      </c>
      <c r="K668" s="1940" t="s">
        <v>5661</v>
      </c>
      <c r="L668" s="1940" t="s">
        <v>8411</v>
      </c>
      <c r="M668" t="s">
        <v>11799</v>
      </c>
      <c r="N668" t="s">
        <v>10126</v>
      </c>
      <c r="O668" t="s">
        <v>5662</v>
      </c>
      <c r="P668" s="614">
        <f>COUNTIF(EducPlans_кодНАЦИД_Спец[аФакСец],EducPlans_кодНАЦИД_Спец[[#This Row],[аФакСец]])</f>
        <v>1</v>
      </c>
    </row>
    <row r="669" spans="3:16" x14ac:dyDescent="0.25">
      <c r="C669" s="614">
        <v>663</v>
      </c>
      <c r="D669" s="614">
        <v>558082</v>
      </c>
      <c r="E669" s="64" t="s">
        <v>5658</v>
      </c>
      <c r="F669" s="64" t="s">
        <v>5664</v>
      </c>
      <c r="G669" s="614" t="s">
        <v>626</v>
      </c>
      <c r="H669" s="614" t="s">
        <v>682</v>
      </c>
      <c r="I669" s="614" t="s">
        <v>1149</v>
      </c>
      <c r="J669" s="64" t="s">
        <v>5665</v>
      </c>
      <c r="K669" s="1940" t="s">
        <v>5666</v>
      </c>
      <c r="L669" s="1940" t="s">
        <v>8412</v>
      </c>
      <c r="M669" t="s">
        <v>11800</v>
      </c>
      <c r="N669" t="s">
        <v>10127</v>
      </c>
      <c r="O669" t="s">
        <v>5664</v>
      </c>
      <c r="P669" s="614">
        <f>COUNTIF(EducPlans_кодНАЦИД_Спец[аФакСец],EducPlans_кодНАЦИД_Спец[[#This Row],[аФакСец]])</f>
        <v>1</v>
      </c>
    </row>
    <row r="670" spans="3:16" x14ac:dyDescent="0.25">
      <c r="C670" s="614">
        <v>664</v>
      </c>
      <c r="D670" s="614">
        <v>558082</v>
      </c>
      <c r="E670" s="64" t="s">
        <v>5658</v>
      </c>
      <c r="F670" s="64" t="s">
        <v>5667</v>
      </c>
      <c r="G670" s="614" t="s">
        <v>626</v>
      </c>
      <c r="H670" s="614" t="s">
        <v>682</v>
      </c>
      <c r="I670" s="614" t="s">
        <v>1149</v>
      </c>
      <c r="J670" s="64" t="s">
        <v>5668</v>
      </c>
      <c r="K670" s="1940" t="s">
        <v>5666</v>
      </c>
      <c r="L670" s="1940" t="s">
        <v>8413</v>
      </c>
      <c r="M670" t="s">
        <v>11801</v>
      </c>
      <c r="N670" t="s">
        <v>10128</v>
      </c>
      <c r="O670" t="s">
        <v>5667</v>
      </c>
      <c r="P670" s="614">
        <f>COUNTIF(EducPlans_кодНАЦИД_Спец[аФакСец],EducPlans_кодНАЦИД_Спец[[#This Row],[аФакСец]])</f>
        <v>1</v>
      </c>
    </row>
    <row r="671" spans="3:16" x14ac:dyDescent="0.25">
      <c r="C671" s="614">
        <v>665</v>
      </c>
      <c r="D671" s="614">
        <v>458209</v>
      </c>
      <c r="E671" s="64" t="s">
        <v>5669</v>
      </c>
      <c r="F671" s="64" t="s">
        <v>5670</v>
      </c>
      <c r="G671" s="614" t="s">
        <v>26</v>
      </c>
      <c r="H671" s="614" t="s">
        <v>682</v>
      </c>
      <c r="I671" s="614" t="s">
        <v>1153</v>
      </c>
      <c r="J671" s="64" t="s">
        <v>5671</v>
      </c>
      <c r="K671" s="1940" t="s">
        <v>5672</v>
      </c>
      <c r="L671" s="1940" t="s">
        <v>8414</v>
      </c>
      <c r="M671" t="s">
        <v>11802</v>
      </c>
      <c r="N671" t="s">
        <v>10129</v>
      </c>
      <c r="O671" t="s">
        <v>5670</v>
      </c>
      <c r="P671" s="614">
        <f>COUNTIF(EducPlans_кодНАЦИД_Спец[аФакСец],EducPlans_кодНАЦИД_Спец[[#This Row],[аФакСец]])</f>
        <v>1</v>
      </c>
    </row>
    <row r="672" spans="3:16" x14ac:dyDescent="0.25">
      <c r="C672" s="614">
        <v>666</v>
      </c>
      <c r="D672" s="614">
        <v>980148</v>
      </c>
      <c r="E672" s="64" t="s">
        <v>5669</v>
      </c>
      <c r="F672" s="64" t="s">
        <v>13473</v>
      </c>
      <c r="G672" s="614" t="s">
        <v>26</v>
      </c>
      <c r="H672" s="614" t="s">
        <v>682</v>
      </c>
      <c r="I672" s="614" t="s">
        <v>1167</v>
      </c>
      <c r="J672" s="64" t="s">
        <v>13474</v>
      </c>
      <c r="K672" s="1940" t="s">
        <v>13475</v>
      </c>
      <c r="L672" s="1940" t="s">
        <v>13476</v>
      </c>
      <c r="M672" t="s">
        <v>13477</v>
      </c>
      <c r="N672" t="s">
        <v>13478</v>
      </c>
      <c r="O672" t="s">
        <v>13473</v>
      </c>
      <c r="P672" s="614">
        <f>COUNTIF(EducPlans_кодНАЦИД_Спец[аФакСец],EducPlans_кодНАЦИД_Спец[[#This Row],[аФакСец]])</f>
        <v>1</v>
      </c>
    </row>
    <row r="673" spans="3:16" x14ac:dyDescent="0.25">
      <c r="C673" s="614">
        <v>667</v>
      </c>
      <c r="D673" s="614">
        <v>10894</v>
      </c>
      <c r="E673" s="64" t="s">
        <v>1600</v>
      </c>
      <c r="F673" s="64" t="s">
        <v>5673</v>
      </c>
      <c r="G673" s="614" t="s">
        <v>35</v>
      </c>
      <c r="H673" s="614" t="s">
        <v>682</v>
      </c>
      <c r="I673" s="614" t="s">
        <v>1153</v>
      </c>
      <c r="J673" s="64" t="s">
        <v>2952</v>
      </c>
      <c r="K673" s="1940" t="s">
        <v>5674</v>
      </c>
      <c r="L673" s="1940" t="s">
        <v>8415</v>
      </c>
      <c r="M673" t="s">
        <v>11803</v>
      </c>
      <c r="N673" t="s">
        <v>10130</v>
      </c>
      <c r="O673" t="s">
        <v>5673</v>
      </c>
      <c r="P673" s="614">
        <f>COUNTIF(EducPlans_кодНАЦИД_Спец[аФакСец],EducPlans_кодНАЦИД_Спец[[#This Row],[аФакСец]])</f>
        <v>1</v>
      </c>
    </row>
    <row r="674" spans="3:16" x14ac:dyDescent="0.25">
      <c r="C674" s="614">
        <v>668</v>
      </c>
      <c r="D674" s="614">
        <v>10894</v>
      </c>
      <c r="E674" s="64" t="s">
        <v>1600</v>
      </c>
      <c r="F674" s="64" t="s">
        <v>5675</v>
      </c>
      <c r="G674" s="614" t="s">
        <v>35</v>
      </c>
      <c r="H674" s="614" t="s">
        <v>682</v>
      </c>
      <c r="I674" s="614" t="s">
        <v>1153</v>
      </c>
      <c r="J674" s="64" t="s">
        <v>4006</v>
      </c>
      <c r="K674" s="1940" t="s">
        <v>5674</v>
      </c>
      <c r="L674" s="1940" t="s">
        <v>8416</v>
      </c>
      <c r="M674" t="s">
        <v>11804</v>
      </c>
      <c r="N674" t="s">
        <v>10131</v>
      </c>
      <c r="O674" t="s">
        <v>5675</v>
      </c>
      <c r="P674" s="614">
        <f>COUNTIF(EducPlans_кодНАЦИД_Спец[аФакСец],EducPlans_кодНАЦИД_Спец[[#This Row],[аФакСец]])</f>
        <v>1</v>
      </c>
    </row>
    <row r="675" spans="3:16" x14ac:dyDescent="0.25">
      <c r="C675" s="614">
        <v>669</v>
      </c>
      <c r="D675" s="614">
        <v>10894</v>
      </c>
      <c r="E675" s="64" t="s">
        <v>1600</v>
      </c>
      <c r="F675" s="64" t="s">
        <v>5676</v>
      </c>
      <c r="G675" s="614" t="s">
        <v>35</v>
      </c>
      <c r="H675" s="614" t="s">
        <v>682</v>
      </c>
      <c r="I675" s="614" t="s">
        <v>1153</v>
      </c>
      <c r="J675" s="64" t="s">
        <v>4007</v>
      </c>
      <c r="K675" s="1940" t="s">
        <v>5674</v>
      </c>
      <c r="L675" s="1940" t="s">
        <v>8417</v>
      </c>
      <c r="M675" t="s">
        <v>11805</v>
      </c>
      <c r="N675" t="s">
        <v>10132</v>
      </c>
      <c r="O675" t="s">
        <v>5676</v>
      </c>
      <c r="P675" s="614">
        <f>COUNTIF(EducPlans_кодНАЦИД_Спец[аФакСец],EducPlans_кодНАЦИД_Спец[[#This Row],[аФакСец]])</f>
        <v>1</v>
      </c>
    </row>
    <row r="676" spans="3:16" x14ac:dyDescent="0.25">
      <c r="C676" s="614">
        <v>670</v>
      </c>
      <c r="D676" s="614">
        <v>725252</v>
      </c>
      <c r="E676" s="64" t="s">
        <v>13479</v>
      </c>
      <c r="F676" s="64" t="s">
        <v>13480</v>
      </c>
      <c r="G676" s="614" t="s">
        <v>626</v>
      </c>
      <c r="H676" s="614" t="s">
        <v>682</v>
      </c>
      <c r="I676" s="614" t="s">
        <v>1153</v>
      </c>
      <c r="J676" s="64" t="s">
        <v>13481</v>
      </c>
      <c r="K676" s="1940" t="s">
        <v>13482</v>
      </c>
      <c r="L676" s="1940" t="s">
        <v>13483</v>
      </c>
      <c r="M676" t="s">
        <v>13484</v>
      </c>
      <c r="N676" t="s">
        <v>13485</v>
      </c>
      <c r="O676" t="s">
        <v>13480</v>
      </c>
      <c r="P676" s="614">
        <f>COUNTIF(EducPlans_кодНАЦИД_Спец[аФакСец],EducPlans_кодНАЦИД_Спец[[#This Row],[аФакСец]])</f>
        <v>1</v>
      </c>
    </row>
    <row r="677" spans="3:16" x14ac:dyDescent="0.25">
      <c r="C677" s="614">
        <v>671</v>
      </c>
      <c r="D677" s="614">
        <v>550154</v>
      </c>
      <c r="E677" s="64" t="s">
        <v>13486</v>
      </c>
      <c r="F677" s="64" t="s">
        <v>5678</v>
      </c>
      <c r="G677" s="614" t="s">
        <v>29</v>
      </c>
      <c r="H677" s="614" t="s">
        <v>682</v>
      </c>
      <c r="I677" s="614" t="s">
        <v>1153</v>
      </c>
      <c r="J677" s="64" t="s">
        <v>5679</v>
      </c>
      <c r="K677" s="1940" t="s">
        <v>5680</v>
      </c>
      <c r="L677" s="1940" t="s">
        <v>8418</v>
      </c>
      <c r="M677" t="s">
        <v>13487</v>
      </c>
      <c r="N677" t="s">
        <v>10133</v>
      </c>
      <c r="O677" t="s">
        <v>5678</v>
      </c>
      <c r="P677" s="614">
        <f>COUNTIF(EducPlans_кодНАЦИД_Спец[аФакСец],EducPlans_кодНАЦИД_Спец[[#This Row],[аФакСец]])</f>
        <v>1</v>
      </c>
    </row>
    <row r="678" spans="3:16" x14ac:dyDescent="0.25">
      <c r="C678" s="614">
        <v>672</v>
      </c>
      <c r="D678" s="614">
        <v>11409</v>
      </c>
      <c r="E678" s="64" t="s">
        <v>1392</v>
      </c>
      <c r="F678" s="64" t="s">
        <v>5681</v>
      </c>
      <c r="G678" s="614" t="s">
        <v>647</v>
      </c>
      <c r="H678" s="614" t="s">
        <v>682</v>
      </c>
      <c r="I678" s="614" t="s">
        <v>1153</v>
      </c>
      <c r="J678" s="64" t="s">
        <v>3533</v>
      </c>
      <c r="K678" s="1940" t="s">
        <v>5682</v>
      </c>
      <c r="L678" s="1940" t="s">
        <v>8419</v>
      </c>
      <c r="M678" t="s">
        <v>11806</v>
      </c>
      <c r="N678" t="s">
        <v>10134</v>
      </c>
      <c r="O678" t="s">
        <v>5681</v>
      </c>
      <c r="P678" s="614">
        <f>COUNTIF(EducPlans_кодНАЦИД_Спец[аФакСец],EducPlans_кодНАЦИД_Спец[[#This Row],[аФакСец]])</f>
        <v>1</v>
      </c>
    </row>
    <row r="679" spans="3:16" x14ac:dyDescent="0.25">
      <c r="C679" s="614">
        <v>673</v>
      </c>
      <c r="D679" s="614">
        <v>11410</v>
      </c>
      <c r="E679" s="64" t="s">
        <v>1393</v>
      </c>
      <c r="F679" s="64" t="s">
        <v>5683</v>
      </c>
      <c r="G679" s="614" t="s">
        <v>647</v>
      </c>
      <c r="H679" s="614" t="s">
        <v>682</v>
      </c>
      <c r="I679" s="614" t="s">
        <v>1153</v>
      </c>
      <c r="J679" s="64" t="s">
        <v>3918</v>
      </c>
      <c r="K679" s="1940" t="s">
        <v>5684</v>
      </c>
      <c r="L679" s="1940" t="s">
        <v>8420</v>
      </c>
      <c r="M679" t="s">
        <v>11807</v>
      </c>
      <c r="N679" t="s">
        <v>10135</v>
      </c>
      <c r="O679" t="s">
        <v>5683</v>
      </c>
      <c r="P679" s="614">
        <f>COUNTIF(EducPlans_кодНАЦИД_Спец[аФакСец],EducPlans_кодНАЦИД_Спец[[#This Row],[аФакСец]])</f>
        <v>1</v>
      </c>
    </row>
    <row r="680" spans="3:16" x14ac:dyDescent="0.25">
      <c r="C680" s="614">
        <v>674</v>
      </c>
      <c r="D680" s="614">
        <v>11410</v>
      </c>
      <c r="E680" s="64" t="s">
        <v>1393</v>
      </c>
      <c r="F680" s="64" t="s">
        <v>5685</v>
      </c>
      <c r="G680" s="614" t="s">
        <v>647</v>
      </c>
      <c r="H680" s="614" t="s">
        <v>682</v>
      </c>
      <c r="I680" s="614" t="s">
        <v>1153</v>
      </c>
      <c r="J680" s="64" t="s">
        <v>3920</v>
      </c>
      <c r="K680" s="1940" t="s">
        <v>5684</v>
      </c>
      <c r="L680" s="1940" t="s">
        <v>8421</v>
      </c>
      <c r="M680" t="s">
        <v>11808</v>
      </c>
      <c r="N680" t="s">
        <v>10136</v>
      </c>
      <c r="O680" t="s">
        <v>5685</v>
      </c>
      <c r="P680" s="614">
        <f>COUNTIF(EducPlans_кодНАЦИД_Спец[аФакСец],EducPlans_кодНАЦИД_Спец[[#This Row],[аФакСец]])</f>
        <v>1</v>
      </c>
    </row>
    <row r="681" spans="3:16" x14ac:dyDescent="0.25">
      <c r="C681" s="614">
        <v>675</v>
      </c>
      <c r="D681" s="614">
        <v>11410</v>
      </c>
      <c r="E681" s="64" t="s">
        <v>1393</v>
      </c>
      <c r="F681" s="64" t="s">
        <v>5686</v>
      </c>
      <c r="G681" s="614" t="s">
        <v>647</v>
      </c>
      <c r="H681" s="614" t="s">
        <v>682</v>
      </c>
      <c r="I681" s="614" t="s">
        <v>1153</v>
      </c>
      <c r="J681" s="64" t="s">
        <v>3919</v>
      </c>
      <c r="K681" s="1940" t="s">
        <v>5684</v>
      </c>
      <c r="L681" s="1940" t="s">
        <v>8422</v>
      </c>
      <c r="M681" t="s">
        <v>11809</v>
      </c>
      <c r="N681" t="s">
        <v>10137</v>
      </c>
      <c r="O681" t="s">
        <v>5686</v>
      </c>
      <c r="P681" s="614">
        <f>COUNTIF(EducPlans_кодНАЦИД_Спец[аФакСец],EducPlans_кодНАЦИД_Спец[[#This Row],[аФакСец]])</f>
        <v>1</v>
      </c>
    </row>
    <row r="682" spans="3:16" x14ac:dyDescent="0.25">
      <c r="C682" s="614">
        <v>676</v>
      </c>
      <c r="D682" s="614">
        <v>11743</v>
      </c>
      <c r="E682" s="64" t="s">
        <v>2328</v>
      </c>
      <c r="F682" s="64" t="s">
        <v>5687</v>
      </c>
      <c r="G682" s="614" t="s">
        <v>26</v>
      </c>
      <c r="H682" s="614" t="s">
        <v>681</v>
      </c>
      <c r="I682" s="614" t="s">
        <v>1153</v>
      </c>
      <c r="J682" s="64" t="s">
        <v>80</v>
      </c>
      <c r="K682" s="1940" t="s">
        <v>5688</v>
      </c>
      <c r="L682" s="1940" t="s">
        <v>8423</v>
      </c>
      <c r="M682" t="s">
        <v>11810</v>
      </c>
      <c r="N682" t="s">
        <v>10138</v>
      </c>
      <c r="O682" t="s">
        <v>5687</v>
      </c>
      <c r="P682" s="614">
        <f>COUNTIF(EducPlans_кодНАЦИД_Спец[аФакСец],EducPlans_кодНАЦИД_Спец[[#This Row],[аФакСец]])</f>
        <v>1</v>
      </c>
    </row>
    <row r="683" spans="3:16" x14ac:dyDescent="0.25">
      <c r="C683" s="614">
        <v>677</v>
      </c>
      <c r="D683" s="614">
        <v>11743</v>
      </c>
      <c r="E683" s="64" t="s">
        <v>2328</v>
      </c>
      <c r="F683" s="64" t="s">
        <v>5689</v>
      </c>
      <c r="G683" s="614" t="s">
        <v>26</v>
      </c>
      <c r="H683" s="614" t="s">
        <v>681</v>
      </c>
      <c r="I683" s="614" t="s">
        <v>1153</v>
      </c>
      <c r="J683" s="64" t="s">
        <v>3273</v>
      </c>
      <c r="K683" s="1940" t="s">
        <v>5688</v>
      </c>
      <c r="L683" s="1940" t="s">
        <v>8424</v>
      </c>
      <c r="M683" t="s">
        <v>11811</v>
      </c>
      <c r="N683" t="s">
        <v>10139</v>
      </c>
      <c r="O683" t="s">
        <v>5689</v>
      </c>
      <c r="P683" s="614">
        <f>COUNTIF(EducPlans_кодНАЦИД_Спец[аФакСец],EducPlans_кодНАЦИД_Спец[[#This Row],[аФакСец]])</f>
        <v>1</v>
      </c>
    </row>
    <row r="684" spans="3:16" x14ac:dyDescent="0.25">
      <c r="C684" s="614">
        <v>678</v>
      </c>
      <c r="D684" s="614">
        <v>11764</v>
      </c>
      <c r="E684" s="64" t="s">
        <v>2328</v>
      </c>
      <c r="F684" s="64" t="s">
        <v>5690</v>
      </c>
      <c r="G684" s="614" t="s">
        <v>26</v>
      </c>
      <c r="H684" s="614" t="s">
        <v>682</v>
      </c>
      <c r="I684" s="614" t="s">
        <v>1153</v>
      </c>
      <c r="J684" s="64" t="s">
        <v>5691</v>
      </c>
      <c r="K684" s="1940" t="s">
        <v>5692</v>
      </c>
      <c r="L684" s="1940" t="s">
        <v>8425</v>
      </c>
      <c r="M684" t="s">
        <v>11812</v>
      </c>
      <c r="N684" t="s">
        <v>10140</v>
      </c>
      <c r="O684" t="s">
        <v>5690</v>
      </c>
      <c r="P684" s="614">
        <f>COUNTIF(EducPlans_кодНАЦИД_Спец[аФакСец],EducPlans_кодНАЦИД_Спец[[#This Row],[аФакСец]])</f>
        <v>1</v>
      </c>
    </row>
    <row r="685" spans="3:16" x14ac:dyDescent="0.25">
      <c r="C685" s="614">
        <v>679</v>
      </c>
      <c r="D685" s="614">
        <v>11764</v>
      </c>
      <c r="E685" s="64" t="s">
        <v>2328</v>
      </c>
      <c r="F685" s="64" t="s">
        <v>5693</v>
      </c>
      <c r="G685" s="614" t="s">
        <v>26</v>
      </c>
      <c r="H685" s="614" t="s">
        <v>682</v>
      </c>
      <c r="I685" s="614" t="s">
        <v>1153</v>
      </c>
      <c r="J685" s="64" t="s">
        <v>5694</v>
      </c>
      <c r="K685" s="1940" t="s">
        <v>5692</v>
      </c>
      <c r="L685" s="1940" t="s">
        <v>8426</v>
      </c>
      <c r="M685" t="s">
        <v>11813</v>
      </c>
      <c r="N685" t="s">
        <v>10141</v>
      </c>
      <c r="O685" t="s">
        <v>5693</v>
      </c>
      <c r="P685" s="614">
        <f>COUNTIF(EducPlans_кодНАЦИД_Спец[аФакСец],EducPlans_кодНАЦИД_Спец[[#This Row],[аФакСец]])</f>
        <v>1</v>
      </c>
    </row>
    <row r="686" spans="3:16" x14ac:dyDescent="0.25">
      <c r="C686" s="614">
        <v>680</v>
      </c>
      <c r="D686" s="614">
        <v>11819</v>
      </c>
      <c r="E686" s="64" t="s">
        <v>2328</v>
      </c>
      <c r="F686" s="64" t="s">
        <v>5695</v>
      </c>
      <c r="G686" s="614" t="s">
        <v>26</v>
      </c>
      <c r="H686" s="614" t="s">
        <v>682</v>
      </c>
      <c r="I686" s="614" t="s">
        <v>1153</v>
      </c>
      <c r="J686" s="64" t="s">
        <v>5538</v>
      </c>
      <c r="K686" s="1940" t="s">
        <v>5696</v>
      </c>
      <c r="L686" s="1940" t="s">
        <v>8427</v>
      </c>
      <c r="M686" t="s">
        <v>11814</v>
      </c>
      <c r="N686" t="s">
        <v>10142</v>
      </c>
      <c r="O686" t="s">
        <v>5695</v>
      </c>
      <c r="P686" s="614">
        <f>COUNTIF(EducPlans_кодНАЦИД_Спец[аФакСец],EducPlans_кодНАЦИД_Спец[[#This Row],[аФакСец]])</f>
        <v>1</v>
      </c>
    </row>
    <row r="687" spans="3:16" x14ac:dyDescent="0.25">
      <c r="C687" s="614">
        <v>681</v>
      </c>
      <c r="D687" s="614">
        <v>11819</v>
      </c>
      <c r="E687" s="64" t="s">
        <v>2328</v>
      </c>
      <c r="F687" s="64" t="s">
        <v>5697</v>
      </c>
      <c r="G687" s="614" t="s">
        <v>26</v>
      </c>
      <c r="H687" s="614" t="s">
        <v>682</v>
      </c>
      <c r="I687" s="614" t="s">
        <v>1153</v>
      </c>
      <c r="J687" s="64" t="s">
        <v>5698</v>
      </c>
      <c r="K687" s="1940" t="s">
        <v>5696</v>
      </c>
      <c r="L687" s="1940" t="s">
        <v>8428</v>
      </c>
      <c r="M687" t="s">
        <v>11815</v>
      </c>
      <c r="N687" t="s">
        <v>10143</v>
      </c>
      <c r="O687" t="s">
        <v>5697</v>
      </c>
      <c r="P687" s="614">
        <f>COUNTIF(EducPlans_кодНАЦИД_Спец[аФакСец],EducPlans_кодНАЦИД_Спец[[#This Row],[аФакСец]])</f>
        <v>1</v>
      </c>
    </row>
    <row r="688" spans="3:16" x14ac:dyDescent="0.25">
      <c r="C688" s="614">
        <v>682</v>
      </c>
      <c r="D688" s="614">
        <v>11264</v>
      </c>
      <c r="E688" s="64" t="s">
        <v>1171</v>
      </c>
      <c r="F688" s="64" t="s">
        <v>5699</v>
      </c>
      <c r="G688" s="614" t="s">
        <v>39</v>
      </c>
      <c r="H688" s="614" t="s">
        <v>682</v>
      </c>
      <c r="I688" s="614" t="s">
        <v>1153</v>
      </c>
      <c r="J688" s="64" t="s">
        <v>3870</v>
      </c>
      <c r="K688" s="1940" t="s">
        <v>5700</v>
      </c>
      <c r="L688" s="1940" t="s">
        <v>8429</v>
      </c>
      <c r="M688" t="s">
        <v>11816</v>
      </c>
      <c r="N688" t="s">
        <v>10144</v>
      </c>
      <c r="O688" t="s">
        <v>5699</v>
      </c>
      <c r="P688" s="614">
        <f>COUNTIF(EducPlans_кодНАЦИД_Спец[аФакСец],EducPlans_кодНАЦИД_Спец[[#This Row],[аФакСец]])</f>
        <v>1</v>
      </c>
    </row>
    <row r="689" spans="3:16" x14ac:dyDescent="0.25">
      <c r="C689" s="614">
        <v>683</v>
      </c>
      <c r="D689" s="614">
        <v>11265</v>
      </c>
      <c r="E689" s="64" t="s">
        <v>1171</v>
      </c>
      <c r="F689" s="64" t="s">
        <v>5701</v>
      </c>
      <c r="G689" s="614" t="s">
        <v>39</v>
      </c>
      <c r="H689" s="614" t="s">
        <v>682</v>
      </c>
      <c r="I689" s="614" t="s">
        <v>1149</v>
      </c>
      <c r="J689" s="64" t="s">
        <v>3869</v>
      </c>
      <c r="K689" s="1940" t="s">
        <v>5702</v>
      </c>
      <c r="L689" s="1940" t="s">
        <v>8430</v>
      </c>
      <c r="M689" t="s">
        <v>11817</v>
      </c>
      <c r="N689" t="s">
        <v>10145</v>
      </c>
      <c r="O689" t="s">
        <v>5701</v>
      </c>
      <c r="P689" s="614">
        <f>COUNTIF(EducPlans_кодНАЦИД_Спец[аФакСец],EducPlans_кодНАЦИД_Спец[[#This Row],[аФакСец]])</f>
        <v>1</v>
      </c>
    </row>
    <row r="690" spans="3:16" x14ac:dyDescent="0.25">
      <c r="C690" s="614">
        <v>684</v>
      </c>
      <c r="D690" s="614">
        <v>11265</v>
      </c>
      <c r="E690" s="64" t="s">
        <v>1171</v>
      </c>
      <c r="F690" s="64" t="s">
        <v>5703</v>
      </c>
      <c r="G690" s="614" t="s">
        <v>39</v>
      </c>
      <c r="H690" s="614" t="s">
        <v>682</v>
      </c>
      <c r="I690" s="614" t="s">
        <v>1149</v>
      </c>
      <c r="J690" s="64" t="s">
        <v>3868</v>
      </c>
      <c r="K690" s="1940" t="s">
        <v>5702</v>
      </c>
      <c r="L690" s="1940" t="s">
        <v>8431</v>
      </c>
      <c r="M690" t="s">
        <v>11818</v>
      </c>
      <c r="N690" t="s">
        <v>10146</v>
      </c>
      <c r="O690" t="s">
        <v>5703</v>
      </c>
      <c r="P690" s="614">
        <f>COUNTIF(EducPlans_кодНАЦИД_Спец[аФакСец],EducPlans_кодНАЦИД_Спец[[#This Row],[аФакСец]])</f>
        <v>1</v>
      </c>
    </row>
    <row r="691" spans="3:16" x14ac:dyDescent="0.25">
      <c r="C691" s="614">
        <v>685</v>
      </c>
      <c r="D691" s="614">
        <v>11265</v>
      </c>
      <c r="E691" s="64" t="s">
        <v>1171</v>
      </c>
      <c r="F691" s="64" t="s">
        <v>13488</v>
      </c>
      <c r="G691" s="614" t="s">
        <v>39</v>
      </c>
      <c r="H691" s="614" t="s">
        <v>682</v>
      </c>
      <c r="I691" s="614" t="s">
        <v>1149</v>
      </c>
      <c r="J691" s="64" t="s">
        <v>13489</v>
      </c>
      <c r="K691" s="1940" t="s">
        <v>5702</v>
      </c>
      <c r="L691" s="1940" t="s">
        <v>13490</v>
      </c>
      <c r="M691" t="s">
        <v>13491</v>
      </c>
      <c r="N691" t="s">
        <v>13492</v>
      </c>
      <c r="O691" t="s">
        <v>13488</v>
      </c>
      <c r="P691" s="614">
        <f>COUNTIF(EducPlans_кодНАЦИД_Спец[аФакСец],EducPlans_кодНАЦИД_Спец[[#This Row],[аФакСец]])</f>
        <v>1</v>
      </c>
    </row>
    <row r="692" spans="3:16" x14ac:dyDescent="0.25">
      <c r="C692" s="614">
        <v>686</v>
      </c>
      <c r="D692" s="614">
        <v>11267</v>
      </c>
      <c r="E692" s="64" t="s">
        <v>1172</v>
      </c>
      <c r="F692" s="64" t="s">
        <v>5704</v>
      </c>
      <c r="G692" s="614" t="s">
        <v>39</v>
      </c>
      <c r="H692" s="614" t="s">
        <v>682</v>
      </c>
      <c r="I692" s="614" t="s">
        <v>1153</v>
      </c>
      <c r="J692" s="64" t="s">
        <v>3872</v>
      </c>
      <c r="K692" s="1940" t="s">
        <v>5705</v>
      </c>
      <c r="L692" s="1940" t="s">
        <v>8432</v>
      </c>
      <c r="M692" t="s">
        <v>11819</v>
      </c>
      <c r="N692" t="s">
        <v>10147</v>
      </c>
      <c r="O692" t="s">
        <v>5704</v>
      </c>
      <c r="P692" s="614">
        <f>COUNTIF(EducPlans_кодНАЦИД_Спец[аФакСец],EducPlans_кодНАЦИД_Спец[[#This Row],[аФакСец]])</f>
        <v>1</v>
      </c>
    </row>
    <row r="693" spans="3:16" x14ac:dyDescent="0.25">
      <c r="C693" s="614">
        <v>687</v>
      </c>
      <c r="D693" s="614">
        <v>11269</v>
      </c>
      <c r="E693" s="64" t="s">
        <v>1172</v>
      </c>
      <c r="F693" s="64" t="s">
        <v>5706</v>
      </c>
      <c r="G693" s="614" t="s">
        <v>39</v>
      </c>
      <c r="H693" s="614" t="s">
        <v>682</v>
      </c>
      <c r="I693" s="614" t="s">
        <v>1149</v>
      </c>
      <c r="J693" s="64" t="s">
        <v>3871</v>
      </c>
      <c r="K693" s="1940" t="s">
        <v>5707</v>
      </c>
      <c r="L693" s="1940" t="s">
        <v>8433</v>
      </c>
      <c r="M693" t="s">
        <v>11820</v>
      </c>
      <c r="N693" t="s">
        <v>10148</v>
      </c>
      <c r="O693" t="s">
        <v>5706</v>
      </c>
      <c r="P693" s="614">
        <f>COUNTIF(EducPlans_кодНАЦИД_Спец[аФакСец],EducPlans_кодНАЦИД_Спец[[#This Row],[аФакСец]])</f>
        <v>1</v>
      </c>
    </row>
    <row r="694" spans="3:16" x14ac:dyDescent="0.25">
      <c r="C694" s="614">
        <v>688</v>
      </c>
      <c r="D694" s="614">
        <v>11762</v>
      </c>
      <c r="E694" s="64" t="s">
        <v>2332</v>
      </c>
      <c r="F694" s="64" t="s">
        <v>5708</v>
      </c>
      <c r="G694" s="614" t="s">
        <v>26</v>
      </c>
      <c r="H694" s="614" t="s">
        <v>681</v>
      </c>
      <c r="I694" s="614" t="s">
        <v>1153</v>
      </c>
      <c r="J694" s="64" t="s">
        <v>3698</v>
      </c>
      <c r="K694" s="1940" t="s">
        <v>5709</v>
      </c>
      <c r="L694" s="1940" t="s">
        <v>8434</v>
      </c>
      <c r="M694" t="s">
        <v>11821</v>
      </c>
      <c r="N694" t="s">
        <v>10149</v>
      </c>
      <c r="O694" t="s">
        <v>5708</v>
      </c>
      <c r="P694" s="614">
        <f>COUNTIF(EducPlans_кодНАЦИД_Спец[аФакСец],EducPlans_кодНАЦИД_Спец[[#This Row],[аФакСец]])</f>
        <v>1</v>
      </c>
    </row>
    <row r="695" spans="3:16" x14ac:dyDescent="0.25">
      <c r="C695" s="614">
        <v>689</v>
      </c>
      <c r="D695" s="614">
        <v>11820</v>
      </c>
      <c r="E695" s="64" t="s">
        <v>2332</v>
      </c>
      <c r="F695" s="64" t="s">
        <v>5710</v>
      </c>
      <c r="G695" s="614" t="s">
        <v>26</v>
      </c>
      <c r="H695" s="614" t="s">
        <v>682</v>
      </c>
      <c r="I695" s="614" t="s">
        <v>1153</v>
      </c>
      <c r="J695" s="64" t="s">
        <v>5711</v>
      </c>
      <c r="K695" s="1940" t="s">
        <v>5712</v>
      </c>
      <c r="L695" s="1940" t="s">
        <v>8435</v>
      </c>
      <c r="M695" t="s">
        <v>11822</v>
      </c>
      <c r="N695" t="s">
        <v>10150</v>
      </c>
      <c r="O695" t="s">
        <v>5710</v>
      </c>
      <c r="P695" s="614">
        <f>COUNTIF(EducPlans_кодНАЦИД_Спец[аФакСец],EducPlans_кодНАЦИД_Спец[[#This Row],[аФакСец]])</f>
        <v>1</v>
      </c>
    </row>
    <row r="696" spans="3:16" x14ac:dyDescent="0.25">
      <c r="C696" s="614">
        <v>690</v>
      </c>
      <c r="D696" s="614">
        <v>11820</v>
      </c>
      <c r="E696" s="64" t="s">
        <v>2332</v>
      </c>
      <c r="F696" s="64" t="s">
        <v>5713</v>
      </c>
      <c r="G696" s="614" t="s">
        <v>26</v>
      </c>
      <c r="H696" s="614" t="s">
        <v>682</v>
      </c>
      <c r="I696" s="614" t="s">
        <v>1153</v>
      </c>
      <c r="J696" s="64" t="s">
        <v>5714</v>
      </c>
      <c r="K696" s="1940" t="s">
        <v>5712</v>
      </c>
      <c r="L696" s="1940" t="s">
        <v>8436</v>
      </c>
      <c r="M696" t="s">
        <v>11823</v>
      </c>
      <c r="N696" t="s">
        <v>10151</v>
      </c>
      <c r="O696" t="s">
        <v>5713</v>
      </c>
      <c r="P696" s="614">
        <f>COUNTIF(EducPlans_кодНАЦИД_Спец[аФакСец],EducPlans_кодНАЦИД_Спец[[#This Row],[аФакСец]])</f>
        <v>1</v>
      </c>
    </row>
    <row r="697" spans="3:16" x14ac:dyDescent="0.25">
      <c r="C697" s="614">
        <v>691</v>
      </c>
      <c r="D697" s="614">
        <v>11820</v>
      </c>
      <c r="E697" s="64" t="s">
        <v>2332</v>
      </c>
      <c r="F697" s="64" t="s">
        <v>5715</v>
      </c>
      <c r="G697" s="614" t="s">
        <v>26</v>
      </c>
      <c r="H697" s="614" t="s">
        <v>682</v>
      </c>
      <c r="I697" s="614" t="s">
        <v>1153</v>
      </c>
      <c r="J697" s="64" t="s">
        <v>5716</v>
      </c>
      <c r="K697" s="1940" t="s">
        <v>5712</v>
      </c>
      <c r="L697" s="1940" t="s">
        <v>8437</v>
      </c>
      <c r="M697" t="s">
        <v>11824</v>
      </c>
      <c r="N697" t="s">
        <v>10152</v>
      </c>
      <c r="O697" t="s">
        <v>5715</v>
      </c>
      <c r="P697" s="614">
        <f>COUNTIF(EducPlans_кодНАЦИД_Спец[аФакСец],EducPlans_кодНАЦИД_Спец[[#This Row],[аФакСец]])</f>
        <v>1</v>
      </c>
    </row>
    <row r="698" spans="3:16" x14ac:dyDescent="0.25">
      <c r="C698" s="614">
        <v>692</v>
      </c>
      <c r="D698" s="614">
        <v>11822</v>
      </c>
      <c r="E698" s="64" t="s">
        <v>2332</v>
      </c>
      <c r="F698" s="64" t="s">
        <v>5717</v>
      </c>
      <c r="G698" s="614" t="s">
        <v>26</v>
      </c>
      <c r="H698" s="614" t="s">
        <v>682</v>
      </c>
      <c r="I698" s="614" t="s">
        <v>1153</v>
      </c>
      <c r="J698" s="64" t="s">
        <v>3701</v>
      </c>
      <c r="K698" s="1940" t="s">
        <v>5718</v>
      </c>
      <c r="L698" s="1940" t="s">
        <v>8438</v>
      </c>
      <c r="M698" t="s">
        <v>11825</v>
      </c>
      <c r="N698" t="s">
        <v>10153</v>
      </c>
      <c r="O698" t="s">
        <v>5717</v>
      </c>
      <c r="P698" s="614">
        <f>COUNTIF(EducPlans_кодНАЦИД_Спец[аФакСец],EducPlans_кодНАЦИД_Спец[[#This Row],[аФакСец]])</f>
        <v>1</v>
      </c>
    </row>
    <row r="699" spans="3:16" x14ac:dyDescent="0.25">
      <c r="C699" s="614">
        <v>693</v>
      </c>
      <c r="D699" s="614">
        <v>11822</v>
      </c>
      <c r="E699" s="64" t="s">
        <v>2332</v>
      </c>
      <c r="F699" s="64" t="s">
        <v>5719</v>
      </c>
      <c r="G699" s="614" t="s">
        <v>26</v>
      </c>
      <c r="H699" s="614" t="s">
        <v>682</v>
      </c>
      <c r="I699" s="614" t="s">
        <v>1153</v>
      </c>
      <c r="J699" s="64" t="s">
        <v>3699</v>
      </c>
      <c r="K699" s="1940" t="s">
        <v>5718</v>
      </c>
      <c r="L699" s="1940" t="s">
        <v>8439</v>
      </c>
      <c r="M699" t="s">
        <v>11826</v>
      </c>
      <c r="N699" t="s">
        <v>10154</v>
      </c>
      <c r="O699" t="s">
        <v>5719</v>
      </c>
      <c r="P699" s="614">
        <f>COUNTIF(EducPlans_кодНАЦИД_Спец[аФакСец],EducPlans_кодНАЦИД_Спец[[#This Row],[аФакСец]])</f>
        <v>1</v>
      </c>
    </row>
    <row r="700" spans="3:16" x14ac:dyDescent="0.25">
      <c r="C700" s="614">
        <v>694</v>
      </c>
      <c r="D700" s="614">
        <v>11822</v>
      </c>
      <c r="E700" s="64" t="s">
        <v>2332</v>
      </c>
      <c r="F700" s="64" t="s">
        <v>5720</v>
      </c>
      <c r="G700" s="614" t="s">
        <v>26</v>
      </c>
      <c r="H700" s="614" t="s">
        <v>682</v>
      </c>
      <c r="I700" s="614" t="s">
        <v>1153</v>
      </c>
      <c r="J700" s="64" t="s">
        <v>3702</v>
      </c>
      <c r="K700" s="1940" t="s">
        <v>5718</v>
      </c>
      <c r="L700" s="1940" t="s">
        <v>8440</v>
      </c>
      <c r="M700" t="s">
        <v>11827</v>
      </c>
      <c r="N700" t="s">
        <v>10155</v>
      </c>
      <c r="O700" t="s">
        <v>5720</v>
      </c>
      <c r="P700" s="614">
        <f>COUNTIF(EducPlans_кодНАЦИД_Спец[аФакСец],EducPlans_кодНАЦИД_Спец[[#This Row],[аФакСец]])</f>
        <v>1</v>
      </c>
    </row>
    <row r="701" spans="3:16" x14ac:dyDescent="0.25">
      <c r="C701" s="614">
        <v>695</v>
      </c>
      <c r="D701" s="614">
        <v>11822</v>
      </c>
      <c r="E701" s="64" t="s">
        <v>2332</v>
      </c>
      <c r="F701" s="64" t="s">
        <v>5721</v>
      </c>
      <c r="G701" s="614" t="s">
        <v>26</v>
      </c>
      <c r="H701" s="614" t="s">
        <v>682</v>
      </c>
      <c r="I701" s="614" t="s">
        <v>1153</v>
      </c>
      <c r="J701" s="64" t="s">
        <v>3700</v>
      </c>
      <c r="K701" s="1940" t="s">
        <v>5718</v>
      </c>
      <c r="L701" s="1940" t="s">
        <v>8441</v>
      </c>
      <c r="M701" t="s">
        <v>11828</v>
      </c>
      <c r="N701" t="s">
        <v>10156</v>
      </c>
      <c r="O701" t="s">
        <v>5721</v>
      </c>
      <c r="P701" s="614">
        <f>COUNTIF(EducPlans_кодНАЦИД_Спец[аФакСец],EducPlans_кодНАЦИД_Спец[[#This Row],[аФакСец]])</f>
        <v>1</v>
      </c>
    </row>
    <row r="702" spans="3:16" x14ac:dyDescent="0.25">
      <c r="C702" s="614">
        <v>696</v>
      </c>
      <c r="D702" s="614">
        <v>583049</v>
      </c>
      <c r="E702" s="64" t="s">
        <v>2170</v>
      </c>
      <c r="F702" s="64" t="s">
        <v>5722</v>
      </c>
      <c r="G702" s="614" t="s">
        <v>29</v>
      </c>
      <c r="H702" s="614" t="s">
        <v>682</v>
      </c>
      <c r="I702" s="614" t="s">
        <v>1149</v>
      </c>
      <c r="J702" s="64" t="s">
        <v>5723</v>
      </c>
      <c r="K702" s="1940" t="s">
        <v>5724</v>
      </c>
      <c r="L702" s="1940" t="s">
        <v>8442</v>
      </c>
      <c r="M702" t="s">
        <v>11829</v>
      </c>
      <c r="N702" t="s">
        <v>10157</v>
      </c>
      <c r="O702" t="s">
        <v>5722</v>
      </c>
      <c r="P702" s="614">
        <f>COUNTIF(EducPlans_кодНАЦИД_Спец[аФакСец],EducPlans_кодНАЦИД_Спец[[#This Row],[аФакСец]])</f>
        <v>1</v>
      </c>
    </row>
    <row r="703" spans="3:16" x14ac:dyDescent="0.25">
      <c r="C703" s="614">
        <v>697</v>
      </c>
      <c r="D703" s="614">
        <v>11842</v>
      </c>
      <c r="E703" s="64" t="s">
        <v>2334</v>
      </c>
      <c r="F703" s="64" t="s">
        <v>5725</v>
      </c>
      <c r="G703" s="614" t="s">
        <v>26</v>
      </c>
      <c r="H703" s="614" t="s">
        <v>682</v>
      </c>
      <c r="I703" s="614" t="s">
        <v>1153</v>
      </c>
      <c r="J703" s="64" t="s">
        <v>3703</v>
      </c>
      <c r="K703" s="1940" t="s">
        <v>5726</v>
      </c>
      <c r="L703" s="1940" t="s">
        <v>8443</v>
      </c>
      <c r="M703" t="s">
        <v>11830</v>
      </c>
      <c r="N703" t="s">
        <v>10158</v>
      </c>
      <c r="O703" t="s">
        <v>5725</v>
      </c>
      <c r="P703" s="614">
        <f>COUNTIF(EducPlans_кодНАЦИД_Спец[аФакСец],EducPlans_кодНАЦИД_Спец[[#This Row],[аФакСец]])</f>
        <v>1</v>
      </c>
    </row>
    <row r="704" spans="3:16" x14ac:dyDescent="0.25">
      <c r="C704" s="614">
        <v>698</v>
      </c>
      <c r="D704" s="614">
        <v>11842</v>
      </c>
      <c r="E704" s="64" t="s">
        <v>2334</v>
      </c>
      <c r="F704" s="64" t="s">
        <v>5727</v>
      </c>
      <c r="G704" s="614" t="s">
        <v>26</v>
      </c>
      <c r="H704" s="614" t="s">
        <v>682</v>
      </c>
      <c r="I704" s="614" t="s">
        <v>1153</v>
      </c>
      <c r="J704" s="64" t="s">
        <v>3704</v>
      </c>
      <c r="K704" s="1940" t="s">
        <v>5726</v>
      </c>
      <c r="L704" s="1940" t="s">
        <v>8444</v>
      </c>
      <c r="M704" t="s">
        <v>11831</v>
      </c>
      <c r="N704" t="s">
        <v>10159</v>
      </c>
      <c r="O704" t="s">
        <v>5727</v>
      </c>
      <c r="P704" s="614">
        <f>COUNTIF(EducPlans_кодНАЦИД_Спец[аФакСец],EducPlans_кодНАЦИД_Спец[[#This Row],[аФакСец]])</f>
        <v>1</v>
      </c>
    </row>
    <row r="705" spans="3:16" x14ac:dyDescent="0.25">
      <c r="C705" s="614">
        <v>699</v>
      </c>
      <c r="D705" s="614">
        <v>11844</v>
      </c>
      <c r="E705" s="64" t="s">
        <v>2335</v>
      </c>
      <c r="F705" s="64" t="s">
        <v>5728</v>
      </c>
      <c r="G705" s="614" t="s">
        <v>26</v>
      </c>
      <c r="H705" s="614" t="s">
        <v>682</v>
      </c>
      <c r="I705" s="614" t="s">
        <v>1153</v>
      </c>
      <c r="J705" s="64" t="s">
        <v>5729</v>
      </c>
      <c r="K705" s="1940" t="s">
        <v>5730</v>
      </c>
      <c r="L705" s="1940" t="s">
        <v>8445</v>
      </c>
      <c r="M705" t="s">
        <v>11832</v>
      </c>
      <c r="N705" t="s">
        <v>10160</v>
      </c>
      <c r="O705" t="s">
        <v>5728</v>
      </c>
      <c r="P705" s="614">
        <f>COUNTIF(EducPlans_кодНАЦИД_Спец[аФакСец],EducPlans_кодНАЦИД_Спец[[#This Row],[аФакСец]])</f>
        <v>1</v>
      </c>
    </row>
    <row r="706" spans="3:16" x14ac:dyDescent="0.25">
      <c r="C706" s="614">
        <v>700</v>
      </c>
      <c r="D706" s="614">
        <v>11851</v>
      </c>
      <c r="E706" s="64" t="s">
        <v>2336</v>
      </c>
      <c r="F706" s="64" t="s">
        <v>5731</v>
      </c>
      <c r="G706" s="614" t="s">
        <v>26</v>
      </c>
      <c r="H706" s="614" t="s">
        <v>682</v>
      </c>
      <c r="I706" s="614" t="s">
        <v>1153</v>
      </c>
      <c r="J706" s="64" t="s">
        <v>3705</v>
      </c>
      <c r="K706" s="1940" t="s">
        <v>5732</v>
      </c>
      <c r="L706" s="1940" t="s">
        <v>8446</v>
      </c>
      <c r="M706" t="s">
        <v>11833</v>
      </c>
      <c r="N706" t="s">
        <v>10161</v>
      </c>
      <c r="O706" t="s">
        <v>5731</v>
      </c>
      <c r="P706" s="614">
        <f>COUNTIF(EducPlans_кодНАЦИД_Спец[аФакСец],EducPlans_кодНАЦИД_Спец[[#This Row],[аФакСец]])</f>
        <v>1</v>
      </c>
    </row>
    <row r="707" spans="3:16" x14ac:dyDescent="0.25">
      <c r="C707" s="614">
        <v>701</v>
      </c>
      <c r="D707" s="614">
        <v>11516</v>
      </c>
      <c r="E707" s="64" t="s">
        <v>904</v>
      </c>
      <c r="F707" s="64" t="s">
        <v>5733</v>
      </c>
      <c r="G707" s="614" t="s">
        <v>33</v>
      </c>
      <c r="H707" s="614" t="s">
        <v>681</v>
      </c>
      <c r="I707" s="614" t="s">
        <v>1153</v>
      </c>
      <c r="J707" s="64" t="s">
        <v>905</v>
      </c>
      <c r="K707" s="1940" t="s">
        <v>5734</v>
      </c>
      <c r="L707" s="1940" t="s">
        <v>8447</v>
      </c>
      <c r="M707" t="s">
        <v>11834</v>
      </c>
      <c r="N707" t="s">
        <v>10162</v>
      </c>
      <c r="O707" t="s">
        <v>5733</v>
      </c>
      <c r="P707" s="614">
        <f>COUNTIF(EducPlans_кодНАЦИД_Спец[аФакСец],EducPlans_кодНАЦИД_Спец[[#This Row],[аФакСец]])</f>
        <v>1</v>
      </c>
    </row>
    <row r="708" spans="3:16" x14ac:dyDescent="0.25">
      <c r="C708" s="614">
        <v>702</v>
      </c>
      <c r="D708" s="614">
        <v>11518</v>
      </c>
      <c r="E708" s="64" t="s">
        <v>1394</v>
      </c>
      <c r="F708" s="64" t="s">
        <v>5735</v>
      </c>
      <c r="G708" s="614" t="s">
        <v>33</v>
      </c>
      <c r="H708" s="614" t="s">
        <v>681</v>
      </c>
      <c r="I708" s="614" t="s">
        <v>1153</v>
      </c>
      <c r="J708" s="64" t="s">
        <v>3543</v>
      </c>
      <c r="K708" s="1940" t="s">
        <v>5736</v>
      </c>
      <c r="L708" s="1940" t="s">
        <v>8448</v>
      </c>
      <c r="M708" t="s">
        <v>11835</v>
      </c>
      <c r="N708" t="s">
        <v>10163</v>
      </c>
      <c r="O708" t="s">
        <v>5735</v>
      </c>
      <c r="P708" s="614">
        <f>COUNTIF(EducPlans_кодНАЦИД_Спец[аФакСец],EducPlans_кодНАЦИД_Спец[[#This Row],[аФакСец]])</f>
        <v>1</v>
      </c>
    </row>
    <row r="709" spans="3:16" x14ac:dyDescent="0.25">
      <c r="C709" s="614">
        <v>703</v>
      </c>
      <c r="D709" s="614">
        <v>624812</v>
      </c>
      <c r="E709" s="64" t="s">
        <v>1394</v>
      </c>
      <c r="F709" s="64" t="s">
        <v>5737</v>
      </c>
      <c r="G709" s="614" t="s">
        <v>33</v>
      </c>
      <c r="H709" s="614" t="s">
        <v>682</v>
      </c>
      <c r="I709" s="614" t="s">
        <v>1153</v>
      </c>
      <c r="J709" s="64" t="s">
        <v>5738</v>
      </c>
      <c r="K709" s="1940" t="s">
        <v>5739</v>
      </c>
      <c r="L709" s="1940" t="s">
        <v>8449</v>
      </c>
      <c r="M709" t="s">
        <v>11836</v>
      </c>
      <c r="N709" t="s">
        <v>10164</v>
      </c>
      <c r="O709" t="s">
        <v>5737</v>
      </c>
      <c r="P709" s="614">
        <f>COUNTIF(EducPlans_кодНАЦИД_Спец[аФакСец],EducPlans_кодНАЦИД_Спец[[#This Row],[аФакСец]])</f>
        <v>1</v>
      </c>
    </row>
    <row r="710" spans="3:16" x14ac:dyDescent="0.25">
      <c r="C710" s="614">
        <v>704</v>
      </c>
      <c r="D710" s="614">
        <v>624361</v>
      </c>
      <c r="E710" s="64" t="s">
        <v>1395</v>
      </c>
      <c r="F710" s="64" t="s">
        <v>5740</v>
      </c>
      <c r="G710" s="614" t="s">
        <v>33</v>
      </c>
      <c r="H710" s="614" t="s">
        <v>682</v>
      </c>
      <c r="I710" s="614" t="s">
        <v>1153</v>
      </c>
      <c r="J710" s="64" t="s">
        <v>5741</v>
      </c>
      <c r="K710" s="1940" t="s">
        <v>5742</v>
      </c>
      <c r="L710" s="1940" t="s">
        <v>8450</v>
      </c>
      <c r="M710" t="s">
        <v>11837</v>
      </c>
      <c r="N710" t="s">
        <v>10165</v>
      </c>
      <c r="O710" t="s">
        <v>5740</v>
      </c>
      <c r="P710" s="614">
        <f>COUNTIF(EducPlans_кодНАЦИД_Спец[аФакСец],EducPlans_кодНАЦИД_Спец[[#This Row],[аФакСец]])</f>
        <v>1</v>
      </c>
    </row>
    <row r="711" spans="3:16" x14ac:dyDescent="0.25">
      <c r="C711" s="614">
        <v>705</v>
      </c>
      <c r="D711" s="614">
        <v>11151</v>
      </c>
      <c r="E711" s="64" t="s">
        <v>1556</v>
      </c>
      <c r="F711" s="64" t="s">
        <v>5743</v>
      </c>
      <c r="G711" s="614" t="s">
        <v>48</v>
      </c>
      <c r="H711" s="614" t="s">
        <v>682</v>
      </c>
      <c r="I711" s="614" t="s">
        <v>1153</v>
      </c>
      <c r="J711" s="64" t="s">
        <v>3137</v>
      </c>
      <c r="K711" s="1940" t="s">
        <v>5744</v>
      </c>
      <c r="L711" s="1940" t="s">
        <v>8451</v>
      </c>
      <c r="M711" t="s">
        <v>11838</v>
      </c>
      <c r="N711" t="s">
        <v>10166</v>
      </c>
      <c r="O711" t="s">
        <v>5743</v>
      </c>
      <c r="P711" s="614">
        <f>COUNTIF(EducPlans_кодНАЦИД_Спец[аФакСец],EducPlans_кодНАЦИД_Спец[[#This Row],[аФакСец]])</f>
        <v>1</v>
      </c>
    </row>
    <row r="712" spans="3:16" x14ac:dyDescent="0.25">
      <c r="C712" s="614">
        <v>706</v>
      </c>
      <c r="D712" s="614">
        <v>11026</v>
      </c>
      <c r="E712" s="64" t="s">
        <v>1557</v>
      </c>
      <c r="F712" s="64" t="s">
        <v>5745</v>
      </c>
      <c r="G712" s="614" t="s">
        <v>48</v>
      </c>
      <c r="H712" s="614" t="s">
        <v>681</v>
      </c>
      <c r="I712" s="614" t="s">
        <v>1153</v>
      </c>
      <c r="J712" s="64" t="s">
        <v>3139</v>
      </c>
      <c r="K712" s="1940" t="s">
        <v>5746</v>
      </c>
      <c r="L712" s="1940" t="s">
        <v>8452</v>
      </c>
      <c r="M712" t="s">
        <v>11839</v>
      </c>
      <c r="N712" t="s">
        <v>10167</v>
      </c>
      <c r="O712" t="s">
        <v>5745</v>
      </c>
      <c r="P712" s="614">
        <f>COUNTIF(EducPlans_кодНАЦИД_Спец[аФакСец],EducPlans_кодНАЦИД_Спец[[#This Row],[аФакСец]])</f>
        <v>1</v>
      </c>
    </row>
    <row r="713" spans="3:16" x14ac:dyDescent="0.25">
      <c r="C713" s="614">
        <v>707</v>
      </c>
      <c r="D713" s="614">
        <v>11028</v>
      </c>
      <c r="E713" s="64" t="s">
        <v>1557</v>
      </c>
      <c r="F713" s="64" t="s">
        <v>5747</v>
      </c>
      <c r="G713" s="614" t="s">
        <v>48</v>
      </c>
      <c r="H713" s="614" t="s">
        <v>681</v>
      </c>
      <c r="I713" s="614" t="s">
        <v>1149</v>
      </c>
      <c r="J713" s="64" t="s">
        <v>3138</v>
      </c>
      <c r="K713" s="1940" t="s">
        <v>5748</v>
      </c>
      <c r="L713" s="1940" t="s">
        <v>8453</v>
      </c>
      <c r="M713" t="s">
        <v>11840</v>
      </c>
      <c r="N713" t="s">
        <v>10168</v>
      </c>
      <c r="O713" t="s">
        <v>5747</v>
      </c>
      <c r="P713" s="614">
        <f>COUNTIF(EducPlans_кодНАЦИД_Спец[аФакСец],EducPlans_кодНАЦИД_Спец[[#This Row],[аФакСец]])</f>
        <v>1</v>
      </c>
    </row>
    <row r="714" spans="3:16" x14ac:dyDescent="0.25">
      <c r="C714" s="614">
        <v>708</v>
      </c>
      <c r="D714" s="614">
        <v>588880</v>
      </c>
      <c r="E714" s="64" t="s">
        <v>1557</v>
      </c>
      <c r="F714" s="64" t="s">
        <v>5749</v>
      </c>
      <c r="G714" s="614" t="s">
        <v>48</v>
      </c>
      <c r="H714" s="614" t="s">
        <v>682</v>
      </c>
      <c r="I714" s="614" t="s">
        <v>1153</v>
      </c>
      <c r="J714" s="64" t="s">
        <v>5750</v>
      </c>
      <c r="K714" s="1940" t="s">
        <v>5751</v>
      </c>
      <c r="L714" s="1940" t="s">
        <v>8454</v>
      </c>
      <c r="M714" t="s">
        <v>11841</v>
      </c>
      <c r="N714" t="s">
        <v>10169</v>
      </c>
      <c r="O714" t="s">
        <v>5749</v>
      </c>
      <c r="P714" s="614">
        <f>COUNTIF(EducPlans_кодНАЦИД_Спец[аФакСец],EducPlans_кодНАЦИД_Спец[[#This Row],[аФакСец]])</f>
        <v>1</v>
      </c>
    </row>
    <row r="715" spans="3:16" x14ac:dyDescent="0.25">
      <c r="C715" s="614">
        <v>709</v>
      </c>
      <c r="D715" s="614">
        <v>11017</v>
      </c>
      <c r="E715" s="64" t="s">
        <v>1289</v>
      </c>
      <c r="F715" s="64" t="s">
        <v>5752</v>
      </c>
      <c r="G715" s="614" t="s">
        <v>48</v>
      </c>
      <c r="H715" s="614" t="s">
        <v>681</v>
      </c>
      <c r="I715" s="614" t="s">
        <v>1153</v>
      </c>
      <c r="J715" s="64" t="s">
        <v>3140</v>
      </c>
      <c r="K715" s="1940" t="s">
        <v>5753</v>
      </c>
      <c r="L715" s="1940" t="s">
        <v>8455</v>
      </c>
      <c r="M715" t="s">
        <v>11842</v>
      </c>
      <c r="N715" t="s">
        <v>10170</v>
      </c>
      <c r="O715" t="s">
        <v>5752</v>
      </c>
      <c r="P715" s="614">
        <f>COUNTIF(EducPlans_кодНАЦИД_Спец[аФакСец],EducPlans_кодНАЦИД_Спец[[#This Row],[аФакСец]])</f>
        <v>1</v>
      </c>
    </row>
    <row r="716" spans="3:16" x14ac:dyDescent="0.25">
      <c r="C716" s="614">
        <v>710</v>
      </c>
      <c r="D716" s="614">
        <v>11068</v>
      </c>
      <c r="E716" s="64" t="s">
        <v>1559</v>
      </c>
      <c r="F716" s="64" t="s">
        <v>5754</v>
      </c>
      <c r="G716" s="614" t="s">
        <v>48</v>
      </c>
      <c r="H716" s="614" t="s">
        <v>681</v>
      </c>
      <c r="I716" s="614" t="s">
        <v>1153</v>
      </c>
      <c r="J716" s="64" t="s">
        <v>3141</v>
      </c>
      <c r="K716" s="1940" t="s">
        <v>5755</v>
      </c>
      <c r="L716" s="1940" t="s">
        <v>8456</v>
      </c>
      <c r="M716" t="s">
        <v>11843</v>
      </c>
      <c r="N716" t="s">
        <v>10171</v>
      </c>
      <c r="O716" t="s">
        <v>5754</v>
      </c>
      <c r="P716" s="614">
        <f>COUNTIF(EducPlans_кодНАЦИД_Спец[аФакСец],EducPlans_кодНАЦИД_Спец[[#This Row],[аФакСец]])</f>
        <v>1</v>
      </c>
    </row>
    <row r="717" spans="3:16" x14ac:dyDescent="0.25">
      <c r="C717" s="614">
        <v>711</v>
      </c>
      <c r="D717" s="614">
        <v>11160</v>
      </c>
      <c r="E717" s="64" t="s">
        <v>1560</v>
      </c>
      <c r="F717" s="64" t="s">
        <v>5756</v>
      </c>
      <c r="G717" s="614" t="s">
        <v>48</v>
      </c>
      <c r="H717" s="614" t="s">
        <v>682</v>
      </c>
      <c r="I717" s="614" t="s">
        <v>1153</v>
      </c>
      <c r="J717" s="64" t="s">
        <v>3144</v>
      </c>
      <c r="K717" s="1940" t="s">
        <v>5757</v>
      </c>
      <c r="L717" s="1940" t="s">
        <v>8457</v>
      </c>
      <c r="M717" t="s">
        <v>11844</v>
      </c>
      <c r="N717" t="s">
        <v>10172</v>
      </c>
      <c r="O717" t="s">
        <v>5756</v>
      </c>
      <c r="P717" s="614">
        <f>COUNTIF(EducPlans_кодНАЦИД_Спец[аФакСец],EducPlans_кодНАЦИД_Спец[[#This Row],[аФакСец]])</f>
        <v>1</v>
      </c>
    </row>
    <row r="718" spans="3:16" x14ac:dyDescent="0.25">
      <c r="C718" s="614">
        <v>712</v>
      </c>
      <c r="D718" s="614">
        <v>11160</v>
      </c>
      <c r="E718" s="64" t="s">
        <v>1560</v>
      </c>
      <c r="F718" s="64" t="s">
        <v>5758</v>
      </c>
      <c r="G718" s="614" t="s">
        <v>48</v>
      </c>
      <c r="H718" s="614" t="s">
        <v>682</v>
      </c>
      <c r="I718" s="614" t="s">
        <v>1153</v>
      </c>
      <c r="J718" s="64" t="s">
        <v>3142</v>
      </c>
      <c r="K718" s="1940" t="s">
        <v>5757</v>
      </c>
      <c r="L718" s="1940" t="s">
        <v>8458</v>
      </c>
      <c r="M718" t="s">
        <v>11845</v>
      </c>
      <c r="N718" t="s">
        <v>10173</v>
      </c>
      <c r="O718" t="s">
        <v>5758</v>
      </c>
      <c r="P718" s="614">
        <f>COUNTIF(EducPlans_кодНАЦИД_Спец[аФакСец],EducPlans_кодНАЦИД_Спец[[#This Row],[аФакСец]])</f>
        <v>1</v>
      </c>
    </row>
    <row r="719" spans="3:16" x14ac:dyDescent="0.25">
      <c r="C719" s="614">
        <v>713</v>
      </c>
      <c r="D719" s="614">
        <v>11160</v>
      </c>
      <c r="E719" s="64" t="s">
        <v>1560</v>
      </c>
      <c r="F719" s="64" t="s">
        <v>5759</v>
      </c>
      <c r="G719" s="614" t="s">
        <v>48</v>
      </c>
      <c r="H719" s="614" t="s">
        <v>682</v>
      </c>
      <c r="I719" s="614" t="s">
        <v>1153</v>
      </c>
      <c r="J719" s="64" t="s">
        <v>3143</v>
      </c>
      <c r="K719" s="1940" t="s">
        <v>5757</v>
      </c>
      <c r="L719" s="1940" t="s">
        <v>8459</v>
      </c>
      <c r="M719" t="s">
        <v>11846</v>
      </c>
      <c r="N719" t="s">
        <v>10174</v>
      </c>
      <c r="O719" t="s">
        <v>5759</v>
      </c>
      <c r="P719" s="614">
        <f>COUNTIF(EducPlans_кодНАЦИД_Спец[аФакСец],EducPlans_кодНАЦИД_Спец[[#This Row],[аФакСец]])</f>
        <v>1</v>
      </c>
    </row>
    <row r="720" spans="3:16" x14ac:dyDescent="0.25">
      <c r="C720" s="614">
        <v>714</v>
      </c>
      <c r="D720" s="614">
        <v>141836</v>
      </c>
      <c r="E720" s="64" t="s">
        <v>1561</v>
      </c>
      <c r="F720" s="64" t="s">
        <v>5760</v>
      </c>
      <c r="G720" s="614" t="s">
        <v>48</v>
      </c>
      <c r="H720" s="614" t="s">
        <v>682</v>
      </c>
      <c r="I720" s="614" t="s">
        <v>1153</v>
      </c>
      <c r="J720" s="64" t="s">
        <v>3147</v>
      </c>
      <c r="K720" s="1940" t="s">
        <v>5761</v>
      </c>
      <c r="L720" s="1940" t="s">
        <v>8460</v>
      </c>
      <c r="M720" t="s">
        <v>11847</v>
      </c>
      <c r="N720" t="s">
        <v>10175</v>
      </c>
      <c r="O720" t="s">
        <v>5760</v>
      </c>
      <c r="P720" s="614">
        <f>COUNTIF(EducPlans_кодНАЦИД_Спец[аФакСец],EducPlans_кодНАЦИД_Спец[[#This Row],[аФакСец]])</f>
        <v>1</v>
      </c>
    </row>
    <row r="721" spans="3:16" x14ac:dyDescent="0.25">
      <c r="C721" s="614">
        <v>715</v>
      </c>
      <c r="D721" s="614">
        <v>141836</v>
      </c>
      <c r="E721" s="64" t="s">
        <v>1561</v>
      </c>
      <c r="F721" s="64" t="s">
        <v>5762</v>
      </c>
      <c r="G721" s="614" t="s">
        <v>48</v>
      </c>
      <c r="H721" s="614" t="s">
        <v>682</v>
      </c>
      <c r="I721" s="614" t="s">
        <v>1153</v>
      </c>
      <c r="J721" s="64" t="s">
        <v>3146</v>
      </c>
      <c r="K721" s="1940" t="s">
        <v>5761</v>
      </c>
      <c r="L721" s="1940" t="s">
        <v>8461</v>
      </c>
      <c r="M721" t="s">
        <v>11848</v>
      </c>
      <c r="N721" t="s">
        <v>10176</v>
      </c>
      <c r="O721" t="s">
        <v>5762</v>
      </c>
      <c r="P721" s="614">
        <f>COUNTIF(EducPlans_кодНАЦИД_Спец[аФакСец],EducPlans_кодНАЦИД_Спец[[#This Row],[аФакСец]])</f>
        <v>1</v>
      </c>
    </row>
    <row r="722" spans="3:16" x14ac:dyDescent="0.25">
      <c r="C722" s="614">
        <v>716</v>
      </c>
      <c r="D722" s="614">
        <v>10898</v>
      </c>
      <c r="E722" s="64" t="s">
        <v>1602</v>
      </c>
      <c r="F722" s="64" t="s">
        <v>5763</v>
      </c>
      <c r="G722" s="614" t="s">
        <v>35</v>
      </c>
      <c r="H722" s="614" t="s">
        <v>682</v>
      </c>
      <c r="I722" s="614" t="s">
        <v>1153</v>
      </c>
      <c r="J722" s="64" t="s">
        <v>4008</v>
      </c>
      <c r="K722" s="1940" t="s">
        <v>5764</v>
      </c>
      <c r="L722" s="1940" t="s">
        <v>8462</v>
      </c>
      <c r="M722" t="s">
        <v>11849</v>
      </c>
      <c r="N722" t="s">
        <v>10177</v>
      </c>
      <c r="O722" t="s">
        <v>5763</v>
      </c>
      <c r="P722" s="614">
        <f>COUNTIF(EducPlans_кодНАЦИД_Спец[аФакСец],EducPlans_кодНАЦИД_Спец[[#This Row],[аФакСец]])</f>
        <v>1</v>
      </c>
    </row>
    <row r="723" spans="3:16" x14ac:dyDescent="0.25">
      <c r="C723" s="614">
        <v>717</v>
      </c>
      <c r="D723" s="614">
        <v>10900</v>
      </c>
      <c r="E723" s="64" t="s">
        <v>1603</v>
      </c>
      <c r="F723" s="64" t="s">
        <v>5765</v>
      </c>
      <c r="G723" s="614" t="s">
        <v>35</v>
      </c>
      <c r="H723" s="614" t="s">
        <v>682</v>
      </c>
      <c r="I723" s="614" t="s">
        <v>1153</v>
      </c>
      <c r="J723" s="64" t="s">
        <v>4009</v>
      </c>
      <c r="K723" s="1940" t="s">
        <v>5766</v>
      </c>
      <c r="L723" s="1940" t="s">
        <v>8463</v>
      </c>
      <c r="M723" t="s">
        <v>11850</v>
      </c>
      <c r="N723" t="s">
        <v>10178</v>
      </c>
      <c r="O723" t="s">
        <v>5765</v>
      </c>
      <c r="P723" s="614">
        <f>COUNTIF(EducPlans_кодНАЦИД_Спец[аФакСец],EducPlans_кодНАЦИД_Спец[[#This Row],[аФакСец]])</f>
        <v>1</v>
      </c>
    </row>
    <row r="724" spans="3:16" x14ac:dyDescent="0.25">
      <c r="C724" s="614">
        <v>718</v>
      </c>
      <c r="D724" s="614">
        <v>11019</v>
      </c>
      <c r="E724" s="64" t="s">
        <v>1290</v>
      </c>
      <c r="F724" s="64" t="s">
        <v>5767</v>
      </c>
      <c r="G724" s="614" t="s">
        <v>48</v>
      </c>
      <c r="H724" s="614" t="s">
        <v>681</v>
      </c>
      <c r="I724" s="614" t="s">
        <v>1153</v>
      </c>
      <c r="J724" s="64" t="s">
        <v>3148</v>
      </c>
      <c r="K724" s="1940" t="s">
        <v>5768</v>
      </c>
      <c r="L724" s="1940" t="s">
        <v>8464</v>
      </c>
      <c r="M724" t="s">
        <v>11851</v>
      </c>
      <c r="N724" t="s">
        <v>10179</v>
      </c>
      <c r="O724" t="s">
        <v>5767</v>
      </c>
      <c r="P724" s="614">
        <f>COUNTIF(EducPlans_кодНАЦИД_Спец[аФакСец],EducPlans_кодНАЦИД_Спец[[#This Row],[аФакСец]])</f>
        <v>1</v>
      </c>
    </row>
    <row r="725" spans="3:16" x14ac:dyDescent="0.25">
      <c r="C725" s="614">
        <v>719</v>
      </c>
      <c r="D725" s="614">
        <v>11021</v>
      </c>
      <c r="E725" s="64" t="s">
        <v>1291</v>
      </c>
      <c r="F725" s="64" t="s">
        <v>5769</v>
      </c>
      <c r="G725" s="614" t="s">
        <v>48</v>
      </c>
      <c r="H725" s="614" t="s">
        <v>681</v>
      </c>
      <c r="I725" s="614" t="s">
        <v>1153</v>
      </c>
      <c r="J725" s="64" t="s">
        <v>3149</v>
      </c>
      <c r="K725" s="1940" t="s">
        <v>5770</v>
      </c>
      <c r="L725" s="1940" t="s">
        <v>8465</v>
      </c>
      <c r="M725" t="s">
        <v>11852</v>
      </c>
      <c r="N725" t="s">
        <v>10180</v>
      </c>
      <c r="O725" t="s">
        <v>5769</v>
      </c>
      <c r="P725" s="614">
        <f>COUNTIF(EducPlans_кодНАЦИД_Спец[аФакСец],EducPlans_кодНАЦИД_Спец[[#This Row],[аФакСец]])</f>
        <v>1</v>
      </c>
    </row>
    <row r="726" spans="3:16" x14ac:dyDescent="0.25">
      <c r="C726" s="614">
        <v>720</v>
      </c>
      <c r="D726" s="614">
        <v>11172</v>
      </c>
      <c r="E726" s="64" t="s">
        <v>1564</v>
      </c>
      <c r="F726" s="64" t="s">
        <v>5771</v>
      </c>
      <c r="G726" s="614" t="s">
        <v>48</v>
      </c>
      <c r="H726" s="614" t="s">
        <v>682</v>
      </c>
      <c r="I726" s="614" t="s">
        <v>1153</v>
      </c>
      <c r="J726" s="64" t="s">
        <v>3152</v>
      </c>
      <c r="K726" s="1940" t="s">
        <v>5772</v>
      </c>
      <c r="L726" s="1940" t="s">
        <v>8466</v>
      </c>
      <c r="M726" t="s">
        <v>11853</v>
      </c>
      <c r="N726" t="s">
        <v>10181</v>
      </c>
      <c r="O726" t="s">
        <v>5771</v>
      </c>
      <c r="P726" s="614">
        <f>COUNTIF(EducPlans_кодНАЦИД_Спец[аФакСец],EducPlans_кодНАЦИД_Спец[[#This Row],[аФакСец]])</f>
        <v>1</v>
      </c>
    </row>
    <row r="727" spans="3:16" x14ac:dyDescent="0.25">
      <c r="C727" s="614">
        <v>721</v>
      </c>
      <c r="D727" s="614">
        <v>11172</v>
      </c>
      <c r="E727" s="64" t="s">
        <v>1564</v>
      </c>
      <c r="F727" s="64" t="s">
        <v>5773</v>
      </c>
      <c r="G727" s="614" t="s">
        <v>48</v>
      </c>
      <c r="H727" s="614" t="s">
        <v>682</v>
      </c>
      <c r="I727" s="614" t="s">
        <v>1153</v>
      </c>
      <c r="J727" s="64" t="s">
        <v>3151</v>
      </c>
      <c r="K727" s="1940" t="s">
        <v>5772</v>
      </c>
      <c r="L727" s="1940" t="s">
        <v>8467</v>
      </c>
      <c r="M727" t="s">
        <v>11854</v>
      </c>
      <c r="N727" t="s">
        <v>10182</v>
      </c>
      <c r="O727" t="s">
        <v>5773</v>
      </c>
      <c r="P727" s="614">
        <f>COUNTIF(EducPlans_кодНАЦИД_Спец[аФакСец],EducPlans_кодНАЦИД_Спец[[#This Row],[аФакСец]])</f>
        <v>1</v>
      </c>
    </row>
    <row r="728" spans="3:16" x14ac:dyDescent="0.25">
      <c r="C728" s="614">
        <v>722</v>
      </c>
      <c r="D728" s="614">
        <v>10918</v>
      </c>
      <c r="E728" s="64" t="s">
        <v>1667</v>
      </c>
      <c r="F728" s="64" t="s">
        <v>5774</v>
      </c>
      <c r="G728" s="614" t="s">
        <v>35</v>
      </c>
      <c r="H728" s="614" t="s">
        <v>682</v>
      </c>
      <c r="I728" s="614" t="s">
        <v>1153</v>
      </c>
      <c r="J728" s="64" t="s">
        <v>4010</v>
      </c>
      <c r="K728" s="1940" t="s">
        <v>5775</v>
      </c>
      <c r="L728" s="1940" t="s">
        <v>8468</v>
      </c>
      <c r="M728" t="s">
        <v>11855</v>
      </c>
      <c r="N728" t="s">
        <v>10183</v>
      </c>
      <c r="O728" t="s">
        <v>5774</v>
      </c>
      <c r="P728" s="614">
        <f>COUNTIF(EducPlans_кодНАЦИД_Спец[аФакСец],EducPlans_кодНАЦИД_Спец[[#This Row],[аФакСец]])</f>
        <v>1</v>
      </c>
    </row>
    <row r="729" spans="3:16" x14ac:dyDescent="0.25">
      <c r="C729" s="614">
        <v>723</v>
      </c>
      <c r="D729" s="614">
        <v>10918</v>
      </c>
      <c r="E729" s="64" t="s">
        <v>1667</v>
      </c>
      <c r="F729" s="64" t="s">
        <v>5776</v>
      </c>
      <c r="G729" s="614" t="s">
        <v>35</v>
      </c>
      <c r="H729" s="614" t="s">
        <v>682</v>
      </c>
      <c r="I729" s="614" t="s">
        <v>1153</v>
      </c>
      <c r="J729" s="64" t="s">
        <v>4011</v>
      </c>
      <c r="K729" s="1940" t="s">
        <v>5775</v>
      </c>
      <c r="L729" s="1940" t="s">
        <v>8469</v>
      </c>
      <c r="M729" t="s">
        <v>11856</v>
      </c>
      <c r="N729" t="s">
        <v>10184</v>
      </c>
      <c r="O729" t="s">
        <v>5776</v>
      </c>
      <c r="P729" s="614">
        <f>COUNTIF(EducPlans_кодНАЦИД_Спец[аФакСец],EducPlans_кодНАЦИД_Спец[[#This Row],[аФакСец]])</f>
        <v>1</v>
      </c>
    </row>
    <row r="730" spans="3:16" x14ac:dyDescent="0.25">
      <c r="C730" s="614">
        <v>724</v>
      </c>
      <c r="D730" s="614">
        <v>10923</v>
      </c>
      <c r="E730" s="64" t="s">
        <v>1668</v>
      </c>
      <c r="F730" s="64" t="s">
        <v>5777</v>
      </c>
      <c r="G730" s="614" t="s">
        <v>35</v>
      </c>
      <c r="H730" s="614" t="s">
        <v>682</v>
      </c>
      <c r="I730" s="614" t="s">
        <v>1153</v>
      </c>
      <c r="J730" s="64" t="s">
        <v>4013</v>
      </c>
      <c r="K730" s="1940" t="s">
        <v>5778</v>
      </c>
      <c r="L730" s="1940" t="s">
        <v>8470</v>
      </c>
      <c r="M730" t="s">
        <v>11857</v>
      </c>
      <c r="N730" t="s">
        <v>10185</v>
      </c>
      <c r="O730" t="s">
        <v>5777</v>
      </c>
      <c r="P730" s="614">
        <f>COUNTIF(EducPlans_кодНАЦИД_Спец[аФакСец],EducPlans_кодНАЦИД_Спец[[#This Row],[аФакСец]])</f>
        <v>1</v>
      </c>
    </row>
    <row r="731" spans="3:16" x14ac:dyDescent="0.25">
      <c r="C731" s="614">
        <v>725</v>
      </c>
      <c r="D731" s="614">
        <v>10923</v>
      </c>
      <c r="E731" s="64" t="s">
        <v>1668</v>
      </c>
      <c r="F731" s="64" t="s">
        <v>5779</v>
      </c>
      <c r="G731" s="614" t="s">
        <v>35</v>
      </c>
      <c r="H731" s="614" t="s">
        <v>682</v>
      </c>
      <c r="I731" s="614" t="s">
        <v>1153</v>
      </c>
      <c r="J731" s="64" t="s">
        <v>4012</v>
      </c>
      <c r="K731" s="1940" t="s">
        <v>5778</v>
      </c>
      <c r="L731" s="1940" t="s">
        <v>8471</v>
      </c>
      <c r="M731" t="s">
        <v>11858</v>
      </c>
      <c r="N731" t="s">
        <v>10186</v>
      </c>
      <c r="O731" t="s">
        <v>5779</v>
      </c>
      <c r="P731" s="614">
        <f>COUNTIF(EducPlans_кодНАЦИД_Спец[аФакСец],EducPlans_кодНАЦИД_Спец[[#This Row],[аФакСец]])</f>
        <v>1</v>
      </c>
    </row>
    <row r="732" spans="3:16" x14ac:dyDescent="0.25">
      <c r="C732" s="614">
        <v>726</v>
      </c>
      <c r="D732" s="614">
        <v>10923</v>
      </c>
      <c r="E732" s="64" t="s">
        <v>1668</v>
      </c>
      <c r="F732" s="64" t="s">
        <v>13493</v>
      </c>
      <c r="G732" s="614" t="s">
        <v>35</v>
      </c>
      <c r="H732" s="614" t="s">
        <v>682</v>
      </c>
      <c r="I732" s="614" t="s">
        <v>1153</v>
      </c>
      <c r="J732" s="64" t="s">
        <v>13494</v>
      </c>
      <c r="K732" s="1940" t="s">
        <v>5778</v>
      </c>
      <c r="L732" s="1940" t="s">
        <v>13495</v>
      </c>
      <c r="M732" t="s">
        <v>13496</v>
      </c>
      <c r="N732" t="s">
        <v>13497</v>
      </c>
      <c r="O732" t="s">
        <v>13493</v>
      </c>
      <c r="P732" s="614">
        <f>COUNTIF(EducPlans_кодНАЦИД_Спец[аФакСец],EducPlans_кодНАЦИД_Спец[[#This Row],[аФакСец]])</f>
        <v>1</v>
      </c>
    </row>
    <row r="733" spans="3:16" x14ac:dyDescent="0.25">
      <c r="C733" s="614">
        <v>727</v>
      </c>
      <c r="D733" s="614">
        <v>10861</v>
      </c>
      <c r="E733" s="64" t="s">
        <v>1808</v>
      </c>
      <c r="F733" s="64" t="s">
        <v>5780</v>
      </c>
      <c r="G733" s="614" t="s">
        <v>35</v>
      </c>
      <c r="H733" s="614" t="s">
        <v>682</v>
      </c>
      <c r="I733" s="614" t="s">
        <v>1153</v>
      </c>
      <c r="J733" s="64" t="s">
        <v>4016</v>
      </c>
      <c r="K733" s="1940" t="s">
        <v>5781</v>
      </c>
      <c r="L733" s="1940" t="s">
        <v>8472</v>
      </c>
      <c r="M733" t="s">
        <v>11859</v>
      </c>
      <c r="N733" t="s">
        <v>10187</v>
      </c>
      <c r="O733" t="s">
        <v>5780</v>
      </c>
      <c r="P733" s="614">
        <f>COUNTIF(EducPlans_кодНАЦИД_Спец[аФакСец],EducPlans_кодНАЦИД_Спец[[#This Row],[аФакСец]])</f>
        <v>1</v>
      </c>
    </row>
    <row r="734" spans="3:16" x14ac:dyDescent="0.25">
      <c r="C734" s="614">
        <v>728</v>
      </c>
      <c r="D734" s="614">
        <v>10862</v>
      </c>
      <c r="E734" s="64" t="s">
        <v>1808</v>
      </c>
      <c r="F734" s="64" t="s">
        <v>5782</v>
      </c>
      <c r="G734" s="614" t="s">
        <v>35</v>
      </c>
      <c r="H734" s="614" t="s">
        <v>682</v>
      </c>
      <c r="I734" s="614" t="s">
        <v>1149</v>
      </c>
      <c r="J734" s="64" t="s">
        <v>4015</v>
      </c>
      <c r="K734" s="1940" t="s">
        <v>5783</v>
      </c>
      <c r="L734" s="1940" t="s">
        <v>8473</v>
      </c>
      <c r="M734" t="s">
        <v>11860</v>
      </c>
      <c r="N734" t="s">
        <v>10188</v>
      </c>
      <c r="O734" t="s">
        <v>5782</v>
      </c>
      <c r="P734" s="614">
        <f>COUNTIF(EducPlans_кодНАЦИД_Спец[аФакСец],EducPlans_кодНАЦИД_Спец[[#This Row],[аФакСец]])</f>
        <v>1</v>
      </c>
    </row>
    <row r="735" spans="3:16" x14ac:dyDescent="0.25">
      <c r="C735" s="614">
        <v>729</v>
      </c>
      <c r="D735" s="614">
        <v>10996</v>
      </c>
      <c r="E735" s="64" t="s">
        <v>1808</v>
      </c>
      <c r="F735" s="64" t="s">
        <v>5784</v>
      </c>
      <c r="G735" s="614" t="s">
        <v>35</v>
      </c>
      <c r="H735" s="614" t="s">
        <v>682</v>
      </c>
      <c r="I735" s="614" t="s">
        <v>1149</v>
      </c>
      <c r="J735" s="64" t="s">
        <v>4014</v>
      </c>
      <c r="K735" s="1940" t="s">
        <v>5785</v>
      </c>
      <c r="L735" s="1940" t="s">
        <v>8474</v>
      </c>
      <c r="M735" t="s">
        <v>11861</v>
      </c>
      <c r="N735" t="s">
        <v>10189</v>
      </c>
      <c r="O735" t="s">
        <v>5784</v>
      </c>
      <c r="P735" s="614">
        <f>COUNTIF(EducPlans_кодНАЦИД_Спец[аФакСец],EducPlans_кодНАЦИД_Спец[[#This Row],[аФакСец]])</f>
        <v>1</v>
      </c>
    </row>
    <row r="736" spans="3:16" x14ac:dyDescent="0.25">
      <c r="C736" s="614">
        <v>730</v>
      </c>
      <c r="D736" s="614">
        <v>10891</v>
      </c>
      <c r="E736" s="64" t="s">
        <v>1604</v>
      </c>
      <c r="F736" s="64" t="s">
        <v>5786</v>
      </c>
      <c r="G736" s="614" t="s">
        <v>35</v>
      </c>
      <c r="H736" s="614" t="s">
        <v>682</v>
      </c>
      <c r="I736" s="614" t="s">
        <v>1153</v>
      </c>
      <c r="J736" s="64" t="s">
        <v>4018</v>
      </c>
      <c r="K736" s="1940" t="s">
        <v>5787</v>
      </c>
      <c r="L736" s="1940" t="s">
        <v>8475</v>
      </c>
      <c r="M736" t="s">
        <v>11862</v>
      </c>
      <c r="N736" t="s">
        <v>10190</v>
      </c>
      <c r="O736" t="s">
        <v>5786</v>
      </c>
      <c r="P736" s="614">
        <f>COUNTIF(EducPlans_кодНАЦИД_Спец[аФакСец],EducPlans_кодНАЦИД_Спец[[#This Row],[аФакСец]])</f>
        <v>1</v>
      </c>
    </row>
    <row r="737" spans="3:16" x14ac:dyDescent="0.25">
      <c r="C737" s="614">
        <v>731</v>
      </c>
      <c r="D737" s="614">
        <v>10891</v>
      </c>
      <c r="E737" s="64" t="s">
        <v>1604</v>
      </c>
      <c r="F737" s="64" t="s">
        <v>5788</v>
      </c>
      <c r="G737" s="614" t="s">
        <v>35</v>
      </c>
      <c r="H737" s="614" t="s">
        <v>682</v>
      </c>
      <c r="I737" s="614" t="s">
        <v>1153</v>
      </c>
      <c r="J737" s="64" t="s">
        <v>4019</v>
      </c>
      <c r="K737" s="1940" t="s">
        <v>5787</v>
      </c>
      <c r="L737" s="1940" t="s">
        <v>8476</v>
      </c>
      <c r="M737" t="s">
        <v>11863</v>
      </c>
      <c r="N737" t="s">
        <v>10191</v>
      </c>
      <c r="O737" t="s">
        <v>5788</v>
      </c>
      <c r="P737" s="614">
        <f>COUNTIF(EducPlans_кодНАЦИД_Спец[аФакСец],EducPlans_кодНАЦИД_Спец[[#This Row],[аФакСец]])</f>
        <v>1</v>
      </c>
    </row>
    <row r="738" spans="3:16" x14ac:dyDescent="0.25">
      <c r="C738" s="614">
        <v>732</v>
      </c>
      <c r="D738" s="614">
        <v>10891</v>
      </c>
      <c r="E738" s="64" t="s">
        <v>1604</v>
      </c>
      <c r="F738" s="64" t="s">
        <v>5789</v>
      </c>
      <c r="G738" s="614" t="s">
        <v>35</v>
      </c>
      <c r="H738" s="614" t="s">
        <v>682</v>
      </c>
      <c r="I738" s="614" t="s">
        <v>1153</v>
      </c>
      <c r="J738" s="64" t="s">
        <v>4017</v>
      </c>
      <c r="K738" s="1940" t="s">
        <v>5787</v>
      </c>
      <c r="L738" s="1940" t="s">
        <v>8477</v>
      </c>
      <c r="M738" t="s">
        <v>11864</v>
      </c>
      <c r="N738" t="s">
        <v>10192</v>
      </c>
      <c r="O738" t="s">
        <v>5789</v>
      </c>
      <c r="P738" s="614">
        <f>COUNTIF(EducPlans_кодНАЦИД_Спец[аФакСец],EducPlans_кодНАЦИД_Спец[[#This Row],[аФакСец]])</f>
        <v>1</v>
      </c>
    </row>
    <row r="739" spans="3:16" x14ac:dyDescent="0.25">
      <c r="C739" s="614">
        <v>733</v>
      </c>
      <c r="D739" s="614">
        <v>10892</v>
      </c>
      <c r="E739" s="64" t="s">
        <v>1605</v>
      </c>
      <c r="F739" s="64" t="s">
        <v>5790</v>
      </c>
      <c r="G739" s="614" t="s">
        <v>35</v>
      </c>
      <c r="H739" s="614" t="s">
        <v>682</v>
      </c>
      <c r="I739" s="614" t="s">
        <v>1153</v>
      </c>
      <c r="J739" s="64" t="s">
        <v>3330</v>
      </c>
      <c r="K739" s="1940" t="s">
        <v>5791</v>
      </c>
      <c r="L739" s="1940" t="s">
        <v>8478</v>
      </c>
      <c r="M739" t="s">
        <v>11865</v>
      </c>
      <c r="N739" t="s">
        <v>10193</v>
      </c>
      <c r="O739" t="s">
        <v>5790</v>
      </c>
      <c r="P739" s="614">
        <f>COUNTIF(EducPlans_кодНАЦИД_Спец[аФакСец],EducPlans_кодНАЦИД_Спец[[#This Row],[аФакСец]])</f>
        <v>1</v>
      </c>
    </row>
    <row r="740" spans="3:16" x14ac:dyDescent="0.25">
      <c r="C740" s="614">
        <v>734</v>
      </c>
      <c r="D740" s="614">
        <v>10892</v>
      </c>
      <c r="E740" s="64" t="s">
        <v>1605</v>
      </c>
      <c r="F740" s="64" t="s">
        <v>5792</v>
      </c>
      <c r="G740" s="614" t="s">
        <v>35</v>
      </c>
      <c r="H740" s="614" t="s">
        <v>682</v>
      </c>
      <c r="I740" s="614" t="s">
        <v>1153</v>
      </c>
      <c r="J740" s="64" t="s">
        <v>3333</v>
      </c>
      <c r="K740" s="1940" t="s">
        <v>5791</v>
      </c>
      <c r="L740" s="1940" t="s">
        <v>8479</v>
      </c>
      <c r="M740" t="s">
        <v>11866</v>
      </c>
      <c r="N740" t="s">
        <v>10194</v>
      </c>
      <c r="O740" t="s">
        <v>5792</v>
      </c>
      <c r="P740" s="614">
        <f>COUNTIF(EducPlans_кодНАЦИД_Спец[аФакСец],EducPlans_кодНАЦИД_Спец[[#This Row],[аФакСец]])</f>
        <v>1</v>
      </c>
    </row>
    <row r="741" spans="3:16" x14ac:dyDescent="0.25">
      <c r="C741" s="614">
        <v>735</v>
      </c>
      <c r="D741" s="614">
        <v>10892</v>
      </c>
      <c r="E741" s="64" t="s">
        <v>1605</v>
      </c>
      <c r="F741" s="64" t="s">
        <v>5793</v>
      </c>
      <c r="G741" s="614" t="s">
        <v>35</v>
      </c>
      <c r="H741" s="614" t="s">
        <v>682</v>
      </c>
      <c r="I741" s="614" t="s">
        <v>1153</v>
      </c>
      <c r="J741" s="64" t="s">
        <v>4020</v>
      </c>
      <c r="K741" s="1940" t="s">
        <v>5791</v>
      </c>
      <c r="L741" s="1940" t="s">
        <v>8480</v>
      </c>
      <c r="M741" t="s">
        <v>11867</v>
      </c>
      <c r="N741" t="s">
        <v>10195</v>
      </c>
      <c r="O741" t="s">
        <v>5793</v>
      </c>
      <c r="P741" s="614">
        <f>COUNTIF(EducPlans_кодНАЦИД_Спец[аФакСец],EducPlans_кодНАЦИД_Спец[[#This Row],[аФакСец]])</f>
        <v>1</v>
      </c>
    </row>
    <row r="742" spans="3:16" x14ac:dyDescent="0.25">
      <c r="C742" s="614">
        <v>736</v>
      </c>
      <c r="D742" s="614">
        <v>11520</v>
      </c>
      <c r="E742" s="64" t="s">
        <v>1396</v>
      </c>
      <c r="F742" s="64" t="s">
        <v>5794</v>
      </c>
      <c r="G742" s="614" t="s">
        <v>33</v>
      </c>
      <c r="H742" s="614" t="s">
        <v>681</v>
      </c>
      <c r="I742" s="614" t="s">
        <v>1153</v>
      </c>
      <c r="J742" s="64" t="s">
        <v>3544</v>
      </c>
      <c r="K742" s="1940" t="s">
        <v>5795</v>
      </c>
      <c r="L742" s="1940" t="s">
        <v>8481</v>
      </c>
      <c r="M742" t="s">
        <v>11868</v>
      </c>
      <c r="N742" t="s">
        <v>10196</v>
      </c>
      <c r="O742" t="s">
        <v>5794</v>
      </c>
      <c r="P742" s="614">
        <f>COUNTIF(EducPlans_кодНАЦИД_Спец[аФакСец],EducPlans_кодНАЦИД_Спец[[#This Row],[аФакСец]])</f>
        <v>1</v>
      </c>
    </row>
    <row r="743" spans="3:16" x14ac:dyDescent="0.25">
      <c r="C743" s="614">
        <v>737</v>
      </c>
      <c r="D743" s="614">
        <v>11282</v>
      </c>
      <c r="E743" s="64" t="s">
        <v>1174</v>
      </c>
      <c r="F743" s="64" t="s">
        <v>5796</v>
      </c>
      <c r="G743" s="614" t="s">
        <v>39</v>
      </c>
      <c r="H743" s="614" t="s">
        <v>682</v>
      </c>
      <c r="I743" s="614" t="s">
        <v>1149</v>
      </c>
      <c r="J743" s="64" t="s">
        <v>3873</v>
      </c>
      <c r="K743" s="1940" t="s">
        <v>5797</v>
      </c>
      <c r="L743" s="1940" t="s">
        <v>8482</v>
      </c>
      <c r="M743" t="s">
        <v>11869</v>
      </c>
      <c r="N743" t="s">
        <v>10197</v>
      </c>
      <c r="O743" t="s">
        <v>5796</v>
      </c>
      <c r="P743" s="614">
        <f>COUNTIF(EducPlans_кодНАЦИД_Спец[аФакСец],EducPlans_кодНАЦИД_Спец[[#This Row],[аФакСец]])</f>
        <v>1</v>
      </c>
    </row>
    <row r="744" spans="3:16" x14ac:dyDescent="0.25">
      <c r="C744" s="614">
        <v>738</v>
      </c>
      <c r="D744" s="614">
        <v>11282</v>
      </c>
      <c r="E744" s="64" t="s">
        <v>1174</v>
      </c>
      <c r="F744" s="64" t="s">
        <v>5798</v>
      </c>
      <c r="G744" s="614" t="s">
        <v>39</v>
      </c>
      <c r="H744" s="614" t="s">
        <v>682</v>
      </c>
      <c r="I744" s="614" t="s">
        <v>1149</v>
      </c>
      <c r="J744" s="64" t="s">
        <v>3874</v>
      </c>
      <c r="K744" s="1940" t="s">
        <v>5797</v>
      </c>
      <c r="L744" s="1940" t="s">
        <v>8483</v>
      </c>
      <c r="M744" t="s">
        <v>11870</v>
      </c>
      <c r="N744" t="s">
        <v>10198</v>
      </c>
      <c r="O744" t="s">
        <v>5798</v>
      </c>
      <c r="P744" s="614">
        <f>COUNTIF(EducPlans_кодНАЦИД_Спец[аФакСец],EducPlans_кодНАЦИД_Спец[[#This Row],[аФакСец]])</f>
        <v>1</v>
      </c>
    </row>
    <row r="745" spans="3:16" x14ac:dyDescent="0.25">
      <c r="C745" s="614">
        <v>739</v>
      </c>
      <c r="D745" s="614">
        <v>12293</v>
      </c>
      <c r="E745" s="64" t="s">
        <v>2224</v>
      </c>
      <c r="F745" s="64" t="s">
        <v>5799</v>
      </c>
      <c r="G745" s="614" t="s">
        <v>31</v>
      </c>
      <c r="H745" s="614" t="s">
        <v>682</v>
      </c>
      <c r="I745" s="614" t="s">
        <v>1153</v>
      </c>
      <c r="J745" s="64" t="s">
        <v>2954</v>
      </c>
      <c r="K745" s="1940" t="s">
        <v>5800</v>
      </c>
      <c r="L745" s="1940" t="s">
        <v>8484</v>
      </c>
      <c r="M745" t="s">
        <v>11871</v>
      </c>
      <c r="N745" t="s">
        <v>10199</v>
      </c>
      <c r="O745" t="s">
        <v>5799</v>
      </c>
      <c r="P745" s="614">
        <f>COUNTIF(EducPlans_кодНАЦИД_Спец[аФакСец],EducPlans_кодНАЦИД_Спец[[#This Row],[аФакСец]])</f>
        <v>1</v>
      </c>
    </row>
    <row r="746" spans="3:16" x14ac:dyDescent="0.25">
      <c r="C746" s="614">
        <v>740</v>
      </c>
      <c r="D746" s="614">
        <v>12294</v>
      </c>
      <c r="E746" s="64" t="s">
        <v>2224</v>
      </c>
      <c r="F746" s="64" t="s">
        <v>5801</v>
      </c>
      <c r="G746" s="614" t="s">
        <v>31</v>
      </c>
      <c r="H746" s="614" t="s">
        <v>682</v>
      </c>
      <c r="I746" s="614" t="s">
        <v>1149</v>
      </c>
      <c r="J746" s="64" t="s">
        <v>2953</v>
      </c>
      <c r="K746" s="1940" t="s">
        <v>5802</v>
      </c>
      <c r="L746" s="1940" t="s">
        <v>8485</v>
      </c>
      <c r="M746" t="s">
        <v>11872</v>
      </c>
      <c r="N746" t="s">
        <v>10200</v>
      </c>
      <c r="O746" t="s">
        <v>5801</v>
      </c>
      <c r="P746" s="614">
        <f>COUNTIF(EducPlans_кодНАЦИД_Спец[аФакСец],EducPlans_кодНАЦИД_Спец[[#This Row],[аФакСец]])</f>
        <v>1</v>
      </c>
    </row>
    <row r="747" spans="3:16" x14ac:dyDescent="0.25">
      <c r="C747" s="614">
        <v>741</v>
      </c>
      <c r="D747" s="614">
        <v>11283</v>
      </c>
      <c r="E747" s="64" t="s">
        <v>1769</v>
      </c>
      <c r="F747" s="64" t="s">
        <v>5803</v>
      </c>
      <c r="G747" s="614" t="s">
        <v>39</v>
      </c>
      <c r="H747" s="614" t="s">
        <v>682</v>
      </c>
      <c r="I747" s="614" t="s">
        <v>1149</v>
      </c>
      <c r="J747" s="64" t="s">
        <v>3876</v>
      </c>
      <c r="K747" s="1940" t="s">
        <v>5804</v>
      </c>
      <c r="L747" s="1940" t="s">
        <v>8486</v>
      </c>
      <c r="M747" t="s">
        <v>11873</v>
      </c>
      <c r="N747" t="s">
        <v>10201</v>
      </c>
      <c r="O747" t="s">
        <v>5803</v>
      </c>
      <c r="P747" s="614">
        <f>COUNTIF(EducPlans_кодНАЦИД_Спец[аФакСец],EducPlans_кодНАЦИД_Спец[[#This Row],[аФакСец]])</f>
        <v>1</v>
      </c>
    </row>
    <row r="748" spans="3:16" x14ac:dyDescent="0.25">
      <c r="C748" s="614">
        <v>742</v>
      </c>
      <c r="D748" s="614">
        <v>11284</v>
      </c>
      <c r="E748" s="64" t="s">
        <v>1769</v>
      </c>
      <c r="F748" s="64" t="s">
        <v>5805</v>
      </c>
      <c r="G748" s="614" t="s">
        <v>39</v>
      </c>
      <c r="H748" s="614" t="s">
        <v>682</v>
      </c>
      <c r="I748" s="614" t="s">
        <v>1149</v>
      </c>
      <c r="J748" s="64" t="s">
        <v>3875</v>
      </c>
      <c r="K748" s="1940" t="s">
        <v>5806</v>
      </c>
      <c r="L748" s="1940" t="s">
        <v>8487</v>
      </c>
      <c r="M748" t="s">
        <v>11874</v>
      </c>
      <c r="N748" t="s">
        <v>10202</v>
      </c>
      <c r="O748" t="s">
        <v>5805</v>
      </c>
      <c r="P748" s="614">
        <f>COUNTIF(EducPlans_кодНАЦИД_Спец[аФакСец],EducPlans_кодНАЦИД_Спец[[#This Row],[аФакСец]])</f>
        <v>1</v>
      </c>
    </row>
    <row r="749" spans="3:16" x14ac:dyDescent="0.25">
      <c r="C749" s="614">
        <v>743</v>
      </c>
      <c r="D749" s="614">
        <v>11970</v>
      </c>
      <c r="E749" s="64" t="s">
        <v>2114</v>
      </c>
      <c r="F749" s="64" t="s">
        <v>5807</v>
      </c>
      <c r="G749" s="614" t="s">
        <v>628</v>
      </c>
      <c r="H749" s="614" t="s">
        <v>682</v>
      </c>
      <c r="I749" s="614" t="s">
        <v>1153</v>
      </c>
      <c r="J749" s="64" t="s">
        <v>4209</v>
      </c>
      <c r="K749" s="1940" t="s">
        <v>5808</v>
      </c>
      <c r="L749" s="1940" t="s">
        <v>8488</v>
      </c>
      <c r="M749" t="s">
        <v>11875</v>
      </c>
      <c r="N749" t="s">
        <v>10203</v>
      </c>
      <c r="O749" t="s">
        <v>5807</v>
      </c>
      <c r="P749" s="614">
        <f>COUNTIF(EducPlans_кодНАЦИД_Спец[аФакСец],EducPlans_кодНАЦИД_Спец[[#This Row],[аФакСец]])</f>
        <v>1</v>
      </c>
    </row>
    <row r="750" spans="3:16" x14ac:dyDescent="0.25">
      <c r="C750" s="614">
        <v>744</v>
      </c>
      <c r="D750" s="614">
        <v>11970</v>
      </c>
      <c r="E750" s="64" t="s">
        <v>2114</v>
      </c>
      <c r="F750" s="64" t="s">
        <v>5809</v>
      </c>
      <c r="G750" s="614" t="s">
        <v>628</v>
      </c>
      <c r="H750" s="614" t="s">
        <v>682</v>
      </c>
      <c r="I750" s="614" t="s">
        <v>1153</v>
      </c>
      <c r="J750" s="64" t="s">
        <v>4208</v>
      </c>
      <c r="K750" s="1940" t="s">
        <v>5808</v>
      </c>
      <c r="L750" s="1940" t="s">
        <v>8489</v>
      </c>
      <c r="M750" t="s">
        <v>11876</v>
      </c>
      <c r="N750" t="s">
        <v>10204</v>
      </c>
      <c r="O750" t="s">
        <v>5809</v>
      </c>
      <c r="P750" s="614">
        <f>COUNTIF(EducPlans_кодНАЦИД_Спец[аФакСец],EducPlans_кодНАЦИД_Спец[[#This Row],[аФакСец]])</f>
        <v>1</v>
      </c>
    </row>
    <row r="751" spans="3:16" x14ac:dyDescent="0.25">
      <c r="C751" s="614">
        <v>745</v>
      </c>
      <c r="D751" s="614">
        <v>11923</v>
      </c>
      <c r="E751" s="64" t="s">
        <v>2115</v>
      </c>
      <c r="F751" s="64" t="s">
        <v>5810</v>
      </c>
      <c r="G751" s="614" t="s">
        <v>628</v>
      </c>
      <c r="H751" s="614" t="s">
        <v>681</v>
      </c>
      <c r="I751" s="614" t="s">
        <v>1153</v>
      </c>
      <c r="J751" s="64" t="s">
        <v>4210</v>
      </c>
      <c r="K751" s="1940" t="s">
        <v>5811</v>
      </c>
      <c r="L751" s="1940" t="s">
        <v>8490</v>
      </c>
      <c r="M751" t="s">
        <v>11877</v>
      </c>
      <c r="N751" t="s">
        <v>10205</v>
      </c>
      <c r="O751" t="s">
        <v>5810</v>
      </c>
      <c r="P751" s="614">
        <f>COUNTIF(EducPlans_кодНАЦИД_Спец[аФакСец],EducPlans_кодНАЦИД_Спец[[#This Row],[аФакСец]])</f>
        <v>1</v>
      </c>
    </row>
    <row r="752" spans="3:16" x14ac:dyDescent="0.25">
      <c r="C752" s="614">
        <v>746</v>
      </c>
      <c r="D752" s="614">
        <v>259555</v>
      </c>
      <c r="E752" s="64" t="s">
        <v>2116</v>
      </c>
      <c r="F752" s="64" t="s">
        <v>5812</v>
      </c>
      <c r="G752" s="614" t="s">
        <v>628</v>
      </c>
      <c r="H752" s="614" t="s">
        <v>682</v>
      </c>
      <c r="I752" s="614" t="s">
        <v>1153</v>
      </c>
      <c r="J752" s="64" t="s">
        <v>4211</v>
      </c>
      <c r="K752" s="1940" t="s">
        <v>5813</v>
      </c>
      <c r="L752" s="1940" t="s">
        <v>8491</v>
      </c>
      <c r="M752" t="s">
        <v>11878</v>
      </c>
      <c r="N752" t="s">
        <v>10206</v>
      </c>
      <c r="O752" t="s">
        <v>5812</v>
      </c>
      <c r="P752" s="614">
        <f>COUNTIF(EducPlans_кодНАЦИД_Спец[аФакСец],EducPlans_кодНАЦИД_Спец[[#This Row],[аФакСец]])</f>
        <v>1</v>
      </c>
    </row>
    <row r="753" spans="3:16" x14ac:dyDescent="0.25">
      <c r="C753" s="614">
        <v>747</v>
      </c>
      <c r="D753" s="614">
        <v>857500</v>
      </c>
      <c r="E753" s="64" t="s">
        <v>13498</v>
      </c>
      <c r="F753" s="64" t="s">
        <v>13499</v>
      </c>
      <c r="G753" s="614" t="s">
        <v>628</v>
      </c>
      <c r="H753" s="614" t="s">
        <v>681</v>
      </c>
      <c r="I753" s="614" t="s">
        <v>1153</v>
      </c>
      <c r="J753" s="64" t="s">
        <v>13500</v>
      </c>
      <c r="K753" s="1940" t="s">
        <v>13501</v>
      </c>
      <c r="L753" s="1940" t="s">
        <v>13502</v>
      </c>
      <c r="M753" t="s">
        <v>13503</v>
      </c>
      <c r="N753" t="s">
        <v>13504</v>
      </c>
      <c r="O753" t="s">
        <v>13499</v>
      </c>
      <c r="P753" s="614">
        <f>COUNTIF(EducPlans_кодНАЦИД_Спец[аФакСец],EducPlans_кодНАЦИД_Спец[[#This Row],[аФакСец]])</f>
        <v>1</v>
      </c>
    </row>
    <row r="754" spans="3:16" x14ac:dyDescent="0.25">
      <c r="C754" s="614">
        <v>748</v>
      </c>
      <c r="D754" s="614">
        <v>857501</v>
      </c>
      <c r="E754" s="64" t="s">
        <v>13505</v>
      </c>
      <c r="F754" s="64" t="s">
        <v>13506</v>
      </c>
      <c r="G754" s="614" t="s">
        <v>628</v>
      </c>
      <c r="H754" s="614" t="s">
        <v>682</v>
      </c>
      <c r="I754" s="614" t="s">
        <v>1153</v>
      </c>
      <c r="J754" s="64" t="s">
        <v>13507</v>
      </c>
      <c r="K754" s="1940" t="s">
        <v>13508</v>
      </c>
      <c r="L754" s="1940" t="s">
        <v>13509</v>
      </c>
      <c r="M754" t="s">
        <v>13510</v>
      </c>
      <c r="N754" t="s">
        <v>13511</v>
      </c>
      <c r="O754" t="s">
        <v>13506</v>
      </c>
      <c r="P754" s="614">
        <f>COUNTIF(EducPlans_кодНАЦИД_Спец[аФакСец],EducPlans_кодНАЦИД_Спец[[#This Row],[аФакСец]])</f>
        <v>1</v>
      </c>
    </row>
    <row r="755" spans="3:16" x14ac:dyDescent="0.25">
      <c r="C755" s="614">
        <v>749</v>
      </c>
      <c r="D755" s="614">
        <v>12699</v>
      </c>
      <c r="E755" s="64" t="s">
        <v>1178</v>
      </c>
      <c r="F755" s="64" t="s">
        <v>5814</v>
      </c>
      <c r="G755" s="614" t="s">
        <v>296</v>
      </c>
      <c r="H755" s="614" t="s">
        <v>682</v>
      </c>
      <c r="I755" s="614" t="s">
        <v>1153</v>
      </c>
      <c r="J755" s="64" t="s">
        <v>5815</v>
      </c>
      <c r="K755" s="1940" t="s">
        <v>5816</v>
      </c>
      <c r="L755" s="1940" t="s">
        <v>8492</v>
      </c>
      <c r="M755" t="s">
        <v>11879</v>
      </c>
      <c r="N755" t="s">
        <v>10207</v>
      </c>
      <c r="O755" t="s">
        <v>5814</v>
      </c>
      <c r="P755" s="614">
        <f>COUNTIF(EducPlans_кодНАЦИД_Спец[аФакСец],EducPlans_кодНАЦИД_Спец[[#This Row],[аФакСец]])</f>
        <v>1</v>
      </c>
    </row>
    <row r="756" spans="3:16" x14ac:dyDescent="0.25">
      <c r="C756" s="614">
        <v>750</v>
      </c>
      <c r="D756" s="614">
        <v>12701</v>
      </c>
      <c r="E756" s="64" t="s">
        <v>1178</v>
      </c>
      <c r="F756" s="64" t="s">
        <v>5817</v>
      </c>
      <c r="G756" s="614" t="s">
        <v>296</v>
      </c>
      <c r="H756" s="614" t="s">
        <v>682</v>
      </c>
      <c r="I756" s="614" t="s">
        <v>1153</v>
      </c>
      <c r="J756" s="64" t="s">
        <v>5818</v>
      </c>
      <c r="K756" s="1940" t="s">
        <v>5819</v>
      </c>
      <c r="L756" s="1940" t="s">
        <v>8493</v>
      </c>
      <c r="M756" t="s">
        <v>11880</v>
      </c>
      <c r="N756" t="s">
        <v>10208</v>
      </c>
      <c r="O756" t="s">
        <v>5817</v>
      </c>
      <c r="P756" s="614">
        <f>COUNTIF(EducPlans_кодНАЦИД_Спец[аФакСец],EducPlans_кодНАЦИД_Спец[[#This Row],[аФакСец]])</f>
        <v>1</v>
      </c>
    </row>
    <row r="757" spans="3:16" x14ac:dyDescent="0.25">
      <c r="C757" s="614">
        <v>751</v>
      </c>
      <c r="D757" s="614">
        <v>12700</v>
      </c>
      <c r="E757" s="64" t="s">
        <v>1178</v>
      </c>
      <c r="F757" s="64" t="s">
        <v>5820</v>
      </c>
      <c r="G757" s="614" t="s">
        <v>296</v>
      </c>
      <c r="H757" s="614" t="s">
        <v>682</v>
      </c>
      <c r="I757" s="614" t="s">
        <v>1149</v>
      </c>
      <c r="J757" s="64" t="s">
        <v>5821</v>
      </c>
      <c r="K757" s="1940" t="s">
        <v>5822</v>
      </c>
      <c r="L757" s="1940" t="s">
        <v>8494</v>
      </c>
      <c r="M757" t="s">
        <v>11881</v>
      </c>
      <c r="N757" t="s">
        <v>10209</v>
      </c>
      <c r="O757" t="s">
        <v>5820</v>
      </c>
      <c r="P757" s="614">
        <f>COUNTIF(EducPlans_кодНАЦИД_Спец[аФакСец],EducPlans_кодНАЦИД_Спец[[#This Row],[аФакСец]])</f>
        <v>1</v>
      </c>
    </row>
    <row r="758" spans="3:16" x14ac:dyDescent="0.25">
      <c r="C758" s="614">
        <v>752</v>
      </c>
      <c r="D758" s="614">
        <v>12702</v>
      </c>
      <c r="E758" s="64" t="s">
        <v>1178</v>
      </c>
      <c r="F758" s="64" t="s">
        <v>5823</v>
      </c>
      <c r="G758" s="614" t="s">
        <v>296</v>
      </c>
      <c r="H758" s="614" t="s">
        <v>682</v>
      </c>
      <c r="I758" s="614" t="s">
        <v>1149</v>
      </c>
      <c r="J758" s="64" t="s">
        <v>5824</v>
      </c>
      <c r="K758" s="1940" t="s">
        <v>5825</v>
      </c>
      <c r="L758" s="1940" t="s">
        <v>8495</v>
      </c>
      <c r="M758" t="s">
        <v>11882</v>
      </c>
      <c r="N758" t="s">
        <v>10210</v>
      </c>
      <c r="O758" t="s">
        <v>5823</v>
      </c>
      <c r="P758" s="614">
        <f>COUNTIF(EducPlans_кодНАЦИД_Спец[аФакСец],EducPlans_кодНАЦИД_Спец[[#This Row],[аФакСец]])</f>
        <v>1</v>
      </c>
    </row>
    <row r="759" spans="3:16" x14ac:dyDescent="0.25">
      <c r="C759" s="614">
        <v>753</v>
      </c>
      <c r="D759" s="614">
        <v>11522</v>
      </c>
      <c r="E759" s="64" t="s">
        <v>907</v>
      </c>
      <c r="F759" s="64" t="s">
        <v>5826</v>
      </c>
      <c r="G759" s="614" t="s">
        <v>33</v>
      </c>
      <c r="H759" s="614" t="s">
        <v>681</v>
      </c>
      <c r="I759" s="614" t="s">
        <v>1153</v>
      </c>
      <c r="J759" s="64" t="s">
        <v>908</v>
      </c>
      <c r="K759" s="1940" t="s">
        <v>5827</v>
      </c>
      <c r="L759" s="1940" t="s">
        <v>8496</v>
      </c>
      <c r="M759" t="s">
        <v>11883</v>
      </c>
      <c r="N759" t="s">
        <v>10211</v>
      </c>
      <c r="O759" t="s">
        <v>5826</v>
      </c>
      <c r="P759" s="614">
        <f>COUNTIF(EducPlans_кодНАЦИД_Спец[аФакСец],EducPlans_кодНАЦИД_Спец[[#This Row],[аФакСец]])</f>
        <v>1</v>
      </c>
    </row>
    <row r="760" spans="3:16" x14ac:dyDescent="0.25">
      <c r="C760" s="614">
        <v>754</v>
      </c>
      <c r="D760" s="614">
        <v>11524</v>
      </c>
      <c r="E760" s="64" t="s">
        <v>1065</v>
      </c>
      <c r="F760" s="64" t="s">
        <v>5828</v>
      </c>
      <c r="G760" s="614" t="s">
        <v>33</v>
      </c>
      <c r="H760" s="614" t="s">
        <v>681</v>
      </c>
      <c r="I760" s="614" t="s">
        <v>1153</v>
      </c>
      <c r="J760" s="64" t="s">
        <v>1069</v>
      </c>
      <c r="K760" s="1940" t="s">
        <v>5829</v>
      </c>
      <c r="L760" s="1940" t="s">
        <v>8497</v>
      </c>
      <c r="M760" t="s">
        <v>11884</v>
      </c>
      <c r="N760" t="s">
        <v>10212</v>
      </c>
      <c r="O760" t="s">
        <v>5828</v>
      </c>
      <c r="P760" s="614">
        <f>COUNTIF(EducPlans_кодНАЦИД_Спец[аФакСец],EducPlans_кодНАЦИД_Спец[[#This Row],[аФакСец]])</f>
        <v>1</v>
      </c>
    </row>
    <row r="761" spans="3:16" x14ac:dyDescent="0.25">
      <c r="C761" s="614">
        <v>755</v>
      </c>
      <c r="D761" s="614">
        <v>259353</v>
      </c>
      <c r="E761" s="64" t="s">
        <v>1397</v>
      </c>
      <c r="F761" s="64" t="s">
        <v>5830</v>
      </c>
      <c r="G761" s="614" t="s">
        <v>33</v>
      </c>
      <c r="H761" s="614" t="s">
        <v>682</v>
      </c>
      <c r="I761" s="614" t="s">
        <v>1153</v>
      </c>
      <c r="J761" s="64" t="s">
        <v>3545</v>
      </c>
      <c r="K761" s="1940" t="s">
        <v>5831</v>
      </c>
      <c r="L761" s="1940" t="s">
        <v>8498</v>
      </c>
      <c r="M761" t="s">
        <v>11885</v>
      </c>
      <c r="N761" t="s">
        <v>10213</v>
      </c>
      <c r="O761" t="s">
        <v>5830</v>
      </c>
      <c r="P761" s="614">
        <f>COUNTIF(EducPlans_кодНАЦИД_Спец[аФакСец],EducPlans_кодНАЦИД_Спец[[#This Row],[аФакСец]])</f>
        <v>1</v>
      </c>
    </row>
    <row r="762" spans="3:16" x14ac:dyDescent="0.25">
      <c r="C762" s="614">
        <v>756</v>
      </c>
      <c r="D762" s="614">
        <v>259354</v>
      </c>
      <c r="E762" s="64" t="s">
        <v>1398</v>
      </c>
      <c r="F762" s="64" t="s">
        <v>5832</v>
      </c>
      <c r="G762" s="614" t="s">
        <v>33</v>
      </c>
      <c r="H762" s="614" t="s">
        <v>682</v>
      </c>
      <c r="I762" s="614" t="s">
        <v>1153</v>
      </c>
      <c r="J762" s="64" t="s">
        <v>3546</v>
      </c>
      <c r="K762" s="1940" t="s">
        <v>5833</v>
      </c>
      <c r="L762" s="1940" t="s">
        <v>8499</v>
      </c>
      <c r="M762" t="s">
        <v>11886</v>
      </c>
      <c r="N762" t="s">
        <v>10214</v>
      </c>
      <c r="O762" t="s">
        <v>5832</v>
      </c>
      <c r="P762" s="614">
        <f>COUNTIF(EducPlans_кодНАЦИД_Спец[аФакСец],EducPlans_кодНАЦИД_Спец[[#This Row],[аФакСец]])</f>
        <v>1</v>
      </c>
    </row>
    <row r="763" spans="3:16" x14ac:dyDescent="0.25">
      <c r="C763" s="614">
        <v>757</v>
      </c>
      <c r="D763" s="614">
        <v>12241</v>
      </c>
      <c r="E763" s="64" t="s">
        <v>2225</v>
      </c>
      <c r="F763" s="64" t="s">
        <v>5834</v>
      </c>
      <c r="G763" s="614" t="s">
        <v>31</v>
      </c>
      <c r="H763" s="614" t="s">
        <v>682</v>
      </c>
      <c r="I763" s="614" t="s">
        <v>1153</v>
      </c>
      <c r="J763" s="64" t="s">
        <v>2955</v>
      </c>
      <c r="K763" s="1940" t="s">
        <v>5835</v>
      </c>
      <c r="L763" s="1940" t="s">
        <v>8500</v>
      </c>
      <c r="M763" t="s">
        <v>11887</v>
      </c>
      <c r="N763" t="s">
        <v>10215</v>
      </c>
      <c r="O763" t="s">
        <v>5834</v>
      </c>
      <c r="P763" s="614">
        <f>COUNTIF(EducPlans_кодНАЦИД_Спец[аФакСец],EducPlans_кодНАЦИД_Спец[[#This Row],[аФакСец]])</f>
        <v>1</v>
      </c>
    </row>
    <row r="764" spans="3:16" x14ac:dyDescent="0.25">
      <c r="C764" s="614">
        <v>758</v>
      </c>
      <c r="D764" s="614">
        <v>686206</v>
      </c>
      <c r="E764" s="64" t="s">
        <v>12998</v>
      </c>
      <c r="F764" s="64" t="s">
        <v>12999</v>
      </c>
      <c r="G764" s="614" t="s">
        <v>50</v>
      </c>
      <c r="H764" s="614" t="s">
        <v>681</v>
      </c>
      <c r="I764" s="614" t="s">
        <v>1153</v>
      </c>
      <c r="J764" s="64" t="s">
        <v>13000</v>
      </c>
      <c r="K764" s="1940" t="s">
        <v>13001</v>
      </c>
      <c r="L764" s="1940" t="s">
        <v>13002</v>
      </c>
      <c r="M764" t="s">
        <v>13003</v>
      </c>
      <c r="N764" t="s">
        <v>13004</v>
      </c>
      <c r="O764" t="s">
        <v>12999</v>
      </c>
      <c r="P764" s="614">
        <f>COUNTIF(EducPlans_кодНАЦИД_Спец[аФакСец],EducPlans_кодНАЦИД_Спец[[#This Row],[аФакСец]])</f>
        <v>1</v>
      </c>
    </row>
    <row r="765" spans="3:16" x14ac:dyDescent="0.25">
      <c r="C765" s="614">
        <v>759</v>
      </c>
      <c r="D765" s="614">
        <v>10930</v>
      </c>
      <c r="E765" s="64" t="s">
        <v>1697</v>
      </c>
      <c r="F765" s="64" t="s">
        <v>5836</v>
      </c>
      <c r="G765" s="614" t="s">
        <v>35</v>
      </c>
      <c r="H765" s="614" t="s">
        <v>682</v>
      </c>
      <c r="I765" s="614" t="s">
        <v>1153</v>
      </c>
      <c r="J765" s="64" t="s">
        <v>4021</v>
      </c>
      <c r="K765" s="1940" t="s">
        <v>5837</v>
      </c>
      <c r="L765" s="1940" t="s">
        <v>8501</v>
      </c>
      <c r="M765" t="s">
        <v>11888</v>
      </c>
      <c r="N765" t="s">
        <v>10216</v>
      </c>
      <c r="O765" t="s">
        <v>5836</v>
      </c>
      <c r="P765" s="614">
        <f>COUNTIF(EducPlans_кодНАЦИД_Спец[аФакСец],EducPlans_кодНАЦИД_Спец[[#This Row],[аФакСец]])</f>
        <v>1</v>
      </c>
    </row>
    <row r="766" spans="3:16" x14ac:dyDescent="0.25">
      <c r="C766" s="614">
        <v>760</v>
      </c>
      <c r="D766" s="614">
        <v>10930</v>
      </c>
      <c r="E766" s="64" t="s">
        <v>1697</v>
      </c>
      <c r="F766" s="64" t="s">
        <v>5838</v>
      </c>
      <c r="G766" s="614" t="s">
        <v>35</v>
      </c>
      <c r="H766" s="614" t="s">
        <v>682</v>
      </c>
      <c r="I766" s="614" t="s">
        <v>1153</v>
      </c>
      <c r="J766" s="64" t="s">
        <v>4022</v>
      </c>
      <c r="K766" s="1940" t="s">
        <v>5837</v>
      </c>
      <c r="L766" s="1940" t="s">
        <v>8502</v>
      </c>
      <c r="M766" t="s">
        <v>11889</v>
      </c>
      <c r="N766" t="s">
        <v>10217</v>
      </c>
      <c r="O766" t="s">
        <v>5838</v>
      </c>
      <c r="P766" s="614">
        <f>COUNTIF(EducPlans_кодНАЦИД_Спец[аФакСец],EducPlans_кодНАЦИД_Спец[[#This Row],[аФакСец]])</f>
        <v>1</v>
      </c>
    </row>
    <row r="767" spans="3:16" x14ac:dyDescent="0.25">
      <c r="C767" s="614">
        <v>761</v>
      </c>
      <c r="D767" s="614">
        <v>10944</v>
      </c>
      <c r="E767" s="64" t="s">
        <v>1698</v>
      </c>
      <c r="F767" s="64" t="s">
        <v>5839</v>
      </c>
      <c r="G767" s="614" t="s">
        <v>35</v>
      </c>
      <c r="H767" s="614" t="s">
        <v>682</v>
      </c>
      <c r="I767" s="614" t="s">
        <v>1153</v>
      </c>
      <c r="J767" s="64" t="s">
        <v>4023</v>
      </c>
      <c r="K767" s="1940" t="s">
        <v>5840</v>
      </c>
      <c r="L767" s="1940" t="s">
        <v>8503</v>
      </c>
      <c r="M767" t="s">
        <v>11890</v>
      </c>
      <c r="N767" t="s">
        <v>10218</v>
      </c>
      <c r="O767" t="s">
        <v>5839</v>
      </c>
      <c r="P767" s="614">
        <f>COUNTIF(EducPlans_кодНАЦИД_Спец[аФакСец],EducPlans_кодНАЦИД_Спец[[#This Row],[аФакСец]])</f>
        <v>1</v>
      </c>
    </row>
    <row r="768" spans="3:16" x14ac:dyDescent="0.25">
      <c r="C768" s="614">
        <v>762</v>
      </c>
      <c r="D768" s="614">
        <v>10951</v>
      </c>
      <c r="E768" s="64" t="s">
        <v>1699</v>
      </c>
      <c r="F768" s="64" t="s">
        <v>5841</v>
      </c>
      <c r="G768" s="614" t="s">
        <v>35</v>
      </c>
      <c r="H768" s="614" t="s">
        <v>682</v>
      </c>
      <c r="I768" s="614" t="s">
        <v>1153</v>
      </c>
      <c r="J768" s="64" t="s">
        <v>4024</v>
      </c>
      <c r="K768" s="1940" t="s">
        <v>5842</v>
      </c>
      <c r="L768" s="1940" t="s">
        <v>8504</v>
      </c>
      <c r="M768" t="s">
        <v>11891</v>
      </c>
      <c r="N768" t="s">
        <v>10219</v>
      </c>
      <c r="O768" t="s">
        <v>5841</v>
      </c>
      <c r="P768" s="614">
        <f>COUNTIF(EducPlans_кодНАЦИД_Спец[аФакСец],EducPlans_кодНАЦИД_Спец[[#This Row],[аФакСец]])</f>
        <v>1</v>
      </c>
    </row>
    <row r="769" spans="3:16" x14ac:dyDescent="0.25">
      <c r="C769" s="614">
        <v>763</v>
      </c>
      <c r="D769" s="614">
        <v>11286</v>
      </c>
      <c r="E769" s="64" t="s">
        <v>1770</v>
      </c>
      <c r="F769" s="64" t="s">
        <v>5843</v>
      </c>
      <c r="G769" s="614" t="s">
        <v>39</v>
      </c>
      <c r="H769" s="614" t="s">
        <v>682</v>
      </c>
      <c r="I769" s="614" t="s">
        <v>1149</v>
      </c>
      <c r="J769" s="64" t="s">
        <v>3878</v>
      </c>
      <c r="K769" s="1940" t="s">
        <v>5844</v>
      </c>
      <c r="L769" s="1940" t="s">
        <v>8505</v>
      </c>
      <c r="M769" t="s">
        <v>11892</v>
      </c>
      <c r="N769" t="s">
        <v>10220</v>
      </c>
      <c r="O769" t="s">
        <v>5843</v>
      </c>
      <c r="P769" s="614">
        <f>COUNTIF(EducPlans_кодНАЦИД_Спец[аФакСец],EducPlans_кодНАЦИД_Спец[[#This Row],[аФакСец]])</f>
        <v>1</v>
      </c>
    </row>
    <row r="770" spans="3:16" x14ac:dyDescent="0.25">
      <c r="C770" s="614">
        <v>764</v>
      </c>
      <c r="D770" s="614">
        <v>11288</v>
      </c>
      <c r="E770" s="64" t="s">
        <v>1770</v>
      </c>
      <c r="F770" s="64" t="s">
        <v>5845</v>
      </c>
      <c r="G770" s="614" t="s">
        <v>39</v>
      </c>
      <c r="H770" s="614" t="s">
        <v>682</v>
      </c>
      <c r="I770" s="614" t="s">
        <v>1149</v>
      </c>
      <c r="J770" s="64" t="s">
        <v>3877</v>
      </c>
      <c r="K770" s="1940" t="s">
        <v>5846</v>
      </c>
      <c r="L770" s="1940" t="s">
        <v>8506</v>
      </c>
      <c r="M770" t="s">
        <v>11893</v>
      </c>
      <c r="N770" t="s">
        <v>10221</v>
      </c>
      <c r="O770" t="s">
        <v>5845</v>
      </c>
      <c r="P770" s="614">
        <f>COUNTIF(EducPlans_кодНАЦИД_Спец[аФакСец],EducPlans_кодНАЦИД_Спец[[#This Row],[аФакСец]])</f>
        <v>1</v>
      </c>
    </row>
    <row r="771" spans="3:16" x14ac:dyDescent="0.25">
      <c r="C771" s="614">
        <v>765</v>
      </c>
      <c r="D771" s="614">
        <v>12914</v>
      </c>
      <c r="E771" s="64" t="s">
        <v>1810</v>
      </c>
      <c r="F771" s="64" t="s">
        <v>5847</v>
      </c>
      <c r="G771" s="614" t="s">
        <v>42</v>
      </c>
      <c r="H771" s="614" t="s">
        <v>681</v>
      </c>
      <c r="I771" s="614" t="s">
        <v>1153</v>
      </c>
      <c r="J771" s="64" t="s">
        <v>3473</v>
      </c>
      <c r="K771" s="1940" t="s">
        <v>5848</v>
      </c>
      <c r="L771" s="1940" t="s">
        <v>8507</v>
      </c>
      <c r="M771" t="s">
        <v>11894</v>
      </c>
      <c r="N771" t="s">
        <v>10222</v>
      </c>
      <c r="O771" t="s">
        <v>5847</v>
      </c>
      <c r="P771" s="614">
        <f>COUNTIF(EducPlans_кодНАЦИД_Спец[аФакСец],EducPlans_кодНАЦИД_Спец[[#This Row],[аФакСец]])</f>
        <v>1</v>
      </c>
    </row>
    <row r="772" spans="3:16" x14ac:dyDescent="0.25">
      <c r="C772" s="614">
        <v>766</v>
      </c>
      <c r="D772" s="614">
        <v>12949</v>
      </c>
      <c r="E772" s="64" t="s">
        <v>1811</v>
      </c>
      <c r="F772" s="64" t="s">
        <v>5849</v>
      </c>
      <c r="G772" s="614" t="s">
        <v>42</v>
      </c>
      <c r="H772" s="614" t="s">
        <v>682</v>
      </c>
      <c r="I772" s="614" t="s">
        <v>1149</v>
      </c>
      <c r="J772" s="64" t="s">
        <v>3474</v>
      </c>
      <c r="K772" s="1940" t="s">
        <v>5850</v>
      </c>
      <c r="L772" s="1940" t="s">
        <v>8508</v>
      </c>
      <c r="M772" t="s">
        <v>11895</v>
      </c>
      <c r="N772" t="s">
        <v>10223</v>
      </c>
      <c r="O772" t="s">
        <v>5849</v>
      </c>
      <c r="P772" s="614">
        <f>COUNTIF(EducPlans_кодНАЦИД_Спец[аФакСец],EducPlans_кодНАЦИД_Спец[[#This Row],[аФакСец]])</f>
        <v>1</v>
      </c>
    </row>
    <row r="773" spans="3:16" x14ac:dyDescent="0.25">
      <c r="C773" s="614">
        <v>767</v>
      </c>
      <c r="D773" s="614">
        <v>12141</v>
      </c>
      <c r="E773" s="64" t="s">
        <v>2171</v>
      </c>
      <c r="F773" s="64" t="s">
        <v>5851</v>
      </c>
      <c r="G773" s="614" t="s">
        <v>29</v>
      </c>
      <c r="H773" s="614" t="s">
        <v>682</v>
      </c>
      <c r="I773" s="614" t="s">
        <v>1153</v>
      </c>
      <c r="J773" s="64" t="s">
        <v>4159</v>
      </c>
      <c r="K773" s="1940" t="s">
        <v>5852</v>
      </c>
      <c r="L773" s="1940" t="s">
        <v>8509</v>
      </c>
      <c r="M773" t="s">
        <v>11896</v>
      </c>
      <c r="N773" t="s">
        <v>10224</v>
      </c>
      <c r="O773" t="s">
        <v>5851</v>
      </c>
      <c r="P773" s="614">
        <f>COUNTIF(EducPlans_кодНАЦИД_Спец[аФакСец],EducPlans_кодНАЦИД_Спец[[#This Row],[аФакСец]])</f>
        <v>1</v>
      </c>
    </row>
    <row r="774" spans="3:16" x14ac:dyDescent="0.25">
      <c r="C774" s="614">
        <v>768</v>
      </c>
      <c r="D774" s="614">
        <v>12144</v>
      </c>
      <c r="E774" s="64" t="s">
        <v>2171</v>
      </c>
      <c r="F774" s="64" t="s">
        <v>5853</v>
      </c>
      <c r="G774" s="614" t="s">
        <v>29</v>
      </c>
      <c r="H774" s="614" t="s">
        <v>682</v>
      </c>
      <c r="I774" s="614" t="s">
        <v>1149</v>
      </c>
      <c r="J774" s="64" t="s">
        <v>4158</v>
      </c>
      <c r="K774" s="1940" t="s">
        <v>5854</v>
      </c>
      <c r="L774" s="1940" t="s">
        <v>8510</v>
      </c>
      <c r="M774" t="s">
        <v>11897</v>
      </c>
      <c r="N774" t="s">
        <v>10225</v>
      </c>
      <c r="O774" t="s">
        <v>5853</v>
      </c>
      <c r="P774" s="614">
        <f>COUNTIF(EducPlans_кодНАЦИД_Спец[аФакСец],EducPlans_кодНАЦИД_Спец[[#This Row],[аФакСец]])</f>
        <v>1</v>
      </c>
    </row>
    <row r="775" spans="3:16" x14ac:dyDescent="0.25">
      <c r="C775" s="614">
        <v>769</v>
      </c>
      <c r="D775" s="614">
        <v>188685</v>
      </c>
      <c r="E775" s="64" t="s">
        <v>2172</v>
      </c>
      <c r="F775" s="64" t="s">
        <v>5855</v>
      </c>
      <c r="G775" s="614" t="s">
        <v>29</v>
      </c>
      <c r="H775" s="614" t="s">
        <v>682</v>
      </c>
      <c r="I775" s="614" t="s">
        <v>1149</v>
      </c>
      <c r="J775" s="64" t="s">
        <v>4160</v>
      </c>
      <c r="K775" s="1940" t="s">
        <v>5856</v>
      </c>
      <c r="L775" s="1940" t="s">
        <v>8511</v>
      </c>
      <c r="M775" t="s">
        <v>11898</v>
      </c>
      <c r="N775" t="s">
        <v>10226</v>
      </c>
      <c r="O775" t="s">
        <v>5855</v>
      </c>
      <c r="P775" s="614">
        <f>COUNTIF(EducPlans_кодНАЦИД_Спец[аФакСец],EducPlans_кодНАЦИД_Спец[[#This Row],[аФакСец]])</f>
        <v>1</v>
      </c>
    </row>
    <row r="776" spans="3:16" x14ac:dyDescent="0.25">
      <c r="C776" s="614">
        <v>770</v>
      </c>
      <c r="D776" s="614">
        <v>12103</v>
      </c>
      <c r="E776" s="64" t="s">
        <v>2173</v>
      </c>
      <c r="F776" s="64" t="s">
        <v>5857</v>
      </c>
      <c r="G776" s="614" t="s">
        <v>29</v>
      </c>
      <c r="H776" s="614" t="s">
        <v>682</v>
      </c>
      <c r="I776" s="614" t="s">
        <v>1153</v>
      </c>
      <c r="J776" s="64" t="s">
        <v>5858</v>
      </c>
      <c r="K776" s="1940" t="s">
        <v>5859</v>
      </c>
      <c r="L776" s="1940" t="s">
        <v>8512</v>
      </c>
      <c r="M776" t="s">
        <v>11899</v>
      </c>
      <c r="N776" t="s">
        <v>10227</v>
      </c>
      <c r="O776" t="s">
        <v>5857</v>
      </c>
      <c r="P776" s="614">
        <f>COUNTIF(EducPlans_кодНАЦИД_Спец[аФакСец],EducPlans_кодНАЦИД_Спец[[#This Row],[аФакСец]])</f>
        <v>1</v>
      </c>
    </row>
    <row r="777" spans="3:16" x14ac:dyDescent="0.25">
      <c r="C777" s="614">
        <v>771</v>
      </c>
      <c r="D777" s="614">
        <v>12104</v>
      </c>
      <c r="E777" s="64" t="s">
        <v>2173</v>
      </c>
      <c r="F777" s="64" t="s">
        <v>5860</v>
      </c>
      <c r="G777" s="614" t="s">
        <v>29</v>
      </c>
      <c r="H777" s="614" t="s">
        <v>682</v>
      </c>
      <c r="I777" s="614" t="s">
        <v>1149</v>
      </c>
      <c r="J777" s="64" t="s">
        <v>5861</v>
      </c>
      <c r="K777" s="1940" t="s">
        <v>5862</v>
      </c>
      <c r="L777" s="1940" t="s">
        <v>8513</v>
      </c>
      <c r="M777" t="s">
        <v>11900</v>
      </c>
      <c r="N777" t="s">
        <v>10228</v>
      </c>
      <c r="O777" t="s">
        <v>5860</v>
      </c>
      <c r="P777" s="614">
        <f>COUNTIF(EducPlans_кодНАЦИД_Спец[аФакСец],EducPlans_кодНАЦИД_Спец[[#This Row],[аФакСец]])</f>
        <v>1</v>
      </c>
    </row>
    <row r="778" spans="3:16" x14ac:dyDescent="0.25">
      <c r="C778" s="614">
        <v>772</v>
      </c>
      <c r="D778" s="614">
        <v>11831</v>
      </c>
      <c r="E778" s="64" t="s">
        <v>2338</v>
      </c>
      <c r="F778" s="64" t="s">
        <v>5863</v>
      </c>
      <c r="G778" s="614" t="s">
        <v>26</v>
      </c>
      <c r="H778" s="614" t="s">
        <v>682</v>
      </c>
      <c r="I778" s="614" t="s">
        <v>1153</v>
      </c>
      <c r="J778" s="64" t="s">
        <v>3706</v>
      </c>
      <c r="K778" s="1940" t="s">
        <v>5864</v>
      </c>
      <c r="L778" s="1940" t="s">
        <v>8514</v>
      </c>
      <c r="M778" t="s">
        <v>11901</v>
      </c>
      <c r="N778" t="s">
        <v>10229</v>
      </c>
      <c r="O778" t="s">
        <v>5863</v>
      </c>
      <c r="P778" s="614">
        <f>COUNTIF(EducPlans_кодНАЦИД_Спец[аФакСец],EducPlans_кодНАЦИД_Спец[[#This Row],[аФакСец]])</f>
        <v>1</v>
      </c>
    </row>
    <row r="779" spans="3:16" x14ac:dyDescent="0.25">
      <c r="C779" s="614">
        <v>773</v>
      </c>
      <c r="D779" s="614">
        <v>11831</v>
      </c>
      <c r="E779" s="64" t="s">
        <v>2338</v>
      </c>
      <c r="F779" s="64" t="s">
        <v>5865</v>
      </c>
      <c r="G779" s="614" t="s">
        <v>26</v>
      </c>
      <c r="H779" s="614" t="s">
        <v>682</v>
      </c>
      <c r="I779" s="614" t="s">
        <v>1153</v>
      </c>
      <c r="J779" s="64" t="s">
        <v>3708</v>
      </c>
      <c r="K779" s="1940" t="s">
        <v>5864</v>
      </c>
      <c r="L779" s="1940" t="s">
        <v>8515</v>
      </c>
      <c r="M779" t="s">
        <v>11902</v>
      </c>
      <c r="N779" t="s">
        <v>10230</v>
      </c>
      <c r="O779" t="s">
        <v>5865</v>
      </c>
      <c r="P779" s="614">
        <f>COUNTIF(EducPlans_кодНАЦИД_Спец[аФакСец],EducPlans_кодНАЦИД_Спец[[#This Row],[аФакСец]])</f>
        <v>1</v>
      </c>
    </row>
    <row r="780" spans="3:16" x14ac:dyDescent="0.25">
      <c r="C780" s="614">
        <v>774</v>
      </c>
      <c r="D780" s="614">
        <v>11831</v>
      </c>
      <c r="E780" s="64" t="s">
        <v>2338</v>
      </c>
      <c r="F780" s="64" t="s">
        <v>5866</v>
      </c>
      <c r="G780" s="614" t="s">
        <v>26</v>
      </c>
      <c r="H780" s="614" t="s">
        <v>682</v>
      </c>
      <c r="I780" s="614" t="s">
        <v>1153</v>
      </c>
      <c r="J780" s="64" t="s">
        <v>3709</v>
      </c>
      <c r="K780" s="1940" t="s">
        <v>5864</v>
      </c>
      <c r="L780" s="1940" t="s">
        <v>8516</v>
      </c>
      <c r="M780" t="s">
        <v>11903</v>
      </c>
      <c r="N780" t="s">
        <v>10231</v>
      </c>
      <c r="O780" t="s">
        <v>5866</v>
      </c>
      <c r="P780" s="614">
        <f>COUNTIF(EducPlans_кодНАЦИД_Спец[аФакСец],EducPlans_кодНАЦИД_Спец[[#This Row],[аФакСец]])</f>
        <v>1</v>
      </c>
    </row>
    <row r="781" spans="3:16" x14ac:dyDescent="0.25">
      <c r="C781" s="614">
        <v>775</v>
      </c>
      <c r="D781" s="614">
        <v>11832</v>
      </c>
      <c r="E781" s="64" t="s">
        <v>2338</v>
      </c>
      <c r="F781" s="64" t="s">
        <v>5867</v>
      </c>
      <c r="G781" s="614" t="s">
        <v>26</v>
      </c>
      <c r="H781" s="614" t="s">
        <v>682</v>
      </c>
      <c r="I781" s="614" t="s">
        <v>1153</v>
      </c>
      <c r="J781" s="64" t="s">
        <v>3707</v>
      </c>
      <c r="K781" s="1940" t="s">
        <v>5864</v>
      </c>
      <c r="L781" s="1940" t="s">
        <v>8517</v>
      </c>
      <c r="M781" t="s">
        <v>11904</v>
      </c>
      <c r="N781" t="s">
        <v>10232</v>
      </c>
      <c r="O781" t="s">
        <v>5867</v>
      </c>
      <c r="P781" s="614">
        <f>COUNTIF(EducPlans_кодНАЦИД_Спец[аФакСец],EducPlans_кодНАЦИД_Спец[[#This Row],[аФакСец]])</f>
        <v>1</v>
      </c>
    </row>
    <row r="782" spans="3:16" x14ac:dyDescent="0.25">
      <c r="C782" s="614">
        <v>776</v>
      </c>
      <c r="D782" s="614">
        <v>11853</v>
      </c>
      <c r="E782" s="64" t="s">
        <v>1399</v>
      </c>
      <c r="F782" s="64" t="s">
        <v>5868</v>
      </c>
      <c r="G782" s="614" t="s">
        <v>26</v>
      </c>
      <c r="H782" s="614" t="s">
        <v>682</v>
      </c>
      <c r="I782" s="614" t="s">
        <v>1153</v>
      </c>
      <c r="J782" s="64" t="s">
        <v>3710</v>
      </c>
      <c r="K782" s="1940" t="s">
        <v>5869</v>
      </c>
      <c r="L782" s="1940" t="s">
        <v>8518</v>
      </c>
      <c r="M782" t="s">
        <v>11905</v>
      </c>
      <c r="N782" t="s">
        <v>10233</v>
      </c>
      <c r="O782" t="s">
        <v>5868</v>
      </c>
      <c r="P782" s="614">
        <f>COUNTIF(EducPlans_кодНАЦИД_Спец[аФакСец],EducPlans_кодНАЦИД_Спец[[#This Row],[аФакСец]])</f>
        <v>1</v>
      </c>
    </row>
    <row r="783" spans="3:16" x14ac:dyDescent="0.25">
      <c r="C783" s="614">
        <v>777</v>
      </c>
      <c r="D783" s="614">
        <v>11380</v>
      </c>
      <c r="E783" s="64" t="s">
        <v>3921</v>
      </c>
      <c r="F783" s="64" t="s">
        <v>5870</v>
      </c>
      <c r="G783" s="614" t="s">
        <v>647</v>
      </c>
      <c r="H783" s="614" t="s">
        <v>682</v>
      </c>
      <c r="I783" s="614" t="s">
        <v>1153</v>
      </c>
      <c r="J783" s="64" t="s">
        <v>3922</v>
      </c>
      <c r="K783" s="1940" t="s">
        <v>5871</v>
      </c>
      <c r="L783" s="1940" t="s">
        <v>8519</v>
      </c>
      <c r="M783" t="s">
        <v>11906</v>
      </c>
      <c r="N783" t="s">
        <v>10234</v>
      </c>
      <c r="O783" t="s">
        <v>5870</v>
      </c>
      <c r="P783" s="614">
        <f>COUNTIF(EducPlans_кодНАЦИД_Спец[аФакСец],EducPlans_кодНАЦИД_Спец[[#This Row],[аФакСец]])</f>
        <v>1</v>
      </c>
    </row>
    <row r="784" spans="3:16" x14ac:dyDescent="0.25">
      <c r="C784" s="614">
        <v>778</v>
      </c>
      <c r="D784" s="614">
        <v>608435</v>
      </c>
      <c r="E784" s="64" t="s">
        <v>3921</v>
      </c>
      <c r="F784" s="64" t="s">
        <v>5872</v>
      </c>
      <c r="G784" s="614" t="s">
        <v>647</v>
      </c>
      <c r="H784" s="614" t="s">
        <v>682</v>
      </c>
      <c r="I784" s="614" t="s">
        <v>1149</v>
      </c>
      <c r="J784" s="64" t="s">
        <v>5873</v>
      </c>
      <c r="K784" s="1940" t="s">
        <v>5874</v>
      </c>
      <c r="L784" s="1940" t="s">
        <v>8520</v>
      </c>
      <c r="M784" t="s">
        <v>11907</v>
      </c>
      <c r="N784" t="s">
        <v>10235</v>
      </c>
      <c r="O784" t="s">
        <v>5872</v>
      </c>
      <c r="P784" s="614">
        <f>COUNTIF(EducPlans_кодНАЦИД_Спец[аФакСец],EducPlans_кодНАЦИД_Спец[[#This Row],[аФакСец]])</f>
        <v>1</v>
      </c>
    </row>
    <row r="785" spans="3:16" x14ac:dyDescent="0.25">
      <c r="C785" s="614">
        <v>779</v>
      </c>
      <c r="D785" s="614">
        <v>12058</v>
      </c>
      <c r="E785" s="64" t="s">
        <v>2174</v>
      </c>
      <c r="F785" s="64" t="s">
        <v>5875</v>
      </c>
      <c r="G785" s="614" t="s">
        <v>29</v>
      </c>
      <c r="H785" s="614" t="s">
        <v>681</v>
      </c>
      <c r="I785" s="614" t="s">
        <v>1153</v>
      </c>
      <c r="J785" s="64" t="s">
        <v>4161</v>
      </c>
      <c r="K785" s="1940" t="s">
        <v>5876</v>
      </c>
      <c r="L785" s="1940" t="s">
        <v>8521</v>
      </c>
      <c r="M785" t="s">
        <v>11908</v>
      </c>
      <c r="N785" t="s">
        <v>10236</v>
      </c>
      <c r="O785" t="s">
        <v>5875</v>
      </c>
      <c r="P785" s="614">
        <f>COUNTIF(EducPlans_кодНАЦИД_Спец[аФакСец],EducPlans_кодНАЦИД_Спец[[#This Row],[аФакСец]])</f>
        <v>1</v>
      </c>
    </row>
    <row r="786" spans="3:16" x14ac:dyDescent="0.25">
      <c r="C786" s="614">
        <v>780</v>
      </c>
      <c r="D786" s="614">
        <v>11752</v>
      </c>
      <c r="E786" s="64" t="s">
        <v>2342</v>
      </c>
      <c r="F786" s="64" t="s">
        <v>5877</v>
      </c>
      <c r="G786" s="614" t="s">
        <v>26</v>
      </c>
      <c r="H786" s="614" t="s">
        <v>681</v>
      </c>
      <c r="I786" s="614" t="s">
        <v>1153</v>
      </c>
      <c r="J786" s="64" t="s">
        <v>3711</v>
      </c>
      <c r="K786" s="1940" t="s">
        <v>5878</v>
      </c>
      <c r="L786" s="1940" t="s">
        <v>8522</v>
      </c>
      <c r="M786" t="s">
        <v>11909</v>
      </c>
      <c r="N786" t="s">
        <v>10237</v>
      </c>
      <c r="O786" t="s">
        <v>5877</v>
      </c>
      <c r="P786" s="614">
        <f>COUNTIF(EducPlans_кодНАЦИД_Спец[аФакСец],EducPlans_кодНАЦИД_Спец[[#This Row],[аФакСец]])</f>
        <v>1</v>
      </c>
    </row>
    <row r="787" spans="3:16" x14ac:dyDescent="0.25">
      <c r="C787" s="614">
        <v>781</v>
      </c>
      <c r="D787" s="614">
        <v>11953</v>
      </c>
      <c r="E787" s="64" t="s">
        <v>2465</v>
      </c>
      <c r="F787" s="64" t="s">
        <v>5879</v>
      </c>
      <c r="G787" s="614" t="s">
        <v>628</v>
      </c>
      <c r="H787" s="614" t="s">
        <v>681</v>
      </c>
      <c r="I787" s="614" t="s">
        <v>1153</v>
      </c>
      <c r="J787" s="64" t="s">
        <v>3473</v>
      </c>
      <c r="K787" s="1940" t="s">
        <v>5880</v>
      </c>
      <c r="L787" s="1940" t="s">
        <v>8523</v>
      </c>
      <c r="M787" t="s">
        <v>11910</v>
      </c>
      <c r="N787" t="s">
        <v>10238</v>
      </c>
      <c r="O787" t="s">
        <v>5879</v>
      </c>
      <c r="P787" s="614">
        <f>COUNTIF(EducPlans_кодНАЦИД_Спец[аФакСец],EducPlans_кодНАЦИД_Спец[[#This Row],[аФакСец]])</f>
        <v>1</v>
      </c>
    </row>
    <row r="788" spans="3:16" x14ac:dyDescent="0.25">
      <c r="C788" s="614">
        <v>782</v>
      </c>
      <c r="D788" s="614">
        <v>11899</v>
      </c>
      <c r="E788" s="64" t="s">
        <v>2117</v>
      </c>
      <c r="F788" s="64" t="s">
        <v>5881</v>
      </c>
      <c r="G788" s="614" t="s">
        <v>628</v>
      </c>
      <c r="H788" s="614" t="s">
        <v>681</v>
      </c>
      <c r="I788" s="614" t="s">
        <v>1153</v>
      </c>
      <c r="J788" s="64" t="s">
        <v>4213</v>
      </c>
      <c r="K788" s="1940" t="s">
        <v>5882</v>
      </c>
      <c r="L788" s="1940" t="s">
        <v>8524</v>
      </c>
      <c r="M788" t="s">
        <v>11911</v>
      </c>
      <c r="N788" t="s">
        <v>10239</v>
      </c>
      <c r="O788" t="s">
        <v>5881</v>
      </c>
      <c r="P788" s="614">
        <f>COUNTIF(EducPlans_кодНАЦИД_Спец[аФакСец],EducPlans_кодНАЦИД_Спец[[#This Row],[аФакСец]])</f>
        <v>1</v>
      </c>
    </row>
    <row r="789" spans="3:16" x14ac:dyDescent="0.25">
      <c r="C789" s="614">
        <v>783</v>
      </c>
      <c r="D789" s="614">
        <v>11899</v>
      </c>
      <c r="E789" s="64" t="s">
        <v>2117</v>
      </c>
      <c r="F789" s="64" t="s">
        <v>5883</v>
      </c>
      <c r="G789" s="614" t="s">
        <v>628</v>
      </c>
      <c r="H789" s="614" t="s">
        <v>681</v>
      </c>
      <c r="I789" s="614" t="s">
        <v>1153</v>
      </c>
      <c r="J789" s="64" t="s">
        <v>4212</v>
      </c>
      <c r="K789" s="1940" t="s">
        <v>5882</v>
      </c>
      <c r="L789" s="1940" t="s">
        <v>8525</v>
      </c>
      <c r="M789" t="s">
        <v>11912</v>
      </c>
      <c r="N789" t="s">
        <v>10240</v>
      </c>
      <c r="O789" t="s">
        <v>5883</v>
      </c>
      <c r="P789" s="614">
        <f>COUNTIF(EducPlans_кодНАЦИД_Спец[аФакСец],EducPlans_кодНАЦИД_Спец[[#This Row],[аФакСец]])</f>
        <v>1</v>
      </c>
    </row>
    <row r="790" spans="3:16" x14ac:dyDescent="0.25">
      <c r="C790" s="614">
        <v>784</v>
      </c>
      <c r="D790" s="614">
        <v>11952</v>
      </c>
      <c r="E790" s="64" t="s">
        <v>2117</v>
      </c>
      <c r="F790" s="64" t="s">
        <v>5884</v>
      </c>
      <c r="G790" s="614" t="s">
        <v>628</v>
      </c>
      <c r="H790" s="614" t="s">
        <v>681</v>
      </c>
      <c r="I790" s="614" t="s">
        <v>1153</v>
      </c>
      <c r="J790" s="64" t="s">
        <v>4214</v>
      </c>
      <c r="K790" s="1940" t="s">
        <v>5885</v>
      </c>
      <c r="L790" s="1940" t="s">
        <v>8526</v>
      </c>
      <c r="M790" t="s">
        <v>11913</v>
      </c>
      <c r="N790" t="s">
        <v>10241</v>
      </c>
      <c r="O790" t="s">
        <v>5884</v>
      </c>
      <c r="P790" s="614">
        <f>COUNTIF(EducPlans_кодНАЦИД_Спец[аФакСец],EducPlans_кодНАЦИД_Спец[[#This Row],[аФакСец]])</f>
        <v>1</v>
      </c>
    </row>
    <row r="791" spans="3:16" x14ac:dyDescent="0.25">
      <c r="C791" s="614">
        <v>785</v>
      </c>
      <c r="D791" s="614">
        <v>11900</v>
      </c>
      <c r="E791" s="64" t="s">
        <v>2117</v>
      </c>
      <c r="F791" s="64" t="s">
        <v>5886</v>
      </c>
      <c r="G791" s="614" t="s">
        <v>628</v>
      </c>
      <c r="H791" s="614" t="s">
        <v>682</v>
      </c>
      <c r="I791" s="614" t="s">
        <v>1153</v>
      </c>
      <c r="J791" s="64" t="s">
        <v>4215</v>
      </c>
      <c r="K791" s="1940" t="s">
        <v>5887</v>
      </c>
      <c r="L791" s="1940" t="s">
        <v>8527</v>
      </c>
      <c r="M791" t="s">
        <v>11914</v>
      </c>
      <c r="N791" t="s">
        <v>10242</v>
      </c>
      <c r="O791" t="s">
        <v>5886</v>
      </c>
      <c r="P791" s="614">
        <f>COUNTIF(EducPlans_кодНАЦИД_Спец[аФакСец],EducPlans_кодНАЦИД_Спец[[#This Row],[аФакСец]])</f>
        <v>2</v>
      </c>
    </row>
    <row r="792" spans="3:16" x14ac:dyDescent="0.25">
      <c r="C792" s="614">
        <v>786</v>
      </c>
      <c r="D792" s="614">
        <v>12039</v>
      </c>
      <c r="E792" s="64" t="s">
        <v>2466</v>
      </c>
      <c r="F792" s="64" t="s">
        <v>5888</v>
      </c>
      <c r="G792" s="614" t="s">
        <v>628</v>
      </c>
      <c r="H792" s="614" t="s">
        <v>682</v>
      </c>
      <c r="I792" s="614" t="s">
        <v>1153</v>
      </c>
      <c r="J792" s="64" t="s">
        <v>4215</v>
      </c>
      <c r="K792" s="1940" t="s">
        <v>5889</v>
      </c>
      <c r="L792" s="1940" t="s">
        <v>8527</v>
      </c>
      <c r="M792" t="s">
        <v>11915</v>
      </c>
      <c r="N792" t="s">
        <v>10242</v>
      </c>
      <c r="O792" t="s">
        <v>5888</v>
      </c>
      <c r="P792" s="614">
        <f>COUNTIF(EducPlans_кодНАЦИД_Спец[аФакСец],EducPlans_кодНАЦИД_Спец[[#This Row],[аФакСец]])</f>
        <v>2</v>
      </c>
    </row>
    <row r="793" spans="3:16" x14ac:dyDescent="0.25">
      <c r="C793" s="614">
        <v>787</v>
      </c>
      <c r="D793" s="614">
        <v>12920</v>
      </c>
      <c r="E793" s="64" t="s">
        <v>1812</v>
      </c>
      <c r="F793" s="64" t="s">
        <v>5890</v>
      </c>
      <c r="G793" s="614" t="s">
        <v>42</v>
      </c>
      <c r="H793" s="614" t="s">
        <v>681</v>
      </c>
      <c r="I793" s="614" t="s">
        <v>1153</v>
      </c>
      <c r="J793" s="64" t="s">
        <v>3475</v>
      </c>
      <c r="K793" s="1940" t="s">
        <v>5891</v>
      </c>
      <c r="L793" s="1940" t="s">
        <v>8528</v>
      </c>
      <c r="M793" t="s">
        <v>11916</v>
      </c>
      <c r="N793" t="s">
        <v>10243</v>
      </c>
      <c r="O793" t="s">
        <v>5890</v>
      </c>
      <c r="P793" s="614">
        <f>COUNTIF(EducPlans_кодНАЦИД_Спец[аФакСец],EducPlans_кодНАЦИД_Спец[[#This Row],[аФакСец]])</f>
        <v>1</v>
      </c>
    </row>
    <row r="794" spans="3:16" x14ac:dyDescent="0.25">
      <c r="C794" s="614">
        <v>788</v>
      </c>
      <c r="D794" s="614">
        <v>12036</v>
      </c>
      <c r="E794" s="64" t="s">
        <v>2467</v>
      </c>
      <c r="F794" s="64" t="s">
        <v>5892</v>
      </c>
      <c r="G794" s="614" t="s">
        <v>628</v>
      </c>
      <c r="H794" s="614" t="s">
        <v>682</v>
      </c>
      <c r="I794" s="614" t="s">
        <v>1153</v>
      </c>
      <c r="J794" s="64" t="s">
        <v>4216</v>
      </c>
      <c r="K794" s="1940" t="s">
        <v>5893</v>
      </c>
      <c r="L794" s="1940" t="s">
        <v>8529</v>
      </c>
      <c r="M794" t="s">
        <v>11917</v>
      </c>
      <c r="N794" t="s">
        <v>10244</v>
      </c>
      <c r="O794" t="s">
        <v>5892</v>
      </c>
      <c r="P794" s="614">
        <f>COUNTIF(EducPlans_кодНАЦИД_Спец[аФакСец],EducPlans_кодНАЦИД_Спец[[#This Row],[аФакСец]])</f>
        <v>1</v>
      </c>
    </row>
    <row r="795" spans="3:16" x14ac:dyDescent="0.25">
      <c r="C795" s="614">
        <v>789</v>
      </c>
      <c r="D795" s="614">
        <v>732356</v>
      </c>
      <c r="E795" s="64" t="s">
        <v>13512</v>
      </c>
      <c r="F795" s="64" t="s">
        <v>13513</v>
      </c>
      <c r="G795" s="614" t="s">
        <v>33</v>
      </c>
      <c r="H795" s="614" t="s">
        <v>682</v>
      </c>
      <c r="I795" s="614" t="s">
        <v>1153</v>
      </c>
      <c r="J795" s="64" t="s">
        <v>13514</v>
      </c>
      <c r="K795" s="1940" t="s">
        <v>13515</v>
      </c>
      <c r="L795" s="1940" t="s">
        <v>13516</v>
      </c>
      <c r="M795" t="s">
        <v>13517</v>
      </c>
      <c r="N795" t="s">
        <v>13518</v>
      </c>
      <c r="O795" t="s">
        <v>13513</v>
      </c>
      <c r="P795" s="614">
        <f>COUNTIF(EducPlans_кодНАЦИД_Спец[аФакСец],EducPlans_кодНАЦИД_Спец[[#This Row],[аФакСец]])</f>
        <v>1</v>
      </c>
    </row>
    <row r="796" spans="3:16" x14ac:dyDescent="0.25">
      <c r="C796" s="614">
        <v>790</v>
      </c>
      <c r="D796" s="614">
        <v>777107</v>
      </c>
      <c r="E796" s="64" t="s">
        <v>13512</v>
      </c>
      <c r="F796" s="64" t="s">
        <v>13519</v>
      </c>
      <c r="G796" s="614" t="s">
        <v>33</v>
      </c>
      <c r="H796" s="614" t="s">
        <v>682</v>
      </c>
      <c r="I796" s="614" t="s">
        <v>1149</v>
      </c>
      <c r="J796" s="64" t="s">
        <v>13520</v>
      </c>
      <c r="K796" s="1940" t="s">
        <v>13521</v>
      </c>
      <c r="L796" s="1940" t="s">
        <v>13522</v>
      </c>
      <c r="M796" t="s">
        <v>13523</v>
      </c>
      <c r="N796" t="s">
        <v>13524</v>
      </c>
      <c r="O796" t="s">
        <v>13519</v>
      </c>
      <c r="P796" s="614">
        <f>COUNTIF(EducPlans_кодНАЦИД_Спец[аФакСец],EducPlans_кодНАЦИД_Спец[[#This Row],[аФакСец]])</f>
        <v>1</v>
      </c>
    </row>
    <row r="797" spans="3:16" x14ac:dyDescent="0.25">
      <c r="C797" s="614">
        <v>791</v>
      </c>
      <c r="D797" s="614">
        <v>777108</v>
      </c>
      <c r="E797" s="64" t="s">
        <v>13512</v>
      </c>
      <c r="F797" s="64" t="s">
        <v>13525</v>
      </c>
      <c r="G797" s="614" t="s">
        <v>33</v>
      </c>
      <c r="H797" s="614" t="s">
        <v>682</v>
      </c>
      <c r="I797" s="614" t="s">
        <v>1167</v>
      </c>
      <c r="J797" s="64" t="s">
        <v>13526</v>
      </c>
      <c r="K797" s="1940" t="s">
        <v>13527</v>
      </c>
      <c r="L797" s="1940" t="s">
        <v>13528</v>
      </c>
      <c r="M797" t="s">
        <v>13529</v>
      </c>
      <c r="N797" t="s">
        <v>13530</v>
      </c>
      <c r="O797" t="s">
        <v>13525</v>
      </c>
      <c r="P797" s="614">
        <f>COUNTIF(EducPlans_кодНАЦИД_Спец[аФакСец],EducPlans_кодНАЦИД_Спец[[#This Row],[аФакСец]])</f>
        <v>1</v>
      </c>
    </row>
    <row r="798" spans="3:16" x14ac:dyDescent="0.25">
      <c r="C798" s="614">
        <v>792</v>
      </c>
      <c r="D798" s="614">
        <v>11611</v>
      </c>
      <c r="E798" s="64" t="s">
        <v>13531</v>
      </c>
      <c r="F798" s="64" t="s">
        <v>5894</v>
      </c>
      <c r="G798" s="614" t="s">
        <v>33</v>
      </c>
      <c r="H798" s="614" t="s">
        <v>682</v>
      </c>
      <c r="I798" s="614" t="s">
        <v>1153</v>
      </c>
      <c r="J798" s="64" t="s">
        <v>3555</v>
      </c>
      <c r="K798" s="1940" t="s">
        <v>5895</v>
      </c>
      <c r="L798" s="1940" t="s">
        <v>8530</v>
      </c>
      <c r="M798" t="s">
        <v>13532</v>
      </c>
      <c r="N798" t="s">
        <v>10245</v>
      </c>
      <c r="O798" t="s">
        <v>5894</v>
      </c>
      <c r="P798" s="614">
        <f>COUNTIF(EducPlans_кодНАЦИД_Спец[аФакСец],EducPlans_кодНАЦИД_Спец[[#This Row],[аФакСец]])</f>
        <v>1</v>
      </c>
    </row>
    <row r="799" spans="3:16" x14ac:dyDescent="0.25">
      <c r="C799" s="614">
        <v>793</v>
      </c>
      <c r="D799" s="614">
        <v>11611</v>
      </c>
      <c r="E799" s="64" t="s">
        <v>13531</v>
      </c>
      <c r="F799" s="64" t="s">
        <v>5896</v>
      </c>
      <c r="G799" s="614" t="s">
        <v>33</v>
      </c>
      <c r="H799" s="614" t="s">
        <v>682</v>
      </c>
      <c r="I799" s="614" t="s">
        <v>1153</v>
      </c>
      <c r="J799" s="64" t="s">
        <v>3553</v>
      </c>
      <c r="K799" s="1940" t="s">
        <v>5895</v>
      </c>
      <c r="L799" s="1940" t="s">
        <v>8531</v>
      </c>
      <c r="M799" t="s">
        <v>13533</v>
      </c>
      <c r="N799" t="s">
        <v>10246</v>
      </c>
      <c r="O799" t="s">
        <v>5896</v>
      </c>
      <c r="P799" s="614">
        <f>COUNTIF(EducPlans_кодНАЦИД_Спец[аФакСец],EducPlans_кодНАЦИД_Спец[[#This Row],[аФакСец]])</f>
        <v>1</v>
      </c>
    </row>
    <row r="800" spans="3:16" x14ac:dyDescent="0.25">
      <c r="C800" s="614">
        <v>794</v>
      </c>
      <c r="D800" s="614">
        <v>11611</v>
      </c>
      <c r="E800" s="64" t="s">
        <v>13531</v>
      </c>
      <c r="F800" s="64" t="s">
        <v>5897</v>
      </c>
      <c r="G800" s="614" t="s">
        <v>33</v>
      </c>
      <c r="H800" s="614" t="s">
        <v>682</v>
      </c>
      <c r="I800" s="614" t="s">
        <v>1153</v>
      </c>
      <c r="J800" s="64" t="s">
        <v>3554</v>
      </c>
      <c r="K800" s="1940" t="s">
        <v>5895</v>
      </c>
      <c r="L800" s="1940" t="s">
        <v>8532</v>
      </c>
      <c r="M800" t="s">
        <v>13534</v>
      </c>
      <c r="N800" t="s">
        <v>10247</v>
      </c>
      <c r="O800" t="s">
        <v>5897</v>
      </c>
      <c r="P800" s="614">
        <f>COUNTIF(EducPlans_кодНАЦИД_Спец[аФакСец],EducPlans_кодНАЦИД_Спец[[#This Row],[аФакСец]])</f>
        <v>1</v>
      </c>
    </row>
    <row r="801" spans="3:16" x14ac:dyDescent="0.25">
      <c r="C801" s="614">
        <v>795</v>
      </c>
      <c r="D801" s="614">
        <v>11613</v>
      </c>
      <c r="E801" s="64" t="s">
        <v>13531</v>
      </c>
      <c r="F801" s="64" t="s">
        <v>5898</v>
      </c>
      <c r="G801" s="614" t="s">
        <v>33</v>
      </c>
      <c r="H801" s="614" t="s">
        <v>682</v>
      </c>
      <c r="I801" s="614" t="s">
        <v>1149</v>
      </c>
      <c r="J801" s="64" t="s">
        <v>3550</v>
      </c>
      <c r="K801" s="1940" t="s">
        <v>5899</v>
      </c>
      <c r="L801" s="1940" t="s">
        <v>8533</v>
      </c>
      <c r="M801" t="s">
        <v>13535</v>
      </c>
      <c r="N801" t="s">
        <v>10248</v>
      </c>
      <c r="O801" t="s">
        <v>5898</v>
      </c>
      <c r="P801" s="614">
        <f>COUNTIF(EducPlans_кодНАЦИД_Спец[аФакСец],EducPlans_кодНАЦИД_Спец[[#This Row],[аФакСец]])</f>
        <v>1</v>
      </c>
    </row>
    <row r="802" spans="3:16" x14ac:dyDescent="0.25">
      <c r="C802" s="614">
        <v>796</v>
      </c>
      <c r="D802" s="614">
        <v>11613</v>
      </c>
      <c r="E802" s="64" t="s">
        <v>13531</v>
      </c>
      <c r="F802" s="64" t="s">
        <v>5900</v>
      </c>
      <c r="G802" s="614" t="s">
        <v>33</v>
      </c>
      <c r="H802" s="614" t="s">
        <v>682</v>
      </c>
      <c r="I802" s="614" t="s">
        <v>1149</v>
      </c>
      <c r="J802" s="64" t="s">
        <v>3548</v>
      </c>
      <c r="K802" s="1940" t="s">
        <v>5899</v>
      </c>
      <c r="L802" s="1940" t="s">
        <v>8534</v>
      </c>
      <c r="M802" t="s">
        <v>13536</v>
      </c>
      <c r="N802" t="s">
        <v>10249</v>
      </c>
      <c r="O802" t="s">
        <v>5900</v>
      </c>
      <c r="P802" s="614">
        <f>COUNTIF(EducPlans_кодНАЦИД_Спец[аФакСец],EducPlans_кодНАЦИД_Спец[[#This Row],[аФакСец]])</f>
        <v>1</v>
      </c>
    </row>
    <row r="803" spans="3:16" x14ac:dyDescent="0.25">
      <c r="C803" s="614">
        <v>797</v>
      </c>
      <c r="D803" s="614">
        <v>11613</v>
      </c>
      <c r="E803" s="64" t="s">
        <v>13531</v>
      </c>
      <c r="F803" s="64" t="s">
        <v>5901</v>
      </c>
      <c r="G803" s="614" t="s">
        <v>33</v>
      </c>
      <c r="H803" s="614" t="s">
        <v>682</v>
      </c>
      <c r="I803" s="614" t="s">
        <v>1149</v>
      </c>
      <c r="J803" s="64" t="s">
        <v>3551</v>
      </c>
      <c r="K803" s="1940" t="s">
        <v>5899</v>
      </c>
      <c r="L803" s="1940" t="s">
        <v>8535</v>
      </c>
      <c r="M803" t="s">
        <v>13537</v>
      </c>
      <c r="N803" t="s">
        <v>10250</v>
      </c>
      <c r="O803" t="s">
        <v>5901</v>
      </c>
      <c r="P803" s="614">
        <f>COUNTIF(EducPlans_кодНАЦИД_Спец[аФакСец],EducPlans_кодНАЦИД_Спец[[#This Row],[аФакСец]])</f>
        <v>1</v>
      </c>
    </row>
    <row r="804" spans="3:16" x14ac:dyDescent="0.25">
      <c r="C804" s="614">
        <v>798</v>
      </c>
      <c r="D804" s="614">
        <v>11613</v>
      </c>
      <c r="E804" s="64" t="s">
        <v>13531</v>
      </c>
      <c r="F804" s="64" t="s">
        <v>5902</v>
      </c>
      <c r="G804" s="614" t="s">
        <v>33</v>
      </c>
      <c r="H804" s="614" t="s">
        <v>682</v>
      </c>
      <c r="I804" s="614" t="s">
        <v>1149</v>
      </c>
      <c r="J804" s="64" t="s">
        <v>3549</v>
      </c>
      <c r="K804" s="1940" t="s">
        <v>5899</v>
      </c>
      <c r="L804" s="1940" t="s">
        <v>8536</v>
      </c>
      <c r="M804" t="s">
        <v>13538</v>
      </c>
      <c r="N804" t="s">
        <v>10251</v>
      </c>
      <c r="O804" t="s">
        <v>5902</v>
      </c>
      <c r="P804" s="614">
        <f>COUNTIF(EducPlans_кодНАЦИД_Спец[аФакСец],EducPlans_кодНАЦИД_Спец[[#This Row],[аФакСец]])</f>
        <v>1</v>
      </c>
    </row>
    <row r="805" spans="3:16" x14ac:dyDescent="0.25">
      <c r="C805" s="614">
        <v>799</v>
      </c>
      <c r="D805" s="614">
        <v>766243</v>
      </c>
      <c r="E805" s="64" t="s">
        <v>13531</v>
      </c>
      <c r="F805" s="64" t="s">
        <v>13539</v>
      </c>
      <c r="G805" s="614" t="s">
        <v>33</v>
      </c>
      <c r="H805" s="614" t="s">
        <v>682</v>
      </c>
      <c r="I805" s="614" t="s">
        <v>1167</v>
      </c>
      <c r="J805" s="64" t="s">
        <v>13540</v>
      </c>
      <c r="K805" s="1940" t="s">
        <v>13541</v>
      </c>
      <c r="L805" s="1940" t="s">
        <v>13542</v>
      </c>
      <c r="M805" t="s">
        <v>13543</v>
      </c>
      <c r="N805" t="s">
        <v>13544</v>
      </c>
      <c r="O805" t="s">
        <v>13539</v>
      </c>
      <c r="P805" s="614">
        <f>COUNTIF(EducPlans_кодНАЦИД_Спец[аФакСец],EducPlans_кодНАЦИД_Спец[[#This Row],[аФакСец]])</f>
        <v>1</v>
      </c>
    </row>
    <row r="806" spans="3:16" x14ac:dyDescent="0.25">
      <c r="C806" s="614">
        <v>800</v>
      </c>
      <c r="D806" s="614">
        <v>11603</v>
      </c>
      <c r="E806" s="64" t="s">
        <v>1402</v>
      </c>
      <c r="F806" s="64" t="s">
        <v>5903</v>
      </c>
      <c r="G806" s="614" t="s">
        <v>33</v>
      </c>
      <c r="H806" s="614" t="s">
        <v>682</v>
      </c>
      <c r="I806" s="614" t="s">
        <v>1153</v>
      </c>
      <c r="J806" s="64" t="s">
        <v>3560</v>
      </c>
      <c r="K806" s="1940" t="s">
        <v>5904</v>
      </c>
      <c r="L806" s="1940" t="s">
        <v>8537</v>
      </c>
      <c r="M806" t="s">
        <v>11918</v>
      </c>
      <c r="N806" t="s">
        <v>10252</v>
      </c>
      <c r="O806" t="s">
        <v>5903</v>
      </c>
      <c r="P806" s="614">
        <f>COUNTIF(EducPlans_кодНАЦИД_Спец[аФакСец],EducPlans_кодНАЦИД_Спец[[#This Row],[аФакСец]])</f>
        <v>1</v>
      </c>
    </row>
    <row r="807" spans="3:16" x14ac:dyDescent="0.25">
      <c r="C807" s="614">
        <v>801</v>
      </c>
      <c r="D807" s="614">
        <v>11603</v>
      </c>
      <c r="E807" s="64" t="s">
        <v>1402</v>
      </c>
      <c r="F807" s="64" t="s">
        <v>5905</v>
      </c>
      <c r="G807" s="614" t="s">
        <v>33</v>
      </c>
      <c r="H807" s="614" t="s">
        <v>682</v>
      </c>
      <c r="I807" s="614" t="s">
        <v>1153</v>
      </c>
      <c r="J807" s="64" t="s">
        <v>3561</v>
      </c>
      <c r="K807" s="1940" t="s">
        <v>5904</v>
      </c>
      <c r="L807" s="1940" t="s">
        <v>8538</v>
      </c>
      <c r="M807" t="s">
        <v>11919</v>
      </c>
      <c r="N807" t="s">
        <v>10253</v>
      </c>
      <c r="O807" t="s">
        <v>5905</v>
      </c>
      <c r="P807" s="614">
        <f>COUNTIF(EducPlans_кодНАЦИД_Спец[аФакСец],EducPlans_кодНАЦИД_Спец[[#This Row],[аФакСец]])</f>
        <v>1</v>
      </c>
    </row>
    <row r="808" spans="3:16" x14ac:dyDescent="0.25">
      <c r="C808" s="614">
        <v>802</v>
      </c>
      <c r="D808" s="614">
        <v>11603</v>
      </c>
      <c r="E808" s="64" t="s">
        <v>1402</v>
      </c>
      <c r="F808" s="64" t="s">
        <v>5906</v>
      </c>
      <c r="G808" s="614" t="s">
        <v>33</v>
      </c>
      <c r="H808" s="614" t="s">
        <v>682</v>
      </c>
      <c r="I808" s="614" t="s">
        <v>1153</v>
      </c>
      <c r="J808" s="64" t="s">
        <v>3562</v>
      </c>
      <c r="K808" s="1940" t="s">
        <v>5904</v>
      </c>
      <c r="L808" s="1940" t="s">
        <v>8539</v>
      </c>
      <c r="M808" t="s">
        <v>11920</v>
      </c>
      <c r="N808" t="s">
        <v>10254</v>
      </c>
      <c r="O808" t="s">
        <v>5906</v>
      </c>
      <c r="P808" s="614">
        <f>COUNTIF(EducPlans_кодНАЦИД_Спец[аФакСец],EducPlans_кодНАЦИД_Спец[[#This Row],[аФакСец]])</f>
        <v>1</v>
      </c>
    </row>
    <row r="809" spans="3:16" x14ac:dyDescent="0.25">
      <c r="C809" s="614">
        <v>803</v>
      </c>
      <c r="D809" s="614">
        <v>11604</v>
      </c>
      <c r="E809" s="64" t="s">
        <v>1402</v>
      </c>
      <c r="F809" s="64" t="s">
        <v>5907</v>
      </c>
      <c r="G809" s="614" t="s">
        <v>33</v>
      </c>
      <c r="H809" s="614" t="s">
        <v>682</v>
      </c>
      <c r="I809" s="614" t="s">
        <v>1149</v>
      </c>
      <c r="J809" s="64" t="s">
        <v>3557</v>
      </c>
      <c r="K809" s="1940" t="s">
        <v>5908</v>
      </c>
      <c r="L809" s="1940" t="s">
        <v>8540</v>
      </c>
      <c r="M809" t="s">
        <v>11921</v>
      </c>
      <c r="N809" t="s">
        <v>10255</v>
      </c>
      <c r="O809" t="s">
        <v>5907</v>
      </c>
      <c r="P809" s="614">
        <f>COUNTIF(EducPlans_кодНАЦИД_Спец[аФакСец],EducPlans_кодНАЦИД_Спец[[#This Row],[аФакСец]])</f>
        <v>1</v>
      </c>
    </row>
    <row r="810" spans="3:16" x14ac:dyDescent="0.25">
      <c r="C810" s="614">
        <v>804</v>
      </c>
      <c r="D810" s="614">
        <v>11604</v>
      </c>
      <c r="E810" s="64" t="s">
        <v>1402</v>
      </c>
      <c r="F810" s="64" t="s">
        <v>5909</v>
      </c>
      <c r="G810" s="614" t="s">
        <v>33</v>
      </c>
      <c r="H810" s="614" t="s">
        <v>682</v>
      </c>
      <c r="I810" s="614" t="s">
        <v>1149</v>
      </c>
      <c r="J810" s="64" t="s">
        <v>3558</v>
      </c>
      <c r="K810" s="1940" t="s">
        <v>5908</v>
      </c>
      <c r="L810" s="1940" t="s">
        <v>8541</v>
      </c>
      <c r="M810" t="s">
        <v>11922</v>
      </c>
      <c r="N810" t="s">
        <v>10256</v>
      </c>
      <c r="O810" t="s">
        <v>5909</v>
      </c>
      <c r="P810" s="614">
        <f>COUNTIF(EducPlans_кодНАЦИД_Спец[аФакСец],EducPlans_кодНАЦИД_Спец[[#This Row],[аФакСец]])</f>
        <v>1</v>
      </c>
    </row>
    <row r="811" spans="3:16" x14ac:dyDescent="0.25">
      <c r="C811" s="614">
        <v>805</v>
      </c>
      <c r="D811" s="614">
        <v>11604</v>
      </c>
      <c r="E811" s="64" t="s">
        <v>1402</v>
      </c>
      <c r="F811" s="64" t="s">
        <v>5910</v>
      </c>
      <c r="G811" s="614" t="s">
        <v>33</v>
      </c>
      <c r="H811" s="614" t="s">
        <v>682</v>
      </c>
      <c r="I811" s="614" t="s">
        <v>1149</v>
      </c>
      <c r="J811" s="64" t="s">
        <v>3559</v>
      </c>
      <c r="K811" s="1940" t="s">
        <v>5908</v>
      </c>
      <c r="L811" s="1940" t="s">
        <v>8542</v>
      </c>
      <c r="M811" t="s">
        <v>11923</v>
      </c>
      <c r="N811" t="s">
        <v>10257</v>
      </c>
      <c r="O811" t="s">
        <v>5910</v>
      </c>
      <c r="P811" s="614">
        <f>COUNTIF(EducPlans_кодНАЦИД_Спец[аФакСец],EducPlans_кодНАЦИД_Спец[[#This Row],[аФакСец]])</f>
        <v>1</v>
      </c>
    </row>
    <row r="812" spans="3:16" x14ac:dyDescent="0.25">
      <c r="C812" s="614">
        <v>806</v>
      </c>
      <c r="D812" s="614">
        <v>11604</v>
      </c>
      <c r="E812" s="64" t="s">
        <v>1402</v>
      </c>
      <c r="F812" s="64" t="s">
        <v>5911</v>
      </c>
      <c r="G812" s="614" t="s">
        <v>33</v>
      </c>
      <c r="H812" s="614" t="s">
        <v>682</v>
      </c>
      <c r="I812" s="614" t="s">
        <v>1149</v>
      </c>
      <c r="J812" s="64" t="s">
        <v>3556</v>
      </c>
      <c r="K812" s="1940" t="s">
        <v>5908</v>
      </c>
      <c r="L812" s="1940" t="s">
        <v>8543</v>
      </c>
      <c r="M812" t="s">
        <v>11924</v>
      </c>
      <c r="N812" t="s">
        <v>10258</v>
      </c>
      <c r="O812" t="s">
        <v>5911</v>
      </c>
      <c r="P812" s="614">
        <f>COUNTIF(EducPlans_кодНАЦИД_Спец[аФакСец],EducPlans_кодНАЦИД_Спец[[#This Row],[аФакСец]])</f>
        <v>1</v>
      </c>
    </row>
    <row r="813" spans="3:16" x14ac:dyDescent="0.25">
      <c r="C813" s="614">
        <v>807</v>
      </c>
      <c r="D813" s="614">
        <v>12689</v>
      </c>
      <c r="E813" s="64" t="s">
        <v>1179</v>
      </c>
      <c r="F813" s="64" t="s">
        <v>5912</v>
      </c>
      <c r="G813" s="614" t="s">
        <v>296</v>
      </c>
      <c r="H813" s="614" t="s">
        <v>682</v>
      </c>
      <c r="I813" s="614" t="s">
        <v>1153</v>
      </c>
      <c r="J813" s="64" t="s">
        <v>3773</v>
      </c>
      <c r="K813" s="1940" t="s">
        <v>5913</v>
      </c>
      <c r="L813" s="1940" t="s">
        <v>8544</v>
      </c>
      <c r="M813" t="s">
        <v>11925</v>
      </c>
      <c r="N813" t="s">
        <v>10259</v>
      </c>
      <c r="O813" t="s">
        <v>5912</v>
      </c>
      <c r="P813" s="614">
        <f>COUNTIF(EducPlans_кодНАЦИД_Спец[аФакСец],EducPlans_кодНАЦИД_Спец[[#This Row],[аФакСец]])</f>
        <v>1</v>
      </c>
    </row>
    <row r="814" spans="3:16" x14ac:dyDescent="0.25">
      <c r="C814" s="614">
        <v>808</v>
      </c>
      <c r="D814" s="614">
        <v>12691</v>
      </c>
      <c r="E814" s="64" t="s">
        <v>1180</v>
      </c>
      <c r="F814" s="64" t="s">
        <v>5914</v>
      </c>
      <c r="G814" s="614" t="s">
        <v>296</v>
      </c>
      <c r="H814" s="614" t="s">
        <v>682</v>
      </c>
      <c r="I814" s="614" t="s">
        <v>1149</v>
      </c>
      <c r="J814" s="64" t="s">
        <v>3774</v>
      </c>
      <c r="K814" s="1940" t="s">
        <v>5915</v>
      </c>
      <c r="L814" s="1940" t="s">
        <v>8545</v>
      </c>
      <c r="M814" t="s">
        <v>11926</v>
      </c>
      <c r="N814" t="s">
        <v>10260</v>
      </c>
      <c r="O814" t="s">
        <v>5914</v>
      </c>
      <c r="P814" s="614">
        <f>COUNTIF(EducPlans_кодНАЦИД_Спец[аФакСец],EducPlans_кодНАЦИД_Спец[[#This Row],[аФакСец]])</f>
        <v>1</v>
      </c>
    </row>
    <row r="815" spans="3:16" x14ac:dyDescent="0.25">
      <c r="C815" s="614">
        <v>809</v>
      </c>
      <c r="D815" s="614">
        <v>11597</v>
      </c>
      <c r="E815" s="64" t="s">
        <v>1403</v>
      </c>
      <c r="F815" s="64" t="s">
        <v>5916</v>
      </c>
      <c r="G815" s="614" t="s">
        <v>33</v>
      </c>
      <c r="H815" s="614" t="s">
        <v>682</v>
      </c>
      <c r="I815" s="614" t="s">
        <v>1153</v>
      </c>
      <c r="J815" s="64" t="s">
        <v>3570</v>
      </c>
      <c r="K815" s="1940" t="s">
        <v>5917</v>
      </c>
      <c r="L815" s="1940" t="s">
        <v>8546</v>
      </c>
      <c r="M815" t="s">
        <v>11927</v>
      </c>
      <c r="N815" t="s">
        <v>10261</v>
      </c>
      <c r="O815" t="s">
        <v>5916</v>
      </c>
      <c r="P815" s="614">
        <f>COUNTIF(EducPlans_кодНАЦИД_Спец[аФакСец],EducPlans_кодНАЦИД_Спец[[#This Row],[аФакСец]])</f>
        <v>2</v>
      </c>
    </row>
    <row r="816" spans="3:16" x14ac:dyDescent="0.25">
      <c r="C816" s="614">
        <v>810</v>
      </c>
      <c r="D816" s="614">
        <v>11597</v>
      </c>
      <c r="E816" s="64" t="s">
        <v>1403</v>
      </c>
      <c r="F816" s="64" t="s">
        <v>5918</v>
      </c>
      <c r="G816" s="614" t="s">
        <v>33</v>
      </c>
      <c r="H816" s="614" t="s">
        <v>682</v>
      </c>
      <c r="I816" s="614" t="s">
        <v>1153</v>
      </c>
      <c r="J816" s="64" t="s">
        <v>3569</v>
      </c>
      <c r="K816" s="1940" t="s">
        <v>5917</v>
      </c>
      <c r="L816" s="1940" t="s">
        <v>8547</v>
      </c>
      <c r="M816" t="s">
        <v>11928</v>
      </c>
      <c r="N816" t="s">
        <v>10262</v>
      </c>
      <c r="O816" t="s">
        <v>5918</v>
      </c>
      <c r="P816" s="614">
        <f>COUNTIF(EducPlans_кодНАЦИД_Спец[аФакСец],EducPlans_кодНАЦИД_Спец[[#This Row],[аФакСец]])</f>
        <v>1</v>
      </c>
    </row>
    <row r="817" spans="3:16" x14ac:dyDescent="0.25">
      <c r="C817" s="614">
        <v>811</v>
      </c>
      <c r="D817" s="614">
        <v>11615</v>
      </c>
      <c r="E817" s="64" t="s">
        <v>1403</v>
      </c>
      <c r="F817" s="64" t="s">
        <v>5919</v>
      </c>
      <c r="G817" s="614" t="s">
        <v>33</v>
      </c>
      <c r="H817" s="614" t="s">
        <v>682</v>
      </c>
      <c r="I817" s="614" t="s">
        <v>1153</v>
      </c>
      <c r="J817" s="64" t="s">
        <v>3564</v>
      </c>
      <c r="K817" s="1940" t="s">
        <v>5920</v>
      </c>
      <c r="L817" s="1940" t="s">
        <v>8548</v>
      </c>
      <c r="M817" t="s">
        <v>11929</v>
      </c>
      <c r="N817" t="s">
        <v>10263</v>
      </c>
      <c r="O817" t="s">
        <v>5919</v>
      </c>
      <c r="P817" s="614">
        <f>COUNTIF(EducPlans_кодНАЦИД_Спец[аФакСец],EducPlans_кодНАЦИД_Спец[[#This Row],[аФакСец]])</f>
        <v>1</v>
      </c>
    </row>
    <row r="818" spans="3:16" x14ac:dyDescent="0.25">
      <c r="C818" s="614">
        <v>812</v>
      </c>
      <c r="D818" s="614">
        <v>11618</v>
      </c>
      <c r="E818" s="64" t="s">
        <v>1403</v>
      </c>
      <c r="F818" s="64" t="s">
        <v>5921</v>
      </c>
      <c r="G818" s="614" t="s">
        <v>33</v>
      </c>
      <c r="H818" s="614" t="s">
        <v>682</v>
      </c>
      <c r="I818" s="614" t="s">
        <v>1153</v>
      </c>
      <c r="J818" s="64" t="s">
        <v>3570</v>
      </c>
      <c r="K818" s="1940" t="s">
        <v>5922</v>
      </c>
      <c r="L818" s="1940" t="s">
        <v>8546</v>
      </c>
      <c r="M818" t="s">
        <v>11927</v>
      </c>
      <c r="N818" t="s">
        <v>10261</v>
      </c>
      <c r="O818" t="s">
        <v>5921</v>
      </c>
      <c r="P818" s="614">
        <f>COUNTIF(EducPlans_кодНАЦИД_Спец[аФакСец],EducPlans_кодНАЦИД_Спец[[#This Row],[аФакСец]])</f>
        <v>2</v>
      </c>
    </row>
    <row r="819" spans="3:16" x14ac:dyDescent="0.25">
      <c r="C819" s="614">
        <v>813</v>
      </c>
      <c r="D819" s="614">
        <v>11618</v>
      </c>
      <c r="E819" s="64" t="s">
        <v>1403</v>
      </c>
      <c r="F819" s="64" t="s">
        <v>5923</v>
      </c>
      <c r="G819" s="614" t="s">
        <v>33</v>
      </c>
      <c r="H819" s="614" t="s">
        <v>682</v>
      </c>
      <c r="I819" s="614" t="s">
        <v>1153</v>
      </c>
      <c r="J819" s="64" t="s">
        <v>3566</v>
      </c>
      <c r="K819" s="1940" t="s">
        <v>5922</v>
      </c>
      <c r="L819" s="1940" t="s">
        <v>8549</v>
      </c>
      <c r="M819" t="s">
        <v>11930</v>
      </c>
      <c r="N819" t="s">
        <v>10264</v>
      </c>
      <c r="O819" t="s">
        <v>5923</v>
      </c>
      <c r="P819" s="614">
        <f>COUNTIF(EducPlans_кодНАЦИД_Спец[аФакСец],EducPlans_кодНАЦИД_Спец[[#This Row],[аФакСец]])</f>
        <v>1</v>
      </c>
    </row>
    <row r="820" spans="3:16" x14ac:dyDescent="0.25">
      <c r="C820" s="614">
        <v>814</v>
      </c>
      <c r="D820" s="614">
        <v>11642</v>
      </c>
      <c r="E820" s="64" t="s">
        <v>1403</v>
      </c>
      <c r="F820" s="64" t="s">
        <v>5924</v>
      </c>
      <c r="G820" s="614" t="s">
        <v>33</v>
      </c>
      <c r="H820" s="614" t="s">
        <v>682</v>
      </c>
      <c r="I820" s="614" t="s">
        <v>1153</v>
      </c>
      <c r="J820" s="64" t="s">
        <v>5925</v>
      </c>
      <c r="K820" s="1940" t="s">
        <v>5926</v>
      </c>
      <c r="L820" s="1940" t="s">
        <v>8550</v>
      </c>
      <c r="M820" t="s">
        <v>11931</v>
      </c>
      <c r="N820" t="s">
        <v>10265</v>
      </c>
      <c r="O820" t="s">
        <v>5924</v>
      </c>
      <c r="P820" s="614">
        <f>COUNTIF(EducPlans_кодНАЦИД_Спец[аФакСец],EducPlans_кодНАЦИД_Спец[[#This Row],[аФакСец]])</f>
        <v>1</v>
      </c>
    </row>
    <row r="821" spans="3:16" x14ac:dyDescent="0.25">
      <c r="C821" s="614">
        <v>815</v>
      </c>
      <c r="D821" s="614">
        <v>11677</v>
      </c>
      <c r="E821" s="64" t="s">
        <v>1403</v>
      </c>
      <c r="F821" s="64" t="s">
        <v>5927</v>
      </c>
      <c r="G821" s="614" t="s">
        <v>33</v>
      </c>
      <c r="H821" s="614" t="s">
        <v>682</v>
      </c>
      <c r="I821" s="614" t="s">
        <v>1153</v>
      </c>
      <c r="J821" s="64" t="s">
        <v>3567</v>
      </c>
      <c r="K821" s="1940" t="s">
        <v>5928</v>
      </c>
      <c r="L821" s="1940" t="s">
        <v>8551</v>
      </c>
      <c r="M821" t="s">
        <v>11932</v>
      </c>
      <c r="N821" t="s">
        <v>10266</v>
      </c>
      <c r="O821" t="s">
        <v>5927</v>
      </c>
      <c r="P821" s="614">
        <f>COUNTIF(EducPlans_кодНАЦИД_Спец[аФакСец],EducPlans_кодНАЦИД_Спец[[#This Row],[аФакСец]])</f>
        <v>1</v>
      </c>
    </row>
    <row r="822" spans="3:16" x14ac:dyDescent="0.25">
      <c r="C822" s="614">
        <v>816</v>
      </c>
      <c r="D822" s="614">
        <v>11677</v>
      </c>
      <c r="E822" s="64" t="s">
        <v>1403</v>
      </c>
      <c r="F822" s="64" t="s">
        <v>5929</v>
      </c>
      <c r="G822" s="614" t="s">
        <v>33</v>
      </c>
      <c r="H822" s="614" t="s">
        <v>682</v>
      </c>
      <c r="I822" s="614" t="s">
        <v>1153</v>
      </c>
      <c r="J822" s="64" t="s">
        <v>3571</v>
      </c>
      <c r="K822" s="1940" t="s">
        <v>5928</v>
      </c>
      <c r="L822" s="1940" t="s">
        <v>8552</v>
      </c>
      <c r="M822" t="s">
        <v>11933</v>
      </c>
      <c r="N822" t="s">
        <v>10267</v>
      </c>
      <c r="O822" t="s">
        <v>5929</v>
      </c>
      <c r="P822" s="614">
        <f>COUNTIF(EducPlans_кодНАЦИД_Спец[аФакСец],EducPlans_кодНАЦИД_Спец[[#This Row],[аФакСец]])</f>
        <v>1</v>
      </c>
    </row>
    <row r="823" spans="3:16" x14ac:dyDescent="0.25">
      <c r="C823" s="614">
        <v>817</v>
      </c>
      <c r="D823" s="614">
        <v>11526</v>
      </c>
      <c r="E823" s="64" t="s">
        <v>910</v>
      </c>
      <c r="F823" s="64" t="s">
        <v>5930</v>
      </c>
      <c r="G823" s="614" t="s">
        <v>33</v>
      </c>
      <c r="H823" s="614" t="s">
        <v>681</v>
      </c>
      <c r="I823" s="614" t="s">
        <v>1153</v>
      </c>
      <c r="J823" s="64" t="s">
        <v>911</v>
      </c>
      <c r="K823" s="1940" t="s">
        <v>5931</v>
      </c>
      <c r="L823" s="1940" t="s">
        <v>8553</v>
      </c>
      <c r="M823" t="s">
        <v>11934</v>
      </c>
      <c r="N823" t="s">
        <v>10268</v>
      </c>
      <c r="O823" t="s">
        <v>5930</v>
      </c>
      <c r="P823" s="614">
        <f>COUNTIF(EducPlans_кодНАЦИД_Спец[аФакСец],EducPlans_кодНАЦИД_Спец[[#This Row],[аФакСец]])</f>
        <v>1</v>
      </c>
    </row>
    <row r="824" spans="3:16" x14ac:dyDescent="0.25">
      <c r="C824" s="614">
        <v>818</v>
      </c>
      <c r="D824" s="614">
        <v>12868</v>
      </c>
      <c r="E824" s="64" t="s">
        <v>2006</v>
      </c>
      <c r="F824" s="64" t="s">
        <v>5932</v>
      </c>
      <c r="G824" s="614" t="s">
        <v>626</v>
      </c>
      <c r="H824" s="614" t="s">
        <v>682</v>
      </c>
      <c r="I824" s="614" t="s">
        <v>1153</v>
      </c>
      <c r="J824" s="64" t="s">
        <v>3336</v>
      </c>
      <c r="K824" s="1940" t="s">
        <v>5933</v>
      </c>
      <c r="L824" s="1940" t="s">
        <v>8554</v>
      </c>
      <c r="M824" t="s">
        <v>11935</v>
      </c>
      <c r="N824" t="s">
        <v>10269</v>
      </c>
      <c r="O824" t="s">
        <v>5932</v>
      </c>
      <c r="P824" s="614">
        <f>COUNTIF(EducPlans_кодНАЦИД_Спец[аФакСец],EducPlans_кодНАЦИД_Спец[[#This Row],[аФакСец]])</f>
        <v>2</v>
      </c>
    </row>
    <row r="825" spans="3:16" x14ac:dyDescent="0.25">
      <c r="C825" s="614">
        <v>819</v>
      </c>
      <c r="D825" s="614">
        <v>12851</v>
      </c>
      <c r="E825" s="64" t="s">
        <v>2007</v>
      </c>
      <c r="F825" s="64" t="s">
        <v>5934</v>
      </c>
      <c r="G825" s="614" t="s">
        <v>626</v>
      </c>
      <c r="H825" s="614" t="s">
        <v>682</v>
      </c>
      <c r="I825" s="614" t="s">
        <v>1153</v>
      </c>
      <c r="J825" s="64" t="s">
        <v>3336</v>
      </c>
      <c r="K825" s="1940" t="s">
        <v>5935</v>
      </c>
      <c r="L825" s="1940" t="s">
        <v>8554</v>
      </c>
      <c r="M825" t="s">
        <v>11936</v>
      </c>
      <c r="N825" t="s">
        <v>10269</v>
      </c>
      <c r="O825" t="s">
        <v>5934</v>
      </c>
      <c r="P825" s="614">
        <f>COUNTIF(EducPlans_кодНАЦИД_Спец[аФакСец],EducPlans_кодНАЦИД_Спец[[#This Row],[аФакСец]])</f>
        <v>2</v>
      </c>
    </row>
    <row r="826" spans="3:16" x14ac:dyDescent="0.25">
      <c r="C826" s="614">
        <v>820</v>
      </c>
      <c r="D826" s="614">
        <v>12852</v>
      </c>
      <c r="E826" s="64" t="s">
        <v>2009</v>
      </c>
      <c r="F826" s="64" t="s">
        <v>5936</v>
      </c>
      <c r="G826" s="614" t="s">
        <v>626</v>
      </c>
      <c r="H826" s="614" t="s">
        <v>682</v>
      </c>
      <c r="I826" s="614" t="s">
        <v>1153</v>
      </c>
      <c r="J826" s="64" t="s">
        <v>3338</v>
      </c>
      <c r="K826" s="1940" t="s">
        <v>5937</v>
      </c>
      <c r="L826" s="1940" t="s">
        <v>8555</v>
      </c>
      <c r="M826" t="s">
        <v>11937</v>
      </c>
      <c r="N826" t="s">
        <v>10270</v>
      </c>
      <c r="O826" t="s">
        <v>5936</v>
      </c>
      <c r="P826" s="614">
        <f>COUNTIF(EducPlans_кодНАЦИД_Спец[аФакСец],EducPlans_кодНАЦИД_Спец[[#This Row],[аФакСец]])</f>
        <v>1</v>
      </c>
    </row>
    <row r="827" spans="3:16" x14ac:dyDescent="0.25">
      <c r="C827" s="614">
        <v>821</v>
      </c>
      <c r="D827" s="614">
        <v>11972</v>
      </c>
      <c r="E827" s="64" t="s">
        <v>2118</v>
      </c>
      <c r="F827" s="64" t="s">
        <v>5938</v>
      </c>
      <c r="G827" s="614" t="s">
        <v>628</v>
      </c>
      <c r="H827" s="614" t="s">
        <v>682</v>
      </c>
      <c r="I827" s="614" t="s">
        <v>1153</v>
      </c>
      <c r="J827" s="64" t="s">
        <v>4218</v>
      </c>
      <c r="K827" s="1940" t="s">
        <v>5939</v>
      </c>
      <c r="L827" s="1940" t="s">
        <v>8556</v>
      </c>
      <c r="M827" t="s">
        <v>11938</v>
      </c>
      <c r="N827" t="s">
        <v>10271</v>
      </c>
      <c r="O827" t="s">
        <v>5938</v>
      </c>
      <c r="P827" s="614">
        <f>COUNTIF(EducPlans_кодНАЦИД_Спец[аФакСец],EducPlans_кодНАЦИД_Спец[[#This Row],[аФакСец]])</f>
        <v>1</v>
      </c>
    </row>
    <row r="828" spans="3:16" x14ac:dyDescent="0.25">
      <c r="C828" s="614">
        <v>822</v>
      </c>
      <c r="D828" s="614">
        <v>11972</v>
      </c>
      <c r="E828" s="64" t="s">
        <v>2118</v>
      </c>
      <c r="F828" s="64" t="s">
        <v>5940</v>
      </c>
      <c r="G828" s="614" t="s">
        <v>628</v>
      </c>
      <c r="H828" s="614" t="s">
        <v>682</v>
      </c>
      <c r="I828" s="614" t="s">
        <v>1153</v>
      </c>
      <c r="J828" s="64" t="s">
        <v>4217</v>
      </c>
      <c r="K828" s="1940" t="s">
        <v>5939</v>
      </c>
      <c r="L828" s="1940" t="s">
        <v>8557</v>
      </c>
      <c r="M828" t="s">
        <v>11939</v>
      </c>
      <c r="N828" t="s">
        <v>10272</v>
      </c>
      <c r="O828" t="s">
        <v>5940</v>
      </c>
      <c r="P828" s="614">
        <f>COUNTIF(EducPlans_кодНАЦИД_Спец[аФакСец],EducPlans_кодНАЦИД_Спец[[#This Row],[аФакСец]])</f>
        <v>1</v>
      </c>
    </row>
    <row r="829" spans="3:16" x14ac:dyDescent="0.25">
      <c r="C829" s="614">
        <v>823</v>
      </c>
      <c r="D829" s="614">
        <v>11988</v>
      </c>
      <c r="E829" s="64" t="s">
        <v>2119</v>
      </c>
      <c r="F829" s="64" t="s">
        <v>5941</v>
      </c>
      <c r="G829" s="614" t="s">
        <v>628</v>
      </c>
      <c r="H829" s="614" t="s">
        <v>682</v>
      </c>
      <c r="I829" s="614" t="s">
        <v>1153</v>
      </c>
      <c r="J829" s="64" t="s">
        <v>4219</v>
      </c>
      <c r="K829" s="1940" t="s">
        <v>5942</v>
      </c>
      <c r="L829" s="1940" t="s">
        <v>8558</v>
      </c>
      <c r="M829" t="s">
        <v>11940</v>
      </c>
      <c r="N829" t="s">
        <v>10273</v>
      </c>
      <c r="O829" t="s">
        <v>5941</v>
      </c>
      <c r="P829" s="614">
        <f>COUNTIF(EducPlans_кодНАЦИД_Спец[аФакСец],EducPlans_кодНАЦИД_Спец[[#This Row],[аФакСец]])</f>
        <v>1</v>
      </c>
    </row>
    <row r="830" spans="3:16" x14ac:dyDescent="0.25">
      <c r="C830" s="614">
        <v>824</v>
      </c>
      <c r="D830" s="614">
        <v>929193</v>
      </c>
      <c r="E830" s="64" t="s">
        <v>13545</v>
      </c>
      <c r="F830" s="64" t="s">
        <v>13546</v>
      </c>
      <c r="G830" s="614" t="s">
        <v>50</v>
      </c>
      <c r="H830" s="614" t="s">
        <v>682</v>
      </c>
      <c r="I830" s="614" t="s">
        <v>1153</v>
      </c>
      <c r="J830" s="64" t="s">
        <v>13547</v>
      </c>
      <c r="K830" s="1940" t="s">
        <v>13548</v>
      </c>
      <c r="L830" s="1940" t="s">
        <v>13549</v>
      </c>
      <c r="M830" t="s">
        <v>13550</v>
      </c>
      <c r="N830" t="s">
        <v>13551</v>
      </c>
      <c r="O830" t="s">
        <v>13546</v>
      </c>
      <c r="P830" s="614">
        <f>COUNTIF(EducPlans_кодНАЦИД_Спец[аФакСец],EducPlans_кодНАЦИД_Спец[[#This Row],[аФакСец]])</f>
        <v>1</v>
      </c>
    </row>
    <row r="831" spans="3:16" x14ac:dyDescent="0.25">
      <c r="C831" s="614">
        <v>825</v>
      </c>
      <c r="D831" s="614">
        <v>12927</v>
      </c>
      <c r="E831" s="64" t="s">
        <v>1813</v>
      </c>
      <c r="F831" s="64" t="s">
        <v>5943</v>
      </c>
      <c r="G831" s="614" t="s">
        <v>42</v>
      </c>
      <c r="H831" s="614" t="s">
        <v>682</v>
      </c>
      <c r="I831" s="614" t="s">
        <v>1149</v>
      </c>
      <c r="J831" s="64" t="s">
        <v>3478</v>
      </c>
      <c r="K831" s="1940" t="s">
        <v>5944</v>
      </c>
      <c r="L831" s="1940" t="s">
        <v>8559</v>
      </c>
      <c r="M831" t="s">
        <v>11941</v>
      </c>
      <c r="N831" t="s">
        <v>10274</v>
      </c>
      <c r="O831" t="s">
        <v>5943</v>
      </c>
      <c r="P831" s="614">
        <f>COUNTIF(EducPlans_кодНАЦИД_Спец[аФакСец],EducPlans_кодНАЦИД_Спец[[#This Row],[аФакСец]])</f>
        <v>1</v>
      </c>
    </row>
    <row r="832" spans="3:16" x14ac:dyDescent="0.25">
      <c r="C832" s="614">
        <v>826</v>
      </c>
      <c r="D832" s="614">
        <v>12927</v>
      </c>
      <c r="E832" s="64" t="s">
        <v>1813</v>
      </c>
      <c r="F832" s="64" t="s">
        <v>5945</v>
      </c>
      <c r="G832" s="614" t="s">
        <v>42</v>
      </c>
      <c r="H832" s="614" t="s">
        <v>682</v>
      </c>
      <c r="I832" s="614" t="s">
        <v>1149</v>
      </c>
      <c r="J832" s="64" t="s">
        <v>3477</v>
      </c>
      <c r="K832" s="1940" t="s">
        <v>5944</v>
      </c>
      <c r="L832" s="1940" t="s">
        <v>8560</v>
      </c>
      <c r="M832" t="s">
        <v>11942</v>
      </c>
      <c r="N832" t="s">
        <v>10275</v>
      </c>
      <c r="O832" t="s">
        <v>5945</v>
      </c>
      <c r="P832" s="614">
        <f>COUNTIF(EducPlans_кодНАЦИД_Спец[аФакСец],EducPlans_кодНАЦИД_Спец[[#This Row],[аФакСец]])</f>
        <v>1</v>
      </c>
    </row>
    <row r="833" spans="3:16" x14ac:dyDescent="0.25">
      <c r="C833" s="614">
        <v>827</v>
      </c>
      <c r="D833" s="614">
        <v>12927</v>
      </c>
      <c r="E833" s="64" t="s">
        <v>1813</v>
      </c>
      <c r="F833" s="64" t="s">
        <v>5946</v>
      </c>
      <c r="G833" s="614" t="s">
        <v>42</v>
      </c>
      <c r="H833" s="614" t="s">
        <v>682</v>
      </c>
      <c r="I833" s="614" t="s">
        <v>1149</v>
      </c>
      <c r="J833" s="64" t="s">
        <v>3479</v>
      </c>
      <c r="K833" s="1940" t="s">
        <v>5944</v>
      </c>
      <c r="L833" s="1940" t="s">
        <v>8561</v>
      </c>
      <c r="M833" t="s">
        <v>11943</v>
      </c>
      <c r="N833" t="s">
        <v>10276</v>
      </c>
      <c r="O833" t="s">
        <v>5946</v>
      </c>
      <c r="P833" s="614">
        <f>COUNTIF(EducPlans_кодНАЦИД_Спец[аФакСец],EducPlans_кодНАЦИД_Спец[[#This Row],[аФакСец]])</f>
        <v>1</v>
      </c>
    </row>
    <row r="834" spans="3:16" x14ac:dyDescent="0.25">
      <c r="C834" s="614">
        <v>828</v>
      </c>
      <c r="D834" s="614">
        <v>141835</v>
      </c>
      <c r="E834" s="64" t="s">
        <v>1568</v>
      </c>
      <c r="F834" s="64" t="s">
        <v>5947</v>
      </c>
      <c r="G834" s="614" t="s">
        <v>48</v>
      </c>
      <c r="H834" s="614" t="s">
        <v>682</v>
      </c>
      <c r="I834" s="614" t="s">
        <v>1153</v>
      </c>
      <c r="J834" s="64" t="s">
        <v>3153</v>
      </c>
      <c r="K834" s="1940" t="s">
        <v>5948</v>
      </c>
      <c r="L834" s="1940" t="s">
        <v>8562</v>
      </c>
      <c r="M834" t="s">
        <v>11944</v>
      </c>
      <c r="N834" t="s">
        <v>10277</v>
      </c>
      <c r="O834" t="s">
        <v>5947</v>
      </c>
      <c r="P834" s="614">
        <f>COUNTIF(EducPlans_кодНАЦИД_Спец[аФакСец],EducPlans_кодНАЦИД_Спец[[#This Row],[аФакСец]])</f>
        <v>1</v>
      </c>
    </row>
    <row r="835" spans="3:16" x14ac:dyDescent="0.25">
      <c r="C835" s="614">
        <v>829</v>
      </c>
      <c r="D835" s="614">
        <v>11155</v>
      </c>
      <c r="E835" s="64" t="s">
        <v>1569</v>
      </c>
      <c r="F835" s="64" t="s">
        <v>5949</v>
      </c>
      <c r="G835" s="614" t="s">
        <v>48</v>
      </c>
      <c r="H835" s="614" t="s">
        <v>682</v>
      </c>
      <c r="I835" s="614" t="s">
        <v>1153</v>
      </c>
      <c r="J835" s="64" t="s">
        <v>3156</v>
      </c>
      <c r="K835" s="1940" t="s">
        <v>5950</v>
      </c>
      <c r="L835" s="1940" t="s">
        <v>8563</v>
      </c>
      <c r="M835" t="s">
        <v>11945</v>
      </c>
      <c r="N835" t="s">
        <v>10278</v>
      </c>
      <c r="O835" t="s">
        <v>5949</v>
      </c>
      <c r="P835" s="614">
        <f>COUNTIF(EducPlans_кодНАЦИД_Спец[аФакСец],EducPlans_кодНАЦИД_Спец[[#This Row],[аФакСец]])</f>
        <v>1</v>
      </c>
    </row>
    <row r="836" spans="3:16" x14ac:dyDescent="0.25">
      <c r="C836" s="614">
        <v>830</v>
      </c>
      <c r="D836" s="614">
        <v>11155</v>
      </c>
      <c r="E836" s="64" t="s">
        <v>1569</v>
      </c>
      <c r="F836" s="64" t="s">
        <v>5951</v>
      </c>
      <c r="G836" s="614" t="s">
        <v>48</v>
      </c>
      <c r="H836" s="614" t="s">
        <v>682</v>
      </c>
      <c r="I836" s="614" t="s">
        <v>1153</v>
      </c>
      <c r="J836" s="64" t="s">
        <v>3157</v>
      </c>
      <c r="K836" s="1940" t="s">
        <v>5950</v>
      </c>
      <c r="L836" s="1940" t="s">
        <v>8564</v>
      </c>
      <c r="M836" t="s">
        <v>11946</v>
      </c>
      <c r="N836" t="s">
        <v>10279</v>
      </c>
      <c r="O836" t="s">
        <v>5951</v>
      </c>
      <c r="P836" s="614">
        <f>COUNTIF(EducPlans_кодНАЦИД_Спец[аФакСец],EducPlans_кодНАЦИД_Спец[[#This Row],[аФакСец]])</f>
        <v>1</v>
      </c>
    </row>
    <row r="837" spans="3:16" x14ac:dyDescent="0.25">
      <c r="C837" s="614">
        <v>831</v>
      </c>
      <c r="D837" s="614">
        <v>11155</v>
      </c>
      <c r="E837" s="64" t="s">
        <v>1569</v>
      </c>
      <c r="F837" s="64" t="s">
        <v>5952</v>
      </c>
      <c r="G837" s="614" t="s">
        <v>48</v>
      </c>
      <c r="H837" s="614" t="s">
        <v>682</v>
      </c>
      <c r="I837" s="614" t="s">
        <v>1153</v>
      </c>
      <c r="J837" s="64" t="s">
        <v>3155</v>
      </c>
      <c r="K837" s="1940" t="s">
        <v>5950</v>
      </c>
      <c r="L837" s="1940" t="s">
        <v>8565</v>
      </c>
      <c r="M837" t="s">
        <v>11947</v>
      </c>
      <c r="N837" t="s">
        <v>10280</v>
      </c>
      <c r="O837" t="s">
        <v>5952</v>
      </c>
      <c r="P837" s="614">
        <f>COUNTIF(EducPlans_кодНАЦИД_Спец[аФакСец],EducPlans_кодНАЦИД_Спец[[#This Row],[аФакСец]])</f>
        <v>1</v>
      </c>
    </row>
    <row r="838" spans="3:16" x14ac:dyDescent="0.25">
      <c r="C838" s="614">
        <v>832</v>
      </c>
      <c r="D838" s="614">
        <v>11116</v>
      </c>
      <c r="E838" s="64" t="s">
        <v>1570</v>
      </c>
      <c r="F838" s="64" t="s">
        <v>5953</v>
      </c>
      <c r="G838" s="614" t="s">
        <v>48</v>
      </c>
      <c r="H838" s="614" t="s">
        <v>682</v>
      </c>
      <c r="I838" s="614" t="s">
        <v>1153</v>
      </c>
      <c r="J838" s="64" t="s">
        <v>5954</v>
      </c>
      <c r="K838" s="1940" t="s">
        <v>5955</v>
      </c>
      <c r="L838" s="1940" t="s">
        <v>8566</v>
      </c>
      <c r="M838" t="s">
        <v>11948</v>
      </c>
      <c r="N838" t="s">
        <v>10281</v>
      </c>
      <c r="O838" t="s">
        <v>5953</v>
      </c>
      <c r="P838" s="614">
        <f>COUNTIF(EducPlans_кодНАЦИД_Спец[аФакСец],EducPlans_кодНАЦИД_Спец[[#This Row],[аФакСец]])</f>
        <v>1</v>
      </c>
    </row>
    <row r="839" spans="3:16" x14ac:dyDescent="0.25">
      <c r="C839" s="614">
        <v>833</v>
      </c>
      <c r="D839" s="614">
        <v>11117</v>
      </c>
      <c r="E839" s="64" t="s">
        <v>1570</v>
      </c>
      <c r="F839" s="64" t="s">
        <v>5956</v>
      </c>
      <c r="G839" s="614" t="s">
        <v>48</v>
      </c>
      <c r="H839" s="614" t="s">
        <v>682</v>
      </c>
      <c r="I839" s="614" t="s">
        <v>1149</v>
      </c>
      <c r="J839" s="64" t="s">
        <v>5957</v>
      </c>
      <c r="K839" s="1940" t="s">
        <v>5958</v>
      </c>
      <c r="L839" s="1940" t="s">
        <v>8567</v>
      </c>
      <c r="M839" t="s">
        <v>11949</v>
      </c>
      <c r="N839" t="s">
        <v>10282</v>
      </c>
      <c r="O839" t="s">
        <v>5956</v>
      </c>
      <c r="P839" s="614">
        <f>COUNTIF(EducPlans_кодНАЦИД_Спец[аФакСец],EducPlans_кодНАЦИД_Спец[[#This Row],[аФакСец]])</f>
        <v>1</v>
      </c>
    </row>
    <row r="840" spans="3:16" x14ac:dyDescent="0.25">
      <c r="C840" s="614">
        <v>834</v>
      </c>
      <c r="D840" s="614">
        <v>11101</v>
      </c>
      <c r="E840" s="64" t="s">
        <v>1571</v>
      </c>
      <c r="F840" s="64" t="s">
        <v>5959</v>
      </c>
      <c r="G840" s="614" t="s">
        <v>48</v>
      </c>
      <c r="H840" s="614" t="s">
        <v>682</v>
      </c>
      <c r="I840" s="614" t="s">
        <v>1153</v>
      </c>
      <c r="J840" s="64" t="s">
        <v>3159</v>
      </c>
      <c r="K840" s="1940" t="s">
        <v>5960</v>
      </c>
      <c r="L840" s="1940" t="s">
        <v>8568</v>
      </c>
      <c r="M840" t="s">
        <v>11950</v>
      </c>
      <c r="N840" t="s">
        <v>10283</v>
      </c>
      <c r="O840" t="s">
        <v>5959</v>
      </c>
      <c r="P840" s="614">
        <f>COUNTIF(EducPlans_кодНАЦИД_Спец[аФакСец],EducPlans_кодНАЦИД_Спец[[#This Row],[аФакСец]])</f>
        <v>1</v>
      </c>
    </row>
    <row r="841" spans="3:16" x14ac:dyDescent="0.25">
      <c r="C841" s="614">
        <v>835</v>
      </c>
      <c r="D841" s="614">
        <v>11102</v>
      </c>
      <c r="E841" s="64" t="s">
        <v>1571</v>
      </c>
      <c r="F841" s="64" t="s">
        <v>5961</v>
      </c>
      <c r="G841" s="614" t="s">
        <v>48</v>
      </c>
      <c r="H841" s="614" t="s">
        <v>682</v>
      </c>
      <c r="I841" s="614" t="s">
        <v>1149</v>
      </c>
      <c r="J841" s="64" t="s">
        <v>3158</v>
      </c>
      <c r="K841" s="1940" t="s">
        <v>5962</v>
      </c>
      <c r="L841" s="1940" t="s">
        <v>8569</v>
      </c>
      <c r="M841" t="s">
        <v>11951</v>
      </c>
      <c r="N841" t="s">
        <v>10284</v>
      </c>
      <c r="O841" t="s">
        <v>5961</v>
      </c>
      <c r="P841" s="614">
        <f>COUNTIF(EducPlans_кодНАЦИД_Спец[аФакСец],EducPlans_кодНАЦИД_Спец[[#This Row],[аФакСец]])</f>
        <v>1</v>
      </c>
    </row>
    <row r="842" spans="3:16" x14ac:dyDescent="0.25">
      <c r="C842" s="614">
        <v>836</v>
      </c>
      <c r="D842" s="614">
        <v>11668</v>
      </c>
      <c r="E842" s="64" t="s">
        <v>1407</v>
      </c>
      <c r="F842" s="64" t="s">
        <v>5963</v>
      </c>
      <c r="G842" s="614" t="s">
        <v>33</v>
      </c>
      <c r="H842" s="614" t="s">
        <v>682</v>
      </c>
      <c r="I842" s="614" t="s">
        <v>1153</v>
      </c>
      <c r="J842" s="64" t="s">
        <v>3572</v>
      </c>
      <c r="K842" s="1940" t="s">
        <v>5964</v>
      </c>
      <c r="L842" s="1940" t="s">
        <v>8570</v>
      </c>
      <c r="M842" t="s">
        <v>11952</v>
      </c>
      <c r="N842" t="s">
        <v>10285</v>
      </c>
      <c r="O842" t="s">
        <v>5963</v>
      </c>
      <c r="P842" s="614">
        <f>COUNTIF(EducPlans_кодНАЦИД_Спец[аФакСец],EducPlans_кодНАЦИД_Спец[[#This Row],[аФакСец]])</f>
        <v>1</v>
      </c>
    </row>
    <row r="843" spans="3:16" x14ac:dyDescent="0.25">
      <c r="C843" s="614">
        <v>837</v>
      </c>
      <c r="D843" s="614">
        <v>12405</v>
      </c>
      <c r="E843" s="64" t="s">
        <v>2093</v>
      </c>
      <c r="F843" s="64" t="s">
        <v>5965</v>
      </c>
      <c r="G843" s="614" t="s">
        <v>50</v>
      </c>
      <c r="H843" s="614" t="s">
        <v>682</v>
      </c>
      <c r="I843" s="614" t="s">
        <v>1149</v>
      </c>
      <c r="J843" s="64" t="s">
        <v>3006</v>
      </c>
      <c r="K843" s="1940" t="s">
        <v>5966</v>
      </c>
      <c r="L843" s="1940" t="s">
        <v>8571</v>
      </c>
      <c r="M843" t="s">
        <v>11953</v>
      </c>
      <c r="N843" t="s">
        <v>10286</v>
      </c>
      <c r="O843" t="s">
        <v>5965</v>
      </c>
      <c r="P843" s="614">
        <f>COUNTIF(EducPlans_кодНАЦИД_Спец[аФакСец],EducPlans_кодНАЦИД_Спец[[#This Row],[аФакСец]])</f>
        <v>1</v>
      </c>
    </row>
    <row r="844" spans="3:16" x14ac:dyDescent="0.25">
      <c r="C844" s="614">
        <v>838</v>
      </c>
      <c r="D844" s="614">
        <v>10925</v>
      </c>
      <c r="E844" s="64" t="s">
        <v>1672</v>
      </c>
      <c r="F844" s="64" t="s">
        <v>5967</v>
      </c>
      <c r="G844" s="614" t="s">
        <v>35</v>
      </c>
      <c r="H844" s="614" t="s">
        <v>682</v>
      </c>
      <c r="I844" s="614" t="s">
        <v>1153</v>
      </c>
      <c r="J844" s="64" t="s">
        <v>4025</v>
      </c>
      <c r="K844" s="1940" t="s">
        <v>5968</v>
      </c>
      <c r="L844" s="1940" t="s">
        <v>8572</v>
      </c>
      <c r="M844" t="s">
        <v>11954</v>
      </c>
      <c r="N844" t="s">
        <v>10287</v>
      </c>
      <c r="O844" t="s">
        <v>5967</v>
      </c>
      <c r="P844" s="614">
        <f>COUNTIF(EducPlans_кодНАЦИД_Спец[аФакСец],EducPlans_кодНАЦИД_Спец[[#This Row],[аФакСец]])</f>
        <v>1</v>
      </c>
    </row>
    <row r="845" spans="3:16" x14ac:dyDescent="0.25">
      <c r="C845" s="614">
        <v>839</v>
      </c>
      <c r="D845" s="614">
        <v>274375</v>
      </c>
      <c r="E845" s="64" t="s">
        <v>1673</v>
      </c>
      <c r="F845" s="64" t="s">
        <v>5969</v>
      </c>
      <c r="G845" s="614" t="s">
        <v>35</v>
      </c>
      <c r="H845" s="614" t="s">
        <v>682</v>
      </c>
      <c r="I845" s="614" t="s">
        <v>1153</v>
      </c>
      <c r="J845" s="64" t="s">
        <v>4026</v>
      </c>
      <c r="K845" s="1940" t="s">
        <v>5970</v>
      </c>
      <c r="L845" s="1940" t="s">
        <v>8573</v>
      </c>
      <c r="M845" t="s">
        <v>11955</v>
      </c>
      <c r="N845" t="s">
        <v>10288</v>
      </c>
      <c r="O845" t="s">
        <v>5969</v>
      </c>
      <c r="P845" s="614">
        <f>COUNTIF(EducPlans_кодНАЦИД_Спец[аФакСец],EducPlans_кодНАЦИД_Спец[[#This Row],[аФакСец]])</f>
        <v>1</v>
      </c>
    </row>
    <row r="846" spans="3:16" x14ac:dyDescent="0.25">
      <c r="C846" s="614">
        <v>840</v>
      </c>
      <c r="D846" s="614">
        <v>10919</v>
      </c>
      <c r="E846" s="64" t="s">
        <v>1675</v>
      </c>
      <c r="F846" s="64" t="s">
        <v>5971</v>
      </c>
      <c r="G846" s="614" t="s">
        <v>35</v>
      </c>
      <c r="H846" s="614" t="s">
        <v>682</v>
      </c>
      <c r="I846" s="614" t="s">
        <v>1153</v>
      </c>
      <c r="J846" s="64" t="s">
        <v>4027</v>
      </c>
      <c r="K846" s="1940" t="s">
        <v>5972</v>
      </c>
      <c r="L846" s="1940" t="s">
        <v>8574</v>
      </c>
      <c r="M846" t="s">
        <v>11956</v>
      </c>
      <c r="N846" t="s">
        <v>10289</v>
      </c>
      <c r="O846" t="s">
        <v>5971</v>
      </c>
      <c r="P846" s="614">
        <f>COUNTIF(EducPlans_кодНАЦИД_Спец[аФакСец],EducPlans_кодНАЦИД_Спец[[#This Row],[аФакСец]])</f>
        <v>1</v>
      </c>
    </row>
    <row r="847" spans="3:16" x14ac:dyDescent="0.25">
      <c r="C847" s="614">
        <v>841</v>
      </c>
      <c r="D847" s="614">
        <v>710656</v>
      </c>
      <c r="E847" s="64" t="s">
        <v>13552</v>
      </c>
      <c r="F847" s="64" t="s">
        <v>13553</v>
      </c>
      <c r="G847" s="614" t="s">
        <v>35</v>
      </c>
      <c r="H847" s="614" t="s">
        <v>682</v>
      </c>
      <c r="I847" s="614" t="s">
        <v>1153</v>
      </c>
      <c r="J847" s="64" t="s">
        <v>13554</v>
      </c>
      <c r="K847" s="1940" t="s">
        <v>13555</v>
      </c>
      <c r="L847" s="1940" t="s">
        <v>13556</v>
      </c>
      <c r="M847" t="s">
        <v>13557</v>
      </c>
      <c r="N847" t="s">
        <v>13558</v>
      </c>
      <c r="O847" t="s">
        <v>13553</v>
      </c>
      <c r="P847" s="614">
        <f>COUNTIF(EducPlans_кодНАЦИД_Спец[аФакСец],EducPlans_кодНАЦИД_Спец[[#This Row],[аФакСец]])</f>
        <v>1</v>
      </c>
    </row>
    <row r="848" spans="3:16" x14ac:dyDescent="0.25">
      <c r="C848" s="614">
        <v>842</v>
      </c>
      <c r="D848" s="614">
        <v>12440</v>
      </c>
      <c r="E848" s="64" t="s">
        <v>2270</v>
      </c>
      <c r="F848" s="64" t="s">
        <v>5973</v>
      </c>
      <c r="G848" s="614" t="s">
        <v>50</v>
      </c>
      <c r="H848" s="614" t="s">
        <v>682</v>
      </c>
      <c r="I848" s="614" t="s">
        <v>1153</v>
      </c>
      <c r="J848" s="64" t="s">
        <v>3007</v>
      </c>
      <c r="K848" s="1940" t="s">
        <v>5974</v>
      </c>
      <c r="L848" s="1940" t="s">
        <v>8575</v>
      </c>
      <c r="M848" t="s">
        <v>11957</v>
      </c>
      <c r="N848" t="s">
        <v>10290</v>
      </c>
      <c r="O848" t="s">
        <v>5973</v>
      </c>
      <c r="P848" s="614">
        <f>COUNTIF(EducPlans_кодНАЦИД_Спец[аФакСец],EducPlans_кодНАЦИД_Спец[[#This Row],[аФакСец]])</f>
        <v>1</v>
      </c>
    </row>
    <row r="849" spans="3:16" x14ac:dyDescent="0.25">
      <c r="C849" s="614">
        <v>843</v>
      </c>
      <c r="D849" s="614">
        <v>11601</v>
      </c>
      <c r="E849" s="64" t="s">
        <v>1408</v>
      </c>
      <c r="F849" s="64" t="s">
        <v>5975</v>
      </c>
      <c r="G849" s="614" t="s">
        <v>33</v>
      </c>
      <c r="H849" s="614" t="s">
        <v>682</v>
      </c>
      <c r="I849" s="614" t="s">
        <v>1153</v>
      </c>
      <c r="J849" s="64" t="s">
        <v>3573</v>
      </c>
      <c r="K849" s="1940" t="s">
        <v>5976</v>
      </c>
      <c r="L849" s="1940" t="s">
        <v>8576</v>
      </c>
      <c r="M849" t="s">
        <v>11958</v>
      </c>
      <c r="N849" t="s">
        <v>10291</v>
      </c>
      <c r="O849" t="s">
        <v>5975</v>
      </c>
      <c r="P849" s="614">
        <f>COUNTIF(EducPlans_кодНАЦИД_Спец[аФакСец],EducPlans_кодНАЦИД_Спец[[#This Row],[аФакСец]])</f>
        <v>1</v>
      </c>
    </row>
    <row r="850" spans="3:16" x14ac:dyDescent="0.25">
      <c r="C850" s="614">
        <v>844</v>
      </c>
      <c r="D850" s="614">
        <v>11681</v>
      </c>
      <c r="E850" s="64" t="s">
        <v>1733</v>
      </c>
      <c r="F850" s="64" t="s">
        <v>5977</v>
      </c>
      <c r="G850" s="614" t="s">
        <v>33</v>
      </c>
      <c r="H850" s="614" t="s">
        <v>682</v>
      </c>
      <c r="I850" s="614" t="s">
        <v>1153</v>
      </c>
      <c r="J850" s="64" t="s">
        <v>3576</v>
      </c>
      <c r="K850" s="1940" t="s">
        <v>5978</v>
      </c>
      <c r="L850" s="1940" t="s">
        <v>8577</v>
      </c>
      <c r="M850" t="s">
        <v>11959</v>
      </c>
      <c r="N850" t="s">
        <v>10292</v>
      </c>
      <c r="O850" t="s">
        <v>5977</v>
      </c>
      <c r="P850" s="614">
        <f>COUNTIF(EducPlans_кодНАЦИД_Спец[аФакСец],EducPlans_кодНАЦИД_Спец[[#This Row],[аФакСец]])</f>
        <v>1</v>
      </c>
    </row>
    <row r="851" spans="3:16" x14ac:dyDescent="0.25">
      <c r="C851" s="614">
        <v>845</v>
      </c>
      <c r="D851" s="614">
        <v>11681</v>
      </c>
      <c r="E851" s="64" t="s">
        <v>1733</v>
      </c>
      <c r="F851" s="64" t="s">
        <v>5979</v>
      </c>
      <c r="G851" s="614" t="s">
        <v>33</v>
      </c>
      <c r="H851" s="614" t="s">
        <v>682</v>
      </c>
      <c r="I851" s="614" t="s">
        <v>1153</v>
      </c>
      <c r="J851" s="64" t="s">
        <v>3575</v>
      </c>
      <c r="K851" s="1940" t="s">
        <v>5978</v>
      </c>
      <c r="L851" s="1940" t="s">
        <v>8578</v>
      </c>
      <c r="M851" t="s">
        <v>11960</v>
      </c>
      <c r="N851" t="s">
        <v>10293</v>
      </c>
      <c r="O851" t="s">
        <v>5979</v>
      </c>
      <c r="P851" s="614">
        <f>COUNTIF(EducPlans_кодНАЦИД_Спец[аФакСец],EducPlans_кодНАЦИД_Спец[[#This Row],[аФакСец]])</f>
        <v>1</v>
      </c>
    </row>
    <row r="852" spans="3:16" x14ac:dyDescent="0.25">
      <c r="C852" s="614">
        <v>846</v>
      </c>
      <c r="D852" s="614">
        <v>11684</v>
      </c>
      <c r="E852" s="64" t="s">
        <v>1733</v>
      </c>
      <c r="F852" s="64" t="s">
        <v>5980</v>
      </c>
      <c r="G852" s="614" t="s">
        <v>33</v>
      </c>
      <c r="H852" s="614" t="s">
        <v>682</v>
      </c>
      <c r="I852" s="614" t="s">
        <v>1149</v>
      </c>
      <c r="J852" s="64" t="s">
        <v>3574</v>
      </c>
      <c r="K852" s="1940" t="s">
        <v>5981</v>
      </c>
      <c r="L852" s="1940" t="s">
        <v>8579</v>
      </c>
      <c r="M852" t="s">
        <v>11961</v>
      </c>
      <c r="N852" t="s">
        <v>10294</v>
      </c>
      <c r="O852" t="s">
        <v>5980</v>
      </c>
      <c r="P852" s="614">
        <f>COUNTIF(EducPlans_кодНАЦИД_Спец[аФакСец],EducPlans_кодНАЦИД_Спец[[#This Row],[аФакСец]])</f>
        <v>1</v>
      </c>
    </row>
    <row r="853" spans="3:16" x14ac:dyDescent="0.25">
      <c r="C853" s="614">
        <v>847</v>
      </c>
      <c r="D853" s="614">
        <v>795943</v>
      </c>
      <c r="E853" s="64" t="s">
        <v>13559</v>
      </c>
      <c r="F853" s="64" t="s">
        <v>13560</v>
      </c>
      <c r="G853" s="614" t="s">
        <v>33</v>
      </c>
      <c r="H853" s="614" t="s">
        <v>682</v>
      </c>
      <c r="I853" s="614" t="s">
        <v>1153</v>
      </c>
      <c r="J853" s="64" t="s">
        <v>13561</v>
      </c>
      <c r="K853" s="1940" t="s">
        <v>13562</v>
      </c>
      <c r="L853" s="1940" t="s">
        <v>13563</v>
      </c>
      <c r="M853" t="s">
        <v>13564</v>
      </c>
      <c r="N853" t="s">
        <v>13565</v>
      </c>
      <c r="O853" t="s">
        <v>13560</v>
      </c>
      <c r="P853" s="614">
        <f>COUNTIF(EducPlans_кодНАЦИД_Спец[аФакСец],EducPlans_кодНАЦИД_Спец[[#This Row],[аФакСец]])</f>
        <v>1</v>
      </c>
    </row>
    <row r="854" spans="3:16" x14ac:dyDescent="0.25">
      <c r="C854" s="614">
        <v>848</v>
      </c>
      <c r="D854" s="614">
        <v>10776</v>
      </c>
      <c r="E854" s="64" t="s">
        <v>1677</v>
      </c>
      <c r="F854" s="64" t="s">
        <v>5982</v>
      </c>
      <c r="G854" s="614" t="s">
        <v>35</v>
      </c>
      <c r="H854" s="614" t="s">
        <v>681</v>
      </c>
      <c r="I854" s="614" t="s">
        <v>1153</v>
      </c>
      <c r="J854" s="64" t="s">
        <v>4028</v>
      </c>
      <c r="K854" s="1940" t="s">
        <v>5983</v>
      </c>
      <c r="L854" s="1940" t="s">
        <v>8580</v>
      </c>
      <c r="M854" t="s">
        <v>11962</v>
      </c>
      <c r="N854" t="s">
        <v>10295</v>
      </c>
      <c r="O854" t="s">
        <v>5982</v>
      </c>
      <c r="P854" s="614">
        <f>COUNTIF(EducPlans_кодНАЦИД_Спец[аФакСец],EducPlans_кодНАЦИД_Спец[[#This Row],[аФакСец]])</f>
        <v>1</v>
      </c>
    </row>
    <row r="855" spans="3:16" x14ac:dyDescent="0.25">
      <c r="C855" s="614">
        <v>849</v>
      </c>
      <c r="D855" s="614">
        <v>12460</v>
      </c>
      <c r="E855" s="64" t="s">
        <v>2271</v>
      </c>
      <c r="F855" s="64" t="s">
        <v>5984</v>
      </c>
      <c r="G855" s="614" t="s">
        <v>50</v>
      </c>
      <c r="H855" s="614" t="s">
        <v>682</v>
      </c>
      <c r="I855" s="614" t="s">
        <v>1153</v>
      </c>
      <c r="J855" s="64" t="s">
        <v>3009</v>
      </c>
      <c r="K855" s="1940" t="s">
        <v>5985</v>
      </c>
      <c r="L855" s="1940" t="s">
        <v>8581</v>
      </c>
      <c r="M855" t="s">
        <v>11963</v>
      </c>
      <c r="N855" t="s">
        <v>10296</v>
      </c>
      <c r="O855" t="s">
        <v>5984</v>
      </c>
      <c r="P855" s="614">
        <f>COUNTIF(EducPlans_кодНАЦИД_Спец[аФакСец],EducPlans_кодНАЦИД_Спец[[#This Row],[аФакСец]])</f>
        <v>1</v>
      </c>
    </row>
    <row r="856" spans="3:16" x14ac:dyDescent="0.25">
      <c r="C856" s="614">
        <v>850</v>
      </c>
      <c r="D856" s="614">
        <v>12462</v>
      </c>
      <c r="E856" s="64" t="s">
        <v>2271</v>
      </c>
      <c r="F856" s="64" t="s">
        <v>5986</v>
      </c>
      <c r="G856" s="614" t="s">
        <v>50</v>
      </c>
      <c r="H856" s="614" t="s">
        <v>682</v>
      </c>
      <c r="I856" s="614" t="s">
        <v>1149</v>
      </c>
      <c r="J856" s="64" t="s">
        <v>3008</v>
      </c>
      <c r="K856" s="1940" t="s">
        <v>5987</v>
      </c>
      <c r="L856" s="1940" t="s">
        <v>8582</v>
      </c>
      <c r="M856" t="s">
        <v>11964</v>
      </c>
      <c r="N856" t="s">
        <v>10297</v>
      </c>
      <c r="O856" t="s">
        <v>5986</v>
      </c>
      <c r="P856" s="614">
        <f>COUNTIF(EducPlans_кодНАЦИД_Спец[аФакСец],EducPlans_кодНАЦИД_Спец[[#This Row],[аФакСец]])</f>
        <v>1</v>
      </c>
    </row>
    <row r="857" spans="3:16" x14ac:dyDescent="0.25">
      <c r="C857" s="614">
        <v>851</v>
      </c>
      <c r="D857" s="614">
        <v>12939</v>
      </c>
      <c r="E857" s="64" t="s">
        <v>1816</v>
      </c>
      <c r="F857" s="64" t="s">
        <v>5988</v>
      </c>
      <c r="G857" s="614" t="s">
        <v>42</v>
      </c>
      <c r="H857" s="614" t="s">
        <v>682</v>
      </c>
      <c r="I857" s="614" t="s">
        <v>1149</v>
      </c>
      <c r="J857" s="64" t="s">
        <v>3482</v>
      </c>
      <c r="K857" s="1940" t="s">
        <v>5989</v>
      </c>
      <c r="L857" s="1940" t="s">
        <v>8583</v>
      </c>
      <c r="M857" t="s">
        <v>11965</v>
      </c>
      <c r="N857" t="s">
        <v>10298</v>
      </c>
      <c r="O857" t="s">
        <v>5988</v>
      </c>
      <c r="P857" s="614">
        <f>COUNTIF(EducPlans_кодНАЦИД_Спец[аФакСец],EducPlans_кодНАЦИД_Спец[[#This Row],[аФакСец]])</f>
        <v>1</v>
      </c>
    </row>
    <row r="858" spans="3:16" x14ac:dyDescent="0.25">
      <c r="C858" s="614">
        <v>852</v>
      </c>
      <c r="D858" s="614">
        <v>12939</v>
      </c>
      <c r="E858" s="64" t="s">
        <v>1816</v>
      </c>
      <c r="F858" s="64" t="s">
        <v>5990</v>
      </c>
      <c r="G858" s="614" t="s">
        <v>42</v>
      </c>
      <c r="H858" s="614" t="s">
        <v>682</v>
      </c>
      <c r="I858" s="614" t="s">
        <v>1149</v>
      </c>
      <c r="J858" s="64" t="s">
        <v>3481</v>
      </c>
      <c r="K858" s="1940" t="s">
        <v>5989</v>
      </c>
      <c r="L858" s="1940" t="s">
        <v>8584</v>
      </c>
      <c r="M858" t="s">
        <v>11966</v>
      </c>
      <c r="N858" t="s">
        <v>10299</v>
      </c>
      <c r="O858" t="s">
        <v>5990</v>
      </c>
      <c r="P858" s="614">
        <f>COUNTIF(EducPlans_кодНАЦИД_Спец[аФакСец],EducPlans_кодНАЦИД_Спец[[#This Row],[аФакСец]])</f>
        <v>1</v>
      </c>
    </row>
    <row r="859" spans="3:16" x14ac:dyDescent="0.25">
      <c r="C859" s="614">
        <v>853</v>
      </c>
      <c r="D859" s="614">
        <v>12946</v>
      </c>
      <c r="E859" s="64" t="s">
        <v>1817</v>
      </c>
      <c r="F859" s="64" t="s">
        <v>5991</v>
      </c>
      <c r="G859" s="614" t="s">
        <v>42</v>
      </c>
      <c r="H859" s="614" t="s">
        <v>682</v>
      </c>
      <c r="I859" s="614" t="s">
        <v>1149</v>
      </c>
      <c r="J859" s="64" t="s">
        <v>3484</v>
      </c>
      <c r="K859" s="1940" t="s">
        <v>5992</v>
      </c>
      <c r="L859" s="1940" t="s">
        <v>8585</v>
      </c>
      <c r="M859" t="s">
        <v>11967</v>
      </c>
      <c r="N859" t="s">
        <v>10300</v>
      </c>
      <c r="O859" t="s">
        <v>5991</v>
      </c>
      <c r="P859" s="614">
        <f>COUNTIF(EducPlans_кодНАЦИД_Спец[аФакСец],EducPlans_кодНАЦИД_Спец[[#This Row],[аФакСец]])</f>
        <v>1</v>
      </c>
    </row>
    <row r="860" spans="3:16" x14ac:dyDescent="0.25">
      <c r="C860" s="614">
        <v>854</v>
      </c>
      <c r="D860" s="614">
        <v>671966</v>
      </c>
      <c r="E860" s="64" t="s">
        <v>2272</v>
      </c>
      <c r="F860" s="64" t="s">
        <v>5993</v>
      </c>
      <c r="G860" s="614" t="s">
        <v>50</v>
      </c>
      <c r="H860" s="614" t="s">
        <v>682</v>
      </c>
      <c r="I860" s="614" t="s">
        <v>1153</v>
      </c>
      <c r="J860" s="64" t="s">
        <v>5994</v>
      </c>
      <c r="K860" s="1940" t="s">
        <v>5995</v>
      </c>
      <c r="L860" s="1940" t="s">
        <v>8586</v>
      </c>
      <c r="M860" t="s">
        <v>11968</v>
      </c>
      <c r="N860" t="s">
        <v>10301</v>
      </c>
      <c r="O860" t="s">
        <v>5993</v>
      </c>
      <c r="P860" s="614">
        <f>COUNTIF(EducPlans_кодНАЦИД_Спец[аФакСец],EducPlans_кодНАЦИД_Спец[[#This Row],[аФакСец]])</f>
        <v>1</v>
      </c>
    </row>
    <row r="861" spans="3:16" x14ac:dyDescent="0.25">
      <c r="C861" s="614">
        <v>855</v>
      </c>
      <c r="D861" s="614">
        <v>12466</v>
      </c>
      <c r="E861" s="64" t="s">
        <v>2272</v>
      </c>
      <c r="F861" s="64" t="s">
        <v>5996</v>
      </c>
      <c r="G861" s="614" t="s">
        <v>50</v>
      </c>
      <c r="H861" s="614" t="s">
        <v>682</v>
      </c>
      <c r="I861" s="614" t="s">
        <v>1149</v>
      </c>
      <c r="J861" s="64" t="s">
        <v>3010</v>
      </c>
      <c r="K861" s="1940" t="s">
        <v>5997</v>
      </c>
      <c r="L861" s="1940" t="s">
        <v>8587</v>
      </c>
      <c r="M861" t="s">
        <v>11969</v>
      </c>
      <c r="N861" t="s">
        <v>10302</v>
      </c>
      <c r="O861" t="s">
        <v>5996</v>
      </c>
      <c r="P861" s="614">
        <f>COUNTIF(EducPlans_кодНАЦИД_Спец[аФакСец],EducPlans_кодНАЦИД_Спец[[#This Row],[аФакСец]])</f>
        <v>1</v>
      </c>
    </row>
    <row r="862" spans="3:16" x14ac:dyDescent="0.25">
      <c r="C862" s="614">
        <v>856</v>
      </c>
      <c r="D862" s="614">
        <v>11438</v>
      </c>
      <c r="E862" s="64" t="s">
        <v>1410</v>
      </c>
      <c r="F862" s="64" t="s">
        <v>5998</v>
      </c>
      <c r="G862" s="614" t="s">
        <v>647</v>
      </c>
      <c r="H862" s="614" t="s">
        <v>682</v>
      </c>
      <c r="I862" s="614" t="s">
        <v>1153</v>
      </c>
      <c r="J862" s="64" t="s">
        <v>3923</v>
      </c>
      <c r="K862" s="1940" t="s">
        <v>5999</v>
      </c>
      <c r="L862" s="1940" t="s">
        <v>8588</v>
      </c>
      <c r="M862" t="s">
        <v>11970</v>
      </c>
      <c r="N862" t="s">
        <v>10303</v>
      </c>
      <c r="O862" t="s">
        <v>5998</v>
      </c>
      <c r="P862" s="614">
        <f>COUNTIF(EducPlans_кодНАЦИД_Спец[аФакСец],EducPlans_кодНАЦИД_Спец[[#This Row],[аФакСец]])</f>
        <v>1</v>
      </c>
    </row>
    <row r="863" spans="3:16" x14ac:dyDescent="0.25">
      <c r="C863" s="614">
        <v>857</v>
      </c>
      <c r="D863" s="614">
        <v>11412</v>
      </c>
      <c r="E863" s="64" t="s">
        <v>1411</v>
      </c>
      <c r="F863" s="64" t="s">
        <v>6000</v>
      </c>
      <c r="G863" s="614" t="s">
        <v>647</v>
      </c>
      <c r="H863" s="614" t="s">
        <v>682</v>
      </c>
      <c r="I863" s="614" t="s">
        <v>1153</v>
      </c>
      <c r="J863" s="64" t="s">
        <v>3927</v>
      </c>
      <c r="K863" s="1940" t="s">
        <v>6001</v>
      </c>
      <c r="L863" s="1940" t="s">
        <v>8589</v>
      </c>
      <c r="M863" t="s">
        <v>11971</v>
      </c>
      <c r="N863" t="s">
        <v>10304</v>
      </c>
      <c r="O863" t="s">
        <v>6000</v>
      </c>
      <c r="P863" s="614">
        <f>COUNTIF(EducPlans_кодНАЦИД_Спец[аФакСец],EducPlans_кодНАЦИД_Спец[[#This Row],[аФакСец]])</f>
        <v>1</v>
      </c>
    </row>
    <row r="864" spans="3:16" x14ac:dyDescent="0.25">
      <c r="C864" s="614">
        <v>858</v>
      </c>
      <c r="D864" s="614">
        <v>11412</v>
      </c>
      <c r="E864" s="64" t="s">
        <v>1411</v>
      </c>
      <c r="F864" s="64" t="s">
        <v>6002</v>
      </c>
      <c r="G864" s="614" t="s">
        <v>647</v>
      </c>
      <c r="H864" s="614" t="s">
        <v>682</v>
      </c>
      <c r="I864" s="614" t="s">
        <v>1153</v>
      </c>
      <c r="J864" s="64" t="s">
        <v>3926</v>
      </c>
      <c r="K864" s="1940" t="s">
        <v>6001</v>
      </c>
      <c r="L864" s="1940" t="s">
        <v>8590</v>
      </c>
      <c r="M864" t="s">
        <v>11972</v>
      </c>
      <c r="N864" t="s">
        <v>10305</v>
      </c>
      <c r="O864" t="s">
        <v>6002</v>
      </c>
      <c r="P864" s="614">
        <f>COUNTIF(EducPlans_кодНАЦИД_Спец[аФакСец],EducPlans_кодНАЦИД_Спец[[#This Row],[аФакСец]])</f>
        <v>1</v>
      </c>
    </row>
    <row r="865" spans="3:16" x14ac:dyDescent="0.25">
      <c r="C865" s="614">
        <v>859</v>
      </c>
      <c r="D865" s="614">
        <v>11412</v>
      </c>
      <c r="E865" s="64" t="s">
        <v>1411</v>
      </c>
      <c r="F865" s="64" t="s">
        <v>6003</v>
      </c>
      <c r="G865" s="614" t="s">
        <v>647</v>
      </c>
      <c r="H865" s="614" t="s">
        <v>682</v>
      </c>
      <c r="I865" s="614" t="s">
        <v>1153</v>
      </c>
      <c r="J865" s="64" t="s">
        <v>3925</v>
      </c>
      <c r="K865" s="1940" t="s">
        <v>6001</v>
      </c>
      <c r="L865" s="1940" t="s">
        <v>8591</v>
      </c>
      <c r="M865" t="s">
        <v>11973</v>
      </c>
      <c r="N865" t="s">
        <v>10306</v>
      </c>
      <c r="O865" t="s">
        <v>6003</v>
      </c>
      <c r="P865" s="614">
        <f>COUNTIF(EducPlans_кодНАЦИД_Спец[аФакСец],EducPlans_кодНАЦИД_Спец[[#This Row],[аФакСец]])</f>
        <v>1</v>
      </c>
    </row>
    <row r="866" spans="3:16" x14ac:dyDescent="0.25">
      <c r="C866" s="614">
        <v>860</v>
      </c>
      <c r="D866" s="614">
        <v>11403</v>
      </c>
      <c r="E866" s="64" t="s">
        <v>1415</v>
      </c>
      <c r="F866" s="64" t="s">
        <v>6004</v>
      </c>
      <c r="G866" s="614" t="s">
        <v>647</v>
      </c>
      <c r="H866" s="614" t="s">
        <v>682</v>
      </c>
      <c r="I866" s="614" t="s">
        <v>1153</v>
      </c>
      <c r="J866" s="64" t="s">
        <v>3928</v>
      </c>
      <c r="K866" s="1940" t="s">
        <v>6005</v>
      </c>
      <c r="L866" s="1940" t="s">
        <v>8592</v>
      </c>
      <c r="M866" t="s">
        <v>11974</v>
      </c>
      <c r="N866" t="s">
        <v>10307</v>
      </c>
      <c r="O866" t="s">
        <v>6004</v>
      </c>
      <c r="P866" s="614">
        <f>COUNTIF(EducPlans_кодНАЦИД_Спец[аФакСец],EducPlans_кодНАЦИД_Спец[[#This Row],[аФакСец]])</f>
        <v>1</v>
      </c>
    </row>
    <row r="867" spans="3:16" x14ac:dyDescent="0.25">
      <c r="C867" s="614">
        <v>861</v>
      </c>
      <c r="D867" s="614">
        <v>11405</v>
      </c>
      <c r="E867" s="64" t="s">
        <v>1415</v>
      </c>
      <c r="F867" s="64" t="s">
        <v>6006</v>
      </c>
      <c r="G867" s="614" t="s">
        <v>647</v>
      </c>
      <c r="H867" s="614" t="s">
        <v>682</v>
      </c>
      <c r="I867" s="614" t="s">
        <v>1153</v>
      </c>
      <c r="J867" s="64" t="s">
        <v>3929</v>
      </c>
      <c r="K867" s="1940" t="s">
        <v>6007</v>
      </c>
      <c r="L867" s="1940" t="s">
        <v>8593</v>
      </c>
      <c r="M867" t="s">
        <v>11975</v>
      </c>
      <c r="N867" t="s">
        <v>10308</v>
      </c>
      <c r="O867" t="s">
        <v>6006</v>
      </c>
      <c r="P867" s="614">
        <f>COUNTIF(EducPlans_кодНАЦИД_Спец[аФакСец],EducPlans_кодНАЦИД_Спец[[#This Row],[аФакСец]])</f>
        <v>1</v>
      </c>
    </row>
    <row r="868" spans="3:16" x14ac:dyDescent="0.25">
      <c r="C868" s="614">
        <v>862</v>
      </c>
      <c r="D868" s="614">
        <v>11382</v>
      </c>
      <c r="E868" s="64" t="s">
        <v>1417</v>
      </c>
      <c r="F868" s="64" t="s">
        <v>6008</v>
      </c>
      <c r="G868" s="614" t="s">
        <v>647</v>
      </c>
      <c r="H868" s="614" t="s">
        <v>682</v>
      </c>
      <c r="I868" s="614" t="s">
        <v>1153</v>
      </c>
      <c r="J868" s="64" t="s">
        <v>3930</v>
      </c>
      <c r="K868" s="1940" t="s">
        <v>6009</v>
      </c>
      <c r="L868" s="1940" t="s">
        <v>8594</v>
      </c>
      <c r="M868" t="s">
        <v>11976</v>
      </c>
      <c r="N868" t="s">
        <v>10309</v>
      </c>
      <c r="O868" t="s">
        <v>6008</v>
      </c>
      <c r="P868" s="614">
        <f>COUNTIF(EducPlans_кодНАЦИД_Спец[аФакСец],EducPlans_кодНАЦИД_Спец[[#This Row],[аФакСец]])</f>
        <v>1</v>
      </c>
    </row>
    <row r="869" spans="3:16" x14ac:dyDescent="0.25">
      <c r="C869" s="614">
        <v>863</v>
      </c>
      <c r="D869" s="614">
        <v>11401</v>
      </c>
      <c r="E869" s="64" t="s">
        <v>1417</v>
      </c>
      <c r="F869" s="64" t="s">
        <v>6010</v>
      </c>
      <c r="G869" s="614" t="s">
        <v>647</v>
      </c>
      <c r="H869" s="614" t="s">
        <v>682</v>
      </c>
      <c r="I869" s="614" t="s">
        <v>1153</v>
      </c>
      <c r="J869" s="64" t="s">
        <v>3931</v>
      </c>
      <c r="K869" s="1940" t="s">
        <v>6011</v>
      </c>
      <c r="L869" s="1940" t="s">
        <v>8595</v>
      </c>
      <c r="M869" t="s">
        <v>11977</v>
      </c>
      <c r="N869" t="s">
        <v>10310</v>
      </c>
      <c r="O869" t="s">
        <v>6010</v>
      </c>
      <c r="P869" s="614">
        <f>COUNTIF(EducPlans_кодНАЦИД_Спец[аФакСец],EducPlans_кодНАЦИД_Спец[[#This Row],[аФакСец]])</f>
        <v>1</v>
      </c>
    </row>
    <row r="870" spans="3:16" x14ac:dyDescent="0.25">
      <c r="C870" s="614">
        <v>864</v>
      </c>
      <c r="D870" s="614">
        <v>11384</v>
      </c>
      <c r="E870" s="64" t="s">
        <v>1418</v>
      </c>
      <c r="F870" s="64" t="s">
        <v>6012</v>
      </c>
      <c r="G870" s="614" t="s">
        <v>647</v>
      </c>
      <c r="H870" s="614" t="s">
        <v>682</v>
      </c>
      <c r="I870" s="614" t="s">
        <v>1153</v>
      </c>
      <c r="J870" s="64" t="s">
        <v>3932</v>
      </c>
      <c r="K870" s="1940" t="s">
        <v>6013</v>
      </c>
      <c r="L870" s="1940" t="s">
        <v>8596</v>
      </c>
      <c r="M870" t="s">
        <v>11978</v>
      </c>
      <c r="N870" t="s">
        <v>10311</v>
      </c>
      <c r="O870" t="s">
        <v>6012</v>
      </c>
      <c r="P870" s="614">
        <f>COUNTIF(EducPlans_кодНАЦИД_Спец[аФакСец],EducPlans_кодНАЦИД_Спец[[#This Row],[аФакСец]])</f>
        <v>1</v>
      </c>
    </row>
    <row r="871" spans="3:16" x14ac:dyDescent="0.25">
      <c r="C871" s="614">
        <v>865</v>
      </c>
      <c r="D871" s="614">
        <v>11421</v>
      </c>
      <c r="E871" s="64" t="s">
        <v>1419</v>
      </c>
      <c r="F871" s="64" t="s">
        <v>6014</v>
      </c>
      <c r="G871" s="614" t="s">
        <v>647</v>
      </c>
      <c r="H871" s="614" t="s">
        <v>682</v>
      </c>
      <c r="I871" s="614" t="s">
        <v>1153</v>
      </c>
      <c r="J871" s="64" t="s">
        <v>3933</v>
      </c>
      <c r="K871" s="1940" t="s">
        <v>6015</v>
      </c>
      <c r="L871" s="1940" t="s">
        <v>8597</v>
      </c>
      <c r="M871" t="s">
        <v>11979</v>
      </c>
      <c r="N871" t="s">
        <v>10312</v>
      </c>
      <c r="O871" t="s">
        <v>6014</v>
      </c>
      <c r="P871" s="614">
        <f>COUNTIF(EducPlans_кодНАЦИД_Спец[аФакСец],EducPlans_кодНАЦИД_Спец[[#This Row],[аФакСец]])</f>
        <v>1</v>
      </c>
    </row>
    <row r="872" spans="3:16" x14ac:dyDescent="0.25">
      <c r="C872" s="614">
        <v>866</v>
      </c>
      <c r="D872" s="614">
        <v>11483</v>
      </c>
      <c r="E872" s="64" t="s">
        <v>1633</v>
      </c>
      <c r="F872" s="64" t="s">
        <v>6016</v>
      </c>
      <c r="G872" s="614" t="s">
        <v>2788</v>
      </c>
      <c r="H872" s="614" t="s">
        <v>682</v>
      </c>
      <c r="I872" s="614" t="s">
        <v>1149</v>
      </c>
      <c r="J872" s="64" t="s">
        <v>4339</v>
      </c>
      <c r="K872" s="1940" t="s">
        <v>6017</v>
      </c>
      <c r="L872" s="1940" t="s">
        <v>8598</v>
      </c>
      <c r="M872" t="s">
        <v>11980</v>
      </c>
      <c r="N872" t="s">
        <v>10313</v>
      </c>
      <c r="O872" t="s">
        <v>6016</v>
      </c>
      <c r="P872" s="614">
        <f>COUNTIF(EducPlans_кодНАЦИД_Спец[аФакСец],EducPlans_кодНАЦИД_Спец[[#This Row],[аФакСец]])</f>
        <v>1</v>
      </c>
    </row>
    <row r="873" spans="3:16" x14ac:dyDescent="0.25">
      <c r="C873" s="614">
        <v>867</v>
      </c>
      <c r="D873" s="614">
        <v>11483</v>
      </c>
      <c r="E873" s="64" t="s">
        <v>1633</v>
      </c>
      <c r="F873" s="64" t="s">
        <v>6018</v>
      </c>
      <c r="G873" s="614" t="s">
        <v>2788</v>
      </c>
      <c r="H873" s="614" t="s">
        <v>682</v>
      </c>
      <c r="I873" s="614" t="s">
        <v>1149</v>
      </c>
      <c r="J873" s="64" t="s">
        <v>4338</v>
      </c>
      <c r="K873" s="1940" t="s">
        <v>6017</v>
      </c>
      <c r="L873" s="1940" t="s">
        <v>8599</v>
      </c>
      <c r="M873" t="s">
        <v>11981</v>
      </c>
      <c r="N873" t="s">
        <v>10314</v>
      </c>
      <c r="O873" t="s">
        <v>6018</v>
      </c>
      <c r="P873" s="614">
        <f>COUNTIF(EducPlans_кодНАЦИД_Спец[аФакСец],EducPlans_кодНАЦИД_Спец[[#This Row],[аФакСец]])</f>
        <v>1</v>
      </c>
    </row>
    <row r="874" spans="3:16" x14ac:dyDescent="0.25">
      <c r="C874" s="614">
        <v>868</v>
      </c>
      <c r="D874" s="614">
        <v>11485</v>
      </c>
      <c r="E874" s="64" t="s">
        <v>1634</v>
      </c>
      <c r="F874" s="64" t="s">
        <v>6019</v>
      </c>
      <c r="G874" s="614" t="s">
        <v>2788</v>
      </c>
      <c r="H874" s="614" t="s">
        <v>682</v>
      </c>
      <c r="I874" s="614" t="s">
        <v>1149</v>
      </c>
      <c r="J874" s="64" t="s">
        <v>4340</v>
      </c>
      <c r="K874" s="1940" t="s">
        <v>6020</v>
      </c>
      <c r="L874" s="1940" t="s">
        <v>8600</v>
      </c>
      <c r="M874" t="s">
        <v>11982</v>
      </c>
      <c r="N874" t="s">
        <v>10315</v>
      </c>
      <c r="O874" t="s">
        <v>6019</v>
      </c>
      <c r="P874" s="614">
        <f>COUNTIF(EducPlans_кодНАЦИД_Спец[аФакСец],EducPlans_кодНАЦИД_Спец[[#This Row],[аФакСец]])</f>
        <v>1</v>
      </c>
    </row>
    <row r="875" spans="3:16" x14ac:dyDescent="0.25">
      <c r="C875" s="614">
        <v>869</v>
      </c>
      <c r="D875" s="614">
        <v>11485</v>
      </c>
      <c r="E875" s="64" t="s">
        <v>1634</v>
      </c>
      <c r="F875" s="64" t="s">
        <v>6021</v>
      </c>
      <c r="G875" s="614" t="s">
        <v>2788</v>
      </c>
      <c r="H875" s="614" t="s">
        <v>682</v>
      </c>
      <c r="I875" s="614" t="s">
        <v>1149</v>
      </c>
      <c r="J875" s="64" t="s">
        <v>4341</v>
      </c>
      <c r="K875" s="1940" t="s">
        <v>6020</v>
      </c>
      <c r="L875" s="1940" t="s">
        <v>8601</v>
      </c>
      <c r="M875" t="s">
        <v>11983</v>
      </c>
      <c r="N875" t="s">
        <v>10316</v>
      </c>
      <c r="O875" t="s">
        <v>6021</v>
      </c>
      <c r="P875" s="614">
        <f>COUNTIF(EducPlans_кодНАЦИД_Спец[аФакСец],EducPlans_кодНАЦИД_Спец[[#This Row],[аФакСец]])</f>
        <v>1</v>
      </c>
    </row>
    <row r="876" spans="3:16" x14ac:dyDescent="0.25">
      <c r="C876" s="614">
        <v>870</v>
      </c>
      <c r="D876" s="614">
        <v>11781</v>
      </c>
      <c r="E876" s="64" t="s">
        <v>2303</v>
      </c>
      <c r="F876" s="64" t="s">
        <v>6022</v>
      </c>
      <c r="G876" s="614" t="s">
        <v>26</v>
      </c>
      <c r="H876" s="614" t="s">
        <v>682</v>
      </c>
      <c r="I876" s="614" t="s">
        <v>1153</v>
      </c>
      <c r="J876" s="64" t="s">
        <v>3715</v>
      </c>
      <c r="K876" s="1940" t="s">
        <v>6023</v>
      </c>
      <c r="L876" s="1940" t="s">
        <v>8602</v>
      </c>
      <c r="M876" t="s">
        <v>11984</v>
      </c>
      <c r="N876" t="s">
        <v>10317</v>
      </c>
      <c r="O876" t="s">
        <v>6022</v>
      </c>
      <c r="P876" s="614">
        <f>COUNTIF(EducPlans_кодНАЦИД_Спец[аФакСец],EducPlans_кодНАЦИД_Спец[[#This Row],[аФакСец]])</f>
        <v>1</v>
      </c>
    </row>
    <row r="877" spans="3:16" x14ac:dyDescent="0.25">
      <c r="C877" s="614">
        <v>871</v>
      </c>
      <c r="D877" s="614">
        <v>11781</v>
      </c>
      <c r="E877" s="64" t="s">
        <v>2303</v>
      </c>
      <c r="F877" s="64" t="s">
        <v>6024</v>
      </c>
      <c r="G877" s="614" t="s">
        <v>26</v>
      </c>
      <c r="H877" s="614" t="s">
        <v>682</v>
      </c>
      <c r="I877" s="614" t="s">
        <v>1153</v>
      </c>
      <c r="J877" s="64" t="s">
        <v>3714</v>
      </c>
      <c r="K877" s="1940" t="s">
        <v>6023</v>
      </c>
      <c r="L877" s="1940" t="s">
        <v>8603</v>
      </c>
      <c r="M877" t="s">
        <v>11985</v>
      </c>
      <c r="N877" t="s">
        <v>10318</v>
      </c>
      <c r="O877" t="s">
        <v>6024</v>
      </c>
      <c r="P877" s="614">
        <f>COUNTIF(EducPlans_кодНАЦИД_Спец[аФакСец],EducPlans_кодНАЦИД_Спец[[#This Row],[аФакСец]])</f>
        <v>2</v>
      </c>
    </row>
    <row r="878" spans="3:16" x14ac:dyDescent="0.25">
      <c r="C878" s="614">
        <v>872</v>
      </c>
      <c r="D878" s="614">
        <v>11781</v>
      </c>
      <c r="E878" s="64" t="s">
        <v>2303</v>
      </c>
      <c r="F878" s="64" t="s">
        <v>6025</v>
      </c>
      <c r="G878" s="614" t="s">
        <v>26</v>
      </c>
      <c r="H878" s="614" t="s">
        <v>682</v>
      </c>
      <c r="I878" s="614" t="s">
        <v>1153</v>
      </c>
      <c r="J878" s="64" t="s">
        <v>3713</v>
      </c>
      <c r="K878" s="1940" t="s">
        <v>6023</v>
      </c>
      <c r="L878" s="1940" t="s">
        <v>8604</v>
      </c>
      <c r="M878" t="s">
        <v>11986</v>
      </c>
      <c r="N878" t="s">
        <v>10319</v>
      </c>
      <c r="O878" t="s">
        <v>6025</v>
      </c>
      <c r="P878" s="614">
        <f>COUNTIF(EducPlans_кодНАЦИД_Спец[аФакСец],EducPlans_кодНАЦИД_Спец[[#This Row],[аФакСец]])</f>
        <v>1</v>
      </c>
    </row>
    <row r="879" spans="3:16" x14ac:dyDescent="0.25">
      <c r="C879" s="614">
        <v>873</v>
      </c>
      <c r="D879" s="614">
        <v>11781</v>
      </c>
      <c r="E879" s="64" t="s">
        <v>2303</v>
      </c>
      <c r="F879" s="64" t="s">
        <v>6026</v>
      </c>
      <c r="G879" s="614" t="s">
        <v>26</v>
      </c>
      <c r="H879" s="614" t="s">
        <v>682</v>
      </c>
      <c r="I879" s="614" t="s">
        <v>1153</v>
      </c>
      <c r="J879" s="64" t="s">
        <v>3716</v>
      </c>
      <c r="K879" s="1940" t="s">
        <v>6023</v>
      </c>
      <c r="L879" s="1940" t="s">
        <v>8605</v>
      </c>
      <c r="M879" t="s">
        <v>11987</v>
      </c>
      <c r="N879" t="s">
        <v>10320</v>
      </c>
      <c r="O879" t="s">
        <v>6026</v>
      </c>
      <c r="P879" s="614">
        <f>COUNTIF(EducPlans_кодНАЦИД_Спец[аФакСец],EducPlans_кодНАЦИД_Спец[[#This Row],[аФакСец]])</f>
        <v>1</v>
      </c>
    </row>
    <row r="880" spans="3:16" x14ac:dyDescent="0.25">
      <c r="C880" s="614">
        <v>874</v>
      </c>
      <c r="D880" s="614">
        <v>11824</v>
      </c>
      <c r="E880" s="64" t="s">
        <v>2303</v>
      </c>
      <c r="F880" s="64" t="s">
        <v>6027</v>
      </c>
      <c r="G880" s="614" t="s">
        <v>26</v>
      </c>
      <c r="H880" s="614" t="s">
        <v>682</v>
      </c>
      <c r="I880" s="614" t="s">
        <v>1153</v>
      </c>
      <c r="J880" s="64" t="s">
        <v>3720</v>
      </c>
      <c r="K880" s="1940" t="s">
        <v>6028</v>
      </c>
      <c r="L880" s="1940" t="s">
        <v>8606</v>
      </c>
      <c r="M880" t="s">
        <v>11988</v>
      </c>
      <c r="N880" t="s">
        <v>10321</v>
      </c>
      <c r="O880" t="s">
        <v>6027</v>
      </c>
      <c r="P880" s="614">
        <f>COUNTIF(EducPlans_кодНАЦИД_Спец[аФакСец],EducPlans_кодНАЦИД_Спец[[#This Row],[аФакСец]])</f>
        <v>1</v>
      </c>
    </row>
    <row r="881" spans="3:16" x14ac:dyDescent="0.25">
      <c r="C881" s="614">
        <v>875</v>
      </c>
      <c r="D881" s="614">
        <v>11824</v>
      </c>
      <c r="E881" s="64" t="s">
        <v>2303</v>
      </c>
      <c r="F881" s="64" t="s">
        <v>6029</v>
      </c>
      <c r="G881" s="614" t="s">
        <v>26</v>
      </c>
      <c r="H881" s="614" t="s">
        <v>682</v>
      </c>
      <c r="I881" s="614" t="s">
        <v>1153</v>
      </c>
      <c r="J881" s="64" t="s">
        <v>3714</v>
      </c>
      <c r="K881" s="1940" t="s">
        <v>6028</v>
      </c>
      <c r="L881" s="1940" t="s">
        <v>8603</v>
      </c>
      <c r="M881" t="s">
        <v>11985</v>
      </c>
      <c r="N881" t="s">
        <v>10318</v>
      </c>
      <c r="O881" t="s">
        <v>6029</v>
      </c>
      <c r="P881" s="614">
        <f>COUNTIF(EducPlans_кодНАЦИД_Спец[аФакСец],EducPlans_кодНАЦИД_Спец[[#This Row],[аФакСец]])</f>
        <v>2</v>
      </c>
    </row>
    <row r="882" spans="3:16" x14ac:dyDescent="0.25">
      <c r="C882" s="614">
        <v>876</v>
      </c>
      <c r="D882" s="614">
        <v>11824</v>
      </c>
      <c r="E882" s="64" t="s">
        <v>2303</v>
      </c>
      <c r="F882" s="64" t="s">
        <v>6030</v>
      </c>
      <c r="G882" s="614" t="s">
        <v>26</v>
      </c>
      <c r="H882" s="614" t="s">
        <v>682</v>
      </c>
      <c r="I882" s="614" t="s">
        <v>1153</v>
      </c>
      <c r="J882" s="64" t="s">
        <v>3719</v>
      </c>
      <c r="K882" s="1940" t="s">
        <v>6028</v>
      </c>
      <c r="L882" s="1940" t="s">
        <v>8607</v>
      </c>
      <c r="M882" t="s">
        <v>11989</v>
      </c>
      <c r="N882" t="s">
        <v>10322</v>
      </c>
      <c r="O882" t="s">
        <v>6030</v>
      </c>
      <c r="P882" s="614">
        <f>COUNTIF(EducPlans_кодНАЦИД_Спец[аФакСец],EducPlans_кодНАЦИД_Спец[[#This Row],[аФакСец]])</f>
        <v>1</v>
      </c>
    </row>
    <row r="883" spans="3:16" x14ac:dyDescent="0.25">
      <c r="C883" s="614">
        <v>877</v>
      </c>
      <c r="D883" s="614">
        <v>11824</v>
      </c>
      <c r="E883" s="64" t="s">
        <v>2303</v>
      </c>
      <c r="F883" s="64" t="s">
        <v>6031</v>
      </c>
      <c r="G883" s="614" t="s">
        <v>26</v>
      </c>
      <c r="H883" s="614" t="s">
        <v>682</v>
      </c>
      <c r="I883" s="614" t="s">
        <v>1153</v>
      </c>
      <c r="J883" s="64" t="s">
        <v>3718</v>
      </c>
      <c r="K883" s="1940" t="s">
        <v>6028</v>
      </c>
      <c r="L883" s="1940" t="s">
        <v>8608</v>
      </c>
      <c r="M883" t="s">
        <v>11990</v>
      </c>
      <c r="N883" t="s">
        <v>10323</v>
      </c>
      <c r="O883" t="s">
        <v>6031</v>
      </c>
      <c r="P883" s="614">
        <f>COUNTIF(EducPlans_кодНАЦИД_Спец[аФакСец],EducPlans_кодНАЦИД_Спец[[#This Row],[аФакСец]])</f>
        <v>1</v>
      </c>
    </row>
    <row r="884" spans="3:16" x14ac:dyDescent="0.25">
      <c r="C884" s="614">
        <v>878</v>
      </c>
      <c r="D884" s="614">
        <v>11793</v>
      </c>
      <c r="E884" s="64" t="s">
        <v>2304</v>
      </c>
      <c r="F884" s="64" t="s">
        <v>6032</v>
      </c>
      <c r="G884" s="614" t="s">
        <v>26</v>
      </c>
      <c r="H884" s="614" t="s">
        <v>682</v>
      </c>
      <c r="I884" s="614" t="s">
        <v>1153</v>
      </c>
      <c r="J884" s="64" t="s">
        <v>3724</v>
      </c>
      <c r="K884" s="1940" t="s">
        <v>6033</v>
      </c>
      <c r="L884" s="1940" t="s">
        <v>8609</v>
      </c>
      <c r="M884" t="s">
        <v>11991</v>
      </c>
      <c r="N884" t="s">
        <v>10324</v>
      </c>
      <c r="O884" t="s">
        <v>6032</v>
      </c>
      <c r="P884" s="614">
        <f>COUNTIF(EducPlans_кодНАЦИД_Спец[аФакСец],EducPlans_кодНАЦИД_Спец[[#This Row],[аФакСец]])</f>
        <v>1</v>
      </c>
    </row>
    <row r="885" spans="3:16" x14ac:dyDescent="0.25">
      <c r="C885" s="614">
        <v>879</v>
      </c>
      <c r="D885" s="614">
        <v>11793</v>
      </c>
      <c r="E885" s="64" t="s">
        <v>2304</v>
      </c>
      <c r="F885" s="64" t="s">
        <v>6034</v>
      </c>
      <c r="G885" s="614" t="s">
        <v>26</v>
      </c>
      <c r="H885" s="614" t="s">
        <v>682</v>
      </c>
      <c r="I885" s="614" t="s">
        <v>1153</v>
      </c>
      <c r="J885" s="64" t="s">
        <v>3722</v>
      </c>
      <c r="K885" s="1940" t="s">
        <v>6033</v>
      </c>
      <c r="L885" s="1940" t="s">
        <v>8610</v>
      </c>
      <c r="M885" t="s">
        <v>11992</v>
      </c>
      <c r="N885" t="s">
        <v>10325</v>
      </c>
      <c r="O885" t="s">
        <v>6034</v>
      </c>
      <c r="P885" s="614">
        <f>COUNTIF(EducPlans_кодНАЦИД_Спец[аФакСец],EducPlans_кодНАЦИД_Спец[[#This Row],[аФакСец]])</f>
        <v>1</v>
      </c>
    </row>
    <row r="886" spans="3:16" x14ac:dyDescent="0.25">
      <c r="C886" s="614">
        <v>880</v>
      </c>
      <c r="D886" s="614">
        <v>11793</v>
      </c>
      <c r="E886" s="64" t="s">
        <v>2304</v>
      </c>
      <c r="F886" s="64" t="s">
        <v>6035</v>
      </c>
      <c r="G886" s="614" t="s">
        <v>26</v>
      </c>
      <c r="H886" s="614" t="s">
        <v>682</v>
      </c>
      <c r="I886" s="614" t="s">
        <v>1153</v>
      </c>
      <c r="J886" s="64" t="s">
        <v>3723</v>
      </c>
      <c r="K886" s="1940" t="s">
        <v>6033</v>
      </c>
      <c r="L886" s="1940" t="s">
        <v>8611</v>
      </c>
      <c r="M886" t="s">
        <v>11993</v>
      </c>
      <c r="N886" t="s">
        <v>10326</v>
      </c>
      <c r="O886" t="s">
        <v>6035</v>
      </c>
      <c r="P886" s="614">
        <f>COUNTIF(EducPlans_кодНАЦИД_Спец[аФакСец],EducPlans_кодНАЦИД_Спец[[#This Row],[аФакСец]])</f>
        <v>1</v>
      </c>
    </row>
    <row r="887" spans="3:16" x14ac:dyDescent="0.25">
      <c r="C887" s="614">
        <v>881</v>
      </c>
      <c r="D887" s="614">
        <v>12564</v>
      </c>
      <c r="E887" s="64" t="s">
        <v>1182</v>
      </c>
      <c r="F887" s="64" t="s">
        <v>6036</v>
      </c>
      <c r="G887" s="614" t="s">
        <v>296</v>
      </c>
      <c r="H887" s="614" t="s">
        <v>681</v>
      </c>
      <c r="I887" s="614" t="s">
        <v>1153</v>
      </c>
      <c r="J887" s="64" t="s">
        <v>3775</v>
      </c>
      <c r="K887" s="1940" t="s">
        <v>6037</v>
      </c>
      <c r="L887" s="1940" t="s">
        <v>8612</v>
      </c>
      <c r="M887" t="s">
        <v>11994</v>
      </c>
      <c r="N887" t="s">
        <v>10327</v>
      </c>
      <c r="O887" t="s">
        <v>6036</v>
      </c>
      <c r="P887" s="614">
        <f>COUNTIF(EducPlans_кодНАЦИД_Спец[аФакСец],EducPlans_кодНАЦИД_Спец[[#This Row],[аФакСец]])</f>
        <v>1</v>
      </c>
    </row>
    <row r="888" spans="3:16" x14ac:dyDescent="0.25">
      <c r="C888" s="614">
        <v>882</v>
      </c>
      <c r="D888" s="614">
        <v>12658</v>
      </c>
      <c r="E888" s="64" t="s">
        <v>1182</v>
      </c>
      <c r="F888" s="64" t="s">
        <v>6038</v>
      </c>
      <c r="G888" s="614" t="s">
        <v>296</v>
      </c>
      <c r="H888" s="614" t="s">
        <v>682</v>
      </c>
      <c r="I888" s="614" t="s">
        <v>1153</v>
      </c>
      <c r="J888" s="64" t="s">
        <v>6039</v>
      </c>
      <c r="K888" s="1940" t="s">
        <v>6040</v>
      </c>
      <c r="L888" s="1940" t="s">
        <v>8613</v>
      </c>
      <c r="M888" t="s">
        <v>11995</v>
      </c>
      <c r="N888" t="s">
        <v>10328</v>
      </c>
      <c r="O888" t="s">
        <v>6038</v>
      </c>
      <c r="P888" s="614">
        <f>COUNTIF(EducPlans_кодНАЦИД_Спец[аФакСец],EducPlans_кодНАЦИД_Спец[[#This Row],[аФакСец]])</f>
        <v>1</v>
      </c>
    </row>
    <row r="889" spans="3:16" x14ac:dyDescent="0.25">
      <c r="C889" s="614">
        <v>883</v>
      </c>
      <c r="D889" s="614">
        <v>12658</v>
      </c>
      <c r="E889" s="64" t="s">
        <v>1182</v>
      </c>
      <c r="F889" s="64" t="s">
        <v>6041</v>
      </c>
      <c r="G889" s="614" t="s">
        <v>296</v>
      </c>
      <c r="H889" s="614" t="s">
        <v>682</v>
      </c>
      <c r="I889" s="614" t="s">
        <v>1153</v>
      </c>
      <c r="J889" s="64" t="s">
        <v>6042</v>
      </c>
      <c r="K889" s="1940" t="s">
        <v>6040</v>
      </c>
      <c r="L889" s="1940" t="s">
        <v>8614</v>
      </c>
      <c r="M889" t="s">
        <v>11996</v>
      </c>
      <c r="N889" t="s">
        <v>10329</v>
      </c>
      <c r="O889" t="s">
        <v>6041</v>
      </c>
      <c r="P889" s="614">
        <f>COUNTIF(EducPlans_кодНАЦИД_Спец[аФакСец],EducPlans_кодНАЦИД_Спец[[#This Row],[аФакСец]])</f>
        <v>1</v>
      </c>
    </row>
    <row r="890" spans="3:16" x14ac:dyDescent="0.25">
      <c r="C890" s="614">
        <v>884</v>
      </c>
      <c r="D890" s="614">
        <v>12658</v>
      </c>
      <c r="E890" s="64" t="s">
        <v>1182</v>
      </c>
      <c r="F890" s="64" t="s">
        <v>6043</v>
      </c>
      <c r="G890" s="614" t="s">
        <v>296</v>
      </c>
      <c r="H890" s="614" t="s">
        <v>682</v>
      </c>
      <c r="I890" s="614" t="s">
        <v>1153</v>
      </c>
      <c r="J890" s="64" t="s">
        <v>6044</v>
      </c>
      <c r="K890" s="1940" t="s">
        <v>6040</v>
      </c>
      <c r="L890" s="1940" t="s">
        <v>8615</v>
      </c>
      <c r="M890" t="s">
        <v>11997</v>
      </c>
      <c r="N890" t="s">
        <v>10330</v>
      </c>
      <c r="O890" t="s">
        <v>6043</v>
      </c>
      <c r="P890" s="614">
        <f>COUNTIF(EducPlans_кодНАЦИД_Спец[аФакСец],EducPlans_кодНАЦИД_Спец[[#This Row],[аФакСец]])</f>
        <v>1</v>
      </c>
    </row>
    <row r="891" spans="3:16" x14ac:dyDescent="0.25">
      <c r="C891" s="614">
        <v>885</v>
      </c>
      <c r="D891" s="614">
        <v>12658</v>
      </c>
      <c r="E891" s="64" t="s">
        <v>1182</v>
      </c>
      <c r="F891" s="64" t="s">
        <v>6045</v>
      </c>
      <c r="G891" s="614" t="s">
        <v>296</v>
      </c>
      <c r="H891" s="614" t="s">
        <v>682</v>
      </c>
      <c r="I891" s="614" t="s">
        <v>1153</v>
      </c>
      <c r="J891" s="64" t="s">
        <v>6046</v>
      </c>
      <c r="K891" s="1940" t="s">
        <v>6040</v>
      </c>
      <c r="L891" s="1940" t="s">
        <v>8616</v>
      </c>
      <c r="M891" t="s">
        <v>11998</v>
      </c>
      <c r="N891" t="s">
        <v>10331</v>
      </c>
      <c r="O891" t="s">
        <v>6045</v>
      </c>
      <c r="P891" s="614">
        <f>COUNTIF(EducPlans_кодНАЦИД_Спец[аФакСец],EducPlans_кодНАЦИД_Спец[[#This Row],[аФакСец]])</f>
        <v>1</v>
      </c>
    </row>
    <row r="892" spans="3:16" x14ac:dyDescent="0.25">
      <c r="C892" s="614">
        <v>886</v>
      </c>
      <c r="D892" s="614">
        <v>12658</v>
      </c>
      <c r="E892" s="64" t="s">
        <v>1182</v>
      </c>
      <c r="F892" s="64" t="s">
        <v>6047</v>
      </c>
      <c r="G892" s="614" t="s">
        <v>296</v>
      </c>
      <c r="H892" s="614" t="s">
        <v>682</v>
      </c>
      <c r="I892" s="614" t="s">
        <v>1153</v>
      </c>
      <c r="J892" s="64" t="s">
        <v>6048</v>
      </c>
      <c r="K892" s="1940" t="s">
        <v>6040</v>
      </c>
      <c r="L892" s="1940" t="s">
        <v>8617</v>
      </c>
      <c r="M892" t="s">
        <v>11999</v>
      </c>
      <c r="N892" t="s">
        <v>10332</v>
      </c>
      <c r="O892" t="s">
        <v>6047</v>
      </c>
      <c r="P892" s="614">
        <f>COUNTIF(EducPlans_кодНАЦИД_Спец[аФакСец],EducPlans_кодНАЦИД_Спец[[#This Row],[аФакСец]])</f>
        <v>1</v>
      </c>
    </row>
    <row r="893" spans="3:16" x14ac:dyDescent="0.25">
      <c r="C893" s="614">
        <v>887</v>
      </c>
      <c r="D893" s="614">
        <v>12660</v>
      </c>
      <c r="E893" s="64" t="s">
        <v>1183</v>
      </c>
      <c r="F893" s="64" t="s">
        <v>6049</v>
      </c>
      <c r="G893" s="614" t="s">
        <v>296</v>
      </c>
      <c r="H893" s="614" t="s">
        <v>682</v>
      </c>
      <c r="I893" s="614" t="s">
        <v>1153</v>
      </c>
      <c r="J893" s="64" t="s">
        <v>3779</v>
      </c>
      <c r="K893" s="1940" t="s">
        <v>6050</v>
      </c>
      <c r="L893" s="1940" t="s">
        <v>8618</v>
      </c>
      <c r="M893" t="s">
        <v>12000</v>
      </c>
      <c r="N893" t="s">
        <v>10333</v>
      </c>
      <c r="O893" t="s">
        <v>6049</v>
      </c>
      <c r="P893" s="614">
        <f>COUNTIF(EducPlans_кодНАЦИД_Спец[аФакСец],EducPlans_кодНАЦИД_Спец[[#This Row],[аФакСец]])</f>
        <v>1</v>
      </c>
    </row>
    <row r="894" spans="3:16" x14ac:dyDescent="0.25">
      <c r="C894" s="614">
        <v>888</v>
      </c>
      <c r="D894" s="614">
        <v>12660</v>
      </c>
      <c r="E894" s="64" t="s">
        <v>1183</v>
      </c>
      <c r="F894" s="64" t="s">
        <v>6051</v>
      </c>
      <c r="G894" s="614" t="s">
        <v>296</v>
      </c>
      <c r="H894" s="614" t="s">
        <v>682</v>
      </c>
      <c r="I894" s="614" t="s">
        <v>1153</v>
      </c>
      <c r="J894" s="64" t="s">
        <v>3781</v>
      </c>
      <c r="K894" s="1940" t="s">
        <v>6050</v>
      </c>
      <c r="L894" s="1940" t="s">
        <v>8619</v>
      </c>
      <c r="M894" t="s">
        <v>12001</v>
      </c>
      <c r="N894" t="s">
        <v>10334</v>
      </c>
      <c r="O894" t="s">
        <v>6051</v>
      </c>
      <c r="P894" s="614">
        <f>COUNTIF(EducPlans_кодНАЦИД_Спец[аФакСец],EducPlans_кодНАЦИД_Спец[[#This Row],[аФакСец]])</f>
        <v>1</v>
      </c>
    </row>
    <row r="895" spans="3:16" x14ac:dyDescent="0.25">
      <c r="C895" s="614">
        <v>889</v>
      </c>
      <c r="D895" s="614">
        <v>12660</v>
      </c>
      <c r="E895" s="64" t="s">
        <v>1183</v>
      </c>
      <c r="F895" s="64" t="s">
        <v>6052</v>
      </c>
      <c r="G895" s="614" t="s">
        <v>296</v>
      </c>
      <c r="H895" s="614" t="s">
        <v>682</v>
      </c>
      <c r="I895" s="614" t="s">
        <v>1153</v>
      </c>
      <c r="J895" s="64" t="s">
        <v>3780</v>
      </c>
      <c r="K895" s="1940" t="s">
        <v>6050</v>
      </c>
      <c r="L895" s="1940" t="s">
        <v>8620</v>
      </c>
      <c r="M895" t="s">
        <v>12002</v>
      </c>
      <c r="N895" t="s">
        <v>10335</v>
      </c>
      <c r="O895" t="s">
        <v>6052</v>
      </c>
      <c r="P895" s="614">
        <f>COUNTIF(EducPlans_кодНАЦИД_Спец[аФакСец],EducPlans_кодНАЦИД_Спец[[#This Row],[аФакСец]])</f>
        <v>1</v>
      </c>
    </row>
    <row r="896" spans="3:16" x14ac:dyDescent="0.25">
      <c r="C896" s="614">
        <v>890</v>
      </c>
      <c r="D896" s="614">
        <v>12662</v>
      </c>
      <c r="E896" s="64" t="s">
        <v>1183</v>
      </c>
      <c r="F896" s="64" t="s">
        <v>6053</v>
      </c>
      <c r="G896" s="614" t="s">
        <v>296</v>
      </c>
      <c r="H896" s="614" t="s">
        <v>682</v>
      </c>
      <c r="I896" s="614" t="s">
        <v>1149</v>
      </c>
      <c r="J896" s="64" t="s">
        <v>3777</v>
      </c>
      <c r="K896" s="1940" t="s">
        <v>6054</v>
      </c>
      <c r="L896" s="1940" t="s">
        <v>8621</v>
      </c>
      <c r="M896" t="s">
        <v>12003</v>
      </c>
      <c r="N896" t="s">
        <v>10336</v>
      </c>
      <c r="O896" t="s">
        <v>6053</v>
      </c>
      <c r="P896" s="614">
        <f>COUNTIF(EducPlans_кодНАЦИД_Спец[аФакСец],EducPlans_кодНАЦИД_Спец[[#This Row],[аФакСец]])</f>
        <v>1</v>
      </c>
    </row>
    <row r="897" spans="3:16" x14ac:dyDescent="0.25">
      <c r="C897" s="614">
        <v>891</v>
      </c>
      <c r="D897" s="614">
        <v>12662</v>
      </c>
      <c r="E897" s="64" t="s">
        <v>1183</v>
      </c>
      <c r="F897" s="64" t="s">
        <v>6055</v>
      </c>
      <c r="G897" s="614" t="s">
        <v>296</v>
      </c>
      <c r="H897" s="614" t="s">
        <v>682</v>
      </c>
      <c r="I897" s="614" t="s">
        <v>1149</v>
      </c>
      <c r="J897" s="64" t="s">
        <v>3776</v>
      </c>
      <c r="K897" s="1940" t="s">
        <v>6054</v>
      </c>
      <c r="L897" s="1940" t="s">
        <v>8622</v>
      </c>
      <c r="M897" t="s">
        <v>12004</v>
      </c>
      <c r="N897" t="s">
        <v>10337</v>
      </c>
      <c r="O897" t="s">
        <v>6055</v>
      </c>
      <c r="P897" s="614">
        <f>COUNTIF(EducPlans_кодНАЦИД_Спец[аФакСец],EducPlans_кодНАЦИД_Спец[[#This Row],[аФакСец]])</f>
        <v>1</v>
      </c>
    </row>
    <row r="898" spans="3:16" x14ac:dyDescent="0.25">
      <c r="C898" s="614">
        <v>892</v>
      </c>
      <c r="D898" s="614">
        <v>12662</v>
      </c>
      <c r="E898" s="64" t="s">
        <v>1183</v>
      </c>
      <c r="F898" s="64" t="s">
        <v>6056</v>
      </c>
      <c r="G898" s="614" t="s">
        <v>296</v>
      </c>
      <c r="H898" s="614" t="s">
        <v>682</v>
      </c>
      <c r="I898" s="614" t="s">
        <v>1149</v>
      </c>
      <c r="J898" s="64" t="s">
        <v>3778</v>
      </c>
      <c r="K898" s="1940" t="s">
        <v>6054</v>
      </c>
      <c r="L898" s="1940" t="s">
        <v>8623</v>
      </c>
      <c r="M898" t="s">
        <v>12005</v>
      </c>
      <c r="N898" t="s">
        <v>10338</v>
      </c>
      <c r="O898" t="s">
        <v>6056</v>
      </c>
      <c r="P898" s="614">
        <f>COUNTIF(EducPlans_кодНАЦИД_Спец[аФакСец],EducPlans_кодНАЦИД_Спец[[#This Row],[аФакСец]])</f>
        <v>1</v>
      </c>
    </row>
    <row r="899" spans="3:16" x14ac:dyDescent="0.25">
      <c r="C899" s="614">
        <v>893</v>
      </c>
      <c r="D899" s="614">
        <v>12664</v>
      </c>
      <c r="E899" s="64" t="s">
        <v>1184</v>
      </c>
      <c r="F899" s="64" t="s">
        <v>6057</v>
      </c>
      <c r="G899" s="614" t="s">
        <v>296</v>
      </c>
      <c r="H899" s="614" t="s">
        <v>682</v>
      </c>
      <c r="I899" s="614" t="s">
        <v>1153</v>
      </c>
      <c r="J899" s="64" t="s">
        <v>3786</v>
      </c>
      <c r="K899" s="1940" t="s">
        <v>6058</v>
      </c>
      <c r="L899" s="1940" t="s">
        <v>8624</v>
      </c>
      <c r="M899" t="s">
        <v>12006</v>
      </c>
      <c r="N899" t="s">
        <v>10339</v>
      </c>
      <c r="O899" t="s">
        <v>6057</v>
      </c>
      <c r="P899" s="614">
        <f>COUNTIF(EducPlans_кодНАЦИД_Спец[аФакСец],EducPlans_кодНАЦИД_Спец[[#This Row],[аФакСец]])</f>
        <v>1</v>
      </c>
    </row>
    <row r="900" spans="3:16" x14ac:dyDescent="0.25">
      <c r="C900" s="614">
        <v>894</v>
      </c>
      <c r="D900" s="614">
        <v>12664</v>
      </c>
      <c r="E900" s="64" t="s">
        <v>1184</v>
      </c>
      <c r="F900" s="64" t="s">
        <v>6059</v>
      </c>
      <c r="G900" s="614" t="s">
        <v>296</v>
      </c>
      <c r="H900" s="614" t="s">
        <v>682</v>
      </c>
      <c r="I900" s="614" t="s">
        <v>1153</v>
      </c>
      <c r="J900" s="64" t="s">
        <v>3785</v>
      </c>
      <c r="K900" s="1940" t="s">
        <v>6058</v>
      </c>
      <c r="L900" s="1940" t="s">
        <v>8625</v>
      </c>
      <c r="M900" t="s">
        <v>12007</v>
      </c>
      <c r="N900" t="s">
        <v>10340</v>
      </c>
      <c r="O900" t="s">
        <v>6059</v>
      </c>
      <c r="P900" s="614">
        <f>COUNTIF(EducPlans_кодНАЦИД_Спец[аФакСец],EducPlans_кодНАЦИД_Спец[[#This Row],[аФакСец]])</f>
        <v>1</v>
      </c>
    </row>
    <row r="901" spans="3:16" x14ac:dyDescent="0.25">
      <c r="C901" s="614">
        <v>895</v>
      </c>
      <c r="D901" s="614">
        <v>12665</v>
      </c>
      <c r="E901" s="64" t="s">
        <v>1184</v>
      </c>
      <c r="F901" s="64" t="s">
        <v>6060</v>
      </c>
      <c r="G901" s="614" t="s">
        <v>296</v>
      </c>
      <c r="H901" s="614" t="s">
        <v>682</v>
      </c>
      <c r="I901" s="614" t="s">
        <v>1149</v>
      </c>
      <c r="J901" s="64" t="s">
        <v>3783</v>
      </c>
      <c r="K901" s="1940" t="s">
        <v>6061</v>
      </c>
      <c r="L901" s="1940" t="s">
        <v>8626</v>
      </c>
      <c r="M901" t="s">
        <v>12008</v>
      </c>
      <c r="N901" t="s">
        <v>10341</v>
      </c>
      <c r="O901" t="s">
        <v>6060</v>
      </c>
      <c r="P901" s="614">
        <f>COUNTIF(EducPlans_кодНАЦИД_Спец[аФакСец],EducPlans_кодНАЦИД_Спец[[#This Row],[аФакСец]])</f>
        <v>1</v>
      </c>
    </row>
    <row r="902" spans="3:16" x14ac:dyDescent="0.25">
      <c r="C902" s="614">
        <v>896</v>
      </c>
      <c r="D902" s="614">
        <v>12823</v>
      </c>
      <c r="E902" s="64" t="s">
        <v>2010</v>
      </c>
      <c r="F902" s="64" t="s">
        <v>6062</v>
      </c>
      <c r="G902" s="614" t="s">
        <v>626</v>
      </c>
      <c r="H902" s="614" t="s">
        <v>682</v>
      </c>
      <c r="I902" s="614" t="s">
        <v>1153</v>
      </c>
      <c r="J902" s="64" t="s">
        <v>3340</v>
      </c>
      <c r="K902" s="1940" t="s">
        <v>6063</v>
      </c>
      <c r="L902" s="1940" t="s">
        <v>8627</v>
      </c>
      <c r="M902" t="s">
        <v>12009</v>
      </c>
      <c r="N902" t="s">
        <v>10342</v>
      </c>
      <c r="O902" t="s">
        <v>6062</v>
      </c>
      <c r="P902" s="614">
        <f>COUNTIF(EducPlans_кодНАЦИД_Спец[аФакСец],EducPlans_кодНАЦИД_Спец[[#This Row],[аФакСец]])</f>
        <v>1</v>
      </c>
    </row>
    <row r="903" spans="3:16" x14ac:dyDescent="0.25">
      <c r="C903" s="614">
        <v>897</v>
      </c>
      <c r="D903" s="614">
        <v>12828</v>
      </c>
      <c r="E903" s="64" t="s">
        <v>2010</v>
      </c>
      <c r="F903" s="64" t="s">
        <v>6064</v>
      </c>
      <c r="G903" s="614" t="s">
        <v>626</v>
      </c>
      <c r="H903" s="614" t="s">
        <v>682</v>
      </c>
      <c r="I903" s="614" t="s">
        <v>1153</v>
      </c>
      <c r="J903" s="64" t="s">
        <v>3339</v>
      </c>
      <c r="K903" s="1940" t="s">
        <v>6065</v>
      </c>
      <c r="L903" s="1940" t="s">
        <v>8628</v>
      </c>
      <c r="M903" t="s">
        <v>12010</v>
      </c>
      <c r="N903" t="s">
        <v>10343</v>
      </c>
      <c r="O903" t="s">
        <v>6064</v>
      </c>
      <c r="P903" s="614">
        <f>COUNTIF(EducPlans_кодНАЦИД_Спец[аФакСец],EducPlans_кодНАЦИД_Спец[[#This Row],[аФакСец]])</f>
        <v>1</v>
      </c>
    </row>
    <row r="904" spans="3:16" x14ac:dyDescent="0.25">
      <c r="C904" s="614">
        <v>898</v>
      </c>
      <c r="D904" s="614">
        <v>11703</v>
      </c>
      <c r="E904" s="64" t="s">
        <v>248</v>
      </c>
      <c r="F904" s="64" t="s">
        <v>6066</v>
      </c>
      <c r="G904" s="614" t="s">
        <v>26</v>
      </c>
      <c r="H904" s="614" t="s">
        <v>681</v>
      </c>
      <c r="I904" s="614" t="s">
        <v>1153</v>
      </c>
      <c r="J904" s="64" t="s">
        <v>3725</v>
      </c>
      <c r="K904" s="1940" t="s">
        <v>6067</v>
      </c>
      <c r="L904" s="1940" t="s">
        <v>8629</v>
      </c>
      <c r="M904" t="s">
        <v>12011</v>
      </c>
      <c r="N904" t="s">
        <v>10344</v>
      </c>
      <c r="O904" t="s">
        <v>6066</v>
      </c>
      <c r="P904" s="614">
        <f>COUNTIF(EducPlans_кодНАЦИД_Спец[аФакСец],EducPlans_кодНАЦИД_Спец[[#This Row],[аФакСец]])</f>
        <v>1</v>
      </c>
    </row>
    <row r="905" spans="3:16" x14ac:dyDescent="0.25">
      <c r="C905" s="614">
        <v>899</v>
      </c>
      <c r="D905" s="614">
        <v>11703</v>
      </c>
      <c r="E905" s="64" t="s">
        <v>248</v>
      </c>
      <c r="F905" s="64" t="s">
        <v>6068</v>
      </c>
      <c r="G905" s="614" t="s">
        <v>26</v>
      </c>
      <c r="H905" s="614" t="s">
        <v>681</v>
      </c>
      <c r="I905" s="614" t="s">
        <v>1153</v>
      </c>
      <c r="J905" s="64" t="s">
        <v>3726</v>
      </c>
      <c r="K905" s="1940" t="s">
        <v>6067</v>
      </c>
      <c r="L905" s="1940" t="s">
        <v>8630</v>
      </c>
      <c r="M905" t="s">
        <v>12012</v>
      </c>
      <c r="N905" t="s">
        <v>10345</v>
      </c>
      <c r="O905" t="s">
        <v>6068</v>
      </c>
      <c r="P905" s="614">
        <f>COUNTIF(EducPlans_кодНАЦИД_Спец[аФакСец],EducPlans_кодНАЦИД_Спец[[#This Row],[аФакСец]])</f>
        <v>1</v>
      </c>
    </row>
    <row r="906" spans="3:16" x14ac:dyDescent="0.25">
      <c r="C906" s="614">
        <v>900</v>
      </c>
      <c r="D906" s="614">
        <v>11694</v>
      </c>
      <c r="E906" s="64" t="s">
        <v>1292</v>
      </c>
      <c r="F906" s="64" t="s">
        <v>6069</v>
      </c>
      <c r="G906" s="614" t="s">
        <v>26</v>
      </c>
      <c r="H906" s="614" t="s">
        <v>681</v>
      </c>
      <c r="I906" s="614" t="s">
        <v>1153</v>
      </c>
      <c r="J906" s="64" t="s">
        <v>2902</v>
      </c>
      <c r="K906" s="1940" t="s">
        <v>6070</v>
      </c>
      <c r="L906" s="1940" t="s">
        <v>8631</v>
      </c>
      <c r="M906" t="s">
        <v>12013</v>
      </c>
      <c r="N906" t="s">
        <v>10346</v>
      </c>
      <c r="O906" t="s">
        <v>6069</v>
      </c>
      <c r="P906" s="614">
        <f>COUNTIF(EducPlans_кодНАЦИД_Спец[аФакСец],EducPlans_кодНАЦИД_Спец[[#This Row],[аФакСец]])</f>
        <v>1</v>
      </c>
    </row>
    <row r="907" spans="3:16" x14ac:dyDescent="0.25">
      <c r="C907" s="614">
        <v>901</v>
      </c>
      <c r="D907" s="614">
        <v>11694</v>
      </c>
      <c r="E907" s="64" t="s">
        <v>1292</v>
      </c>
      <c r="F907" s="64" t="s">
        <v>6071</v>
      </c>
      <c r="G907" s="614" t="s">
        <v>26</v>
      </c>
      <c r="H907" s="614" t="s">
        <v>681</v>
      </c>
      <c r="I907" s="614" t="s">
        <v>1153</v>
      </c>
      <c r="J907" s="64" t="s">
        <v>3729</v>
      </c>
      <c r="K907" s="1940" t="s">
        <v>6070</v>
      </c>
      <c r="L907" s="1940" t="s">
        <v>8632</v>
      </c>
      <c r="M907" t="s">
        <v>12014</v>
      </c>
      <c r="N907" t="s">
        <v>10347</v>
      </c>
      <c r="O907" t="s">
        <v>6071</v>
      </c>
      <c r="P907" s="614">
        <f>COUNTIF(EducPlans_кодНАЦИД_Спец[аФакСец],EducPlans_кодНАЦИД_Спец[[#This Row],[аФакСец]])</f>
        <v>1</v>
      </c>
    </row>
    <row r="908" spans="3:16" x14ac:dyDescent="0.25">
      <c r="C908" s="614">
        <v>902</v>
      </c>
      <c r="D908" s="614">
        <v>11696</v>
      </c>
      <c r="E908" s="64" t="s">
        <v>1292</v>
      </c>
      <c r="F908" s="64" t="s">
        <v>6072</v>
      </c>
      <c r="G908" s="614" t="s">
        <v>26</v>
      </c>
      <c r="H908" s="614" t="s">
        <v>681</v>
      </c>
      <c r="I908" s="614" t="s">
        <v>1149</v>
      </c>
      <c r="J908" s="64" t="s">
        <v>3728</v>
      </c>
      <c r="K908" s="1940" t="s">
        <v>6073</v>
      </c>
      <c r="L908" s="1940" t="s">
        <v>8633</v>
      </c>
      <c r="M908" t="s">
        <v>12015</v>
      </c>
      <c r="N908" t="s">
        <v>10348</v>
      </c>
      <c r="O908" t="s">
        <v>6072</v>
      </c>
      <c r="P908" s="614">
        <f>COUNTIF(EducPlans_кодНАЦИД_Спец[аФакСец],EducPlans_кодНАЦИД_Спец[[#This Row],[аФакСец]])</f>
        <v>1</v>
      </c>
    </row>
    <row r="909" spans="3:16" x14ac:dyDescent="0.25">
      <c r="C909" s="614">
        <v>903</v>
      </c>
      <c r="D909" s="614">
        <v>11696</v>
      </c>
      <c r="E909" s="64" t="s">
        <v>1292</v>
      </c>
      <c r="F909" s="64" t="s">
        <v>6074</v>
      </c>
      <c r="G909" s="614" t="s">
        <v>26</v>
      </c>
      <c r="H909" s="614" t="s">
        <v>681</v>
      </c>
      <c r="I909" s="614" t="s">
        <v>1149</v>
      </c>
      <c r="J909" s="64" t="s">
        <v>3727</v>
      </c>
      <c r="K909" s="1940" t="s">
        <v>6073</v>
      </c>
      <c r="L909" s="1940" t="s">
        <v>8634</v>
      </c>
      <c r="M909" t="s">
        <v>12016</v>
      </c>
      <c r="N909" t="s">
        <v>10349</v>
      </c>
      <c r="O909" t="s">
        <v>6074</v>
      </c>
      <c r="P909" s="614">
        <f>COUNTIF(EducPlans_кодНАЦИД_Спец[аФакСец],EducPlans_кодНАЦИД_Спец[[#This Row],[аФакСец]])</f>
        <v>1</v>
      </c>
    </row>
    <row r="910" spans="3:16" x14ac:dyDescent="0.25">
      <c r="C910" s="614">
        <v>904</v>
      </c>
      <c r="D910" s="614">
        <v>11782</v>
      </c>
      <c r="E910" s="64" t="s">
        <v>2306</v>
      </c>
      <c r="F910" s="64" t="s">
        <v>6075</v>
      </c>
      <c r="G910" s="614" t="s">
        <v>26</v>
      </c>
      <c r="H910" s="614" t="s">
        <v>682</v>
      </c>
      <c r="I910" s="614" t="s">
        <v>1153</v>
      </c>
      <c r="J910" s="64" t="s">
        <v>6076</v>
      </c>
      <c r="K910" s="1940" t="s">
        <v>6077</v>
      </c>
      <c r="L910" s="1940" t="s">
        <v>8635</v>
      </c>
      <c r="M910" t="s">
        <v>12017</v>
      </c>
      <c r="N910" t="s">
        <v>10350</v>
      </c>
      <c r="O910" t="s">
        <v>6075</v>
      </c>
      <c r="P910" s="614">
        <f>COUNTIF(EducPlans_кодНАЦИД_Спец[аФакСец],EducPlans_кодНАЦИД_Спец[[#This Row],[аФакСец]])</f>
        <v>1</v>
      </c>
    </row>
    <row r="911" spans="3:16" x14ac:dyDescent="0.25">
      <c r="C911" s="614">
        <v>905</v>
      </c>
      <c r="D911" s="614">
        <v>11782</v>
      </c>
      <c r="E911" s="64" t="s">
        <v>2306</v>
      </c>
      <c r="F911" s="64" t="s">
        <v>6078</v>
      </c>
      <c r="G911" s="614" t="s">
        <v>26</v>
      </c>
      <c r="H911" s="614" t="s">
        <v>682</v>
      </c>
      <c r="I911" s="614" t="s">
        <v>1153</v>
      </c>
      <c r="J911" s="64" t="s">
        <v>6079</v>
      </c>
      <c r="K911" s="1940" t="s">
        <v>6077</v>
      </c>
      <c r="L911" s="1940" t="s">
        <v>8636</v>
      </c>
      <c r="M911" t="s">
        <v>12018</v>
      </c>
      <c r="N911" t="s">
        <v>10351</v>
      </c>
      <c r="O911" t="s">
        <v>6078</v>
      </c>
      <c r="P911" s="614">
        <f>COUNTIF(EducPlans_кодНАЦИД_Спец[аФакСец],EducPlans_кодНАЦИД_Спец[[#This Row],[аФакСец]])</f>
        <v>1</v>
      </c>
    </row>
    <row r="912" spans="3:16" x14ac:dyDescent="0.25">
      <c r="C912" s="614">
        <v>906</v>
      </c>
      <c r="D912" s="614">
        <v>11782</v>
      </c>
      <c r="E912" s="64" t="s">
        <v>2306</v>
      </c>
      <c r="F912" s="64" t="s">
        <v>6080</v>
      </c>
      <c r="G912" s="614" t="s">
        <v>26</v>
      </c>
      <c r="H912" s="614" t="s">
        <v>682</v>
      </c>
      <c r="I912" s="614" t="s">
        <v>1153</v>
      </c>
      <c r="J912" s="64" t="s">
        <v>6081</v>
      </c>
      <c r="K912" s="1940" t="s">
        <v>6077</v>
      </c>
      <c r="L912" s="1940" t="s">
        <v>8637</v>
      </c>
      <c r="M912" t="s">
        <v>12019</v>
      </c>
      <c r="N912" t="s">
        <v>10352</v>
      </c>
      <c r="O912" t="s">
        <v>6080</v>
      </c>
      <c r="P912" s="614">
        <f>COUNTIF(EducPlans_кодНАЦИД_Спец[аФакСец],EducPlans_кодНАЦИД_Спец[[#This Row],[аФакСец]])</f>
        <v>1</v>
      </c>
    </row>
    <row r="913" spans="3:16" x14ac:dyDescent="0.25">
      <c r="C913" s="614">
        <v>907</v>
      </c>
      <c r="D913" s="614">
        <v>11797</v>
      </c>
      <c r="E913" s="64" t="s">
        <v>2307</v>
      </c>
      <c r="F913" s="64" t="s">
        <v>6082</v>
      </c>
      <c r="G913" s="614" t="s">
        <v>26</v>
      </c>
      <c r="H913" s="614" t="s">
        <v>682</v>
      </c>
      <c r="I913" s="614" t="s">
        <v>1153</v>
      </c>
      <c r="J913" s="64" t="s">
        <v>3734</v>
      </c>
      <c r="K913" s="1940" t="s">
        <v>6083</v>
      </c>
      <c r="L913" s="1940" t="s">
        <v>8638</v>
      </c>
      <c r="M913" t="s">
        <v>12020</v>
      </c>
      <c r="N913" t="s">
        <v>10353</v>
      </c>
      <c r="O913" t="s">
        <v>6082</v>
      </c>
      <c r="P913" s="614">
        <f>COUNTIF(EducPlans_кодНАЦИД_Спец[аФакСец],EducPlans_кодНАЦИД_Спец[[#This Row],[аФакСец]])</f>
        <v>1</v>
      </c>
    </row>
    <row r="914" spans="3:16" x14ac:dyDescent="0.25">
      <c r="C914" s="614">
        <v>908</v>
      </c>
      <c r="D914" s="614">
        <v>11797</v>
      </c>
      <c r="E914" s="64" t="s">
        <v>2307</v>
      </c>
      <c r="F914" s="64" t="s">
        <v>6084</v>
      </c>
      <c r="G914" s="614" t="s">
        <v>26</v>
      </c>
      <c r="H914" s="614" t="s">
        <v>682</v>
      </c>
      <c r="I914" s="614" t="s">
        <v>1153</v>
      </c>
      <c r="J914" s="64" t="s">
        <v>3731</v>
      </c>
      <c r="K914" s="1940" t="s">
        <v>6083</v>
      </c>
      <c r="L914" s="1940" t="s">
        <v>8639</v>
      </c>
      <c r="M914" t="s">
        <v>12021</v>
      </c>
      <c r="N914" t="s">
        <v>10354</v>
      </c>
      <c r="O914" t="s">
        <v>6084</v>
      </c>
      <c r="P914" s="614">
        <f>COUNTIF(EducPlans_кодНАЦИД_Спец[аФакСец],EducPlans_кодНАЦИД_Спец[[#This Row],[аФакСец]])</f>
        <v>1</v>
      </c>
    </row>
    <row r="915" spans="3:16" x14ac:dyDescent="0.25">
      <c r="C915" s="614">
        <v>909</v>
      </c>
      <c r="D915" s="614">
        <v>11797</v>
      </c>
      <c r="E915" s="64" t="s">
        <v>2307</v>
      </c>
      <c r="F915" s="64" t="s">
        <v>6085</v>
      </c>
      <c r="G915" s="614" t="s">
        <v>26</v>
      </c>
      <c r="H915" s="614" t="s">
        <v>682</v>
      </c>
      <c r="I915" s="614" t="s">
        <v>1153</v>
      </c>
      <c r="J915" s="64" t="s">
        <v>3733</v>
      </c>
      <c r="K915" s="1940" t="s">
        <v>6083</v>
      </c>
      <c r="L915" s="1940" t="s">
        <v>8640</v>
      </c>
      <c r="M915" t="s">
        <v>12022</v>
      </c>
      <c r="N915" t="s">
        <v>10355</v>
      </c>
      <c r="O915" t="s">
        <v>6085</v>
      </c>
      <c r="P915" s="614">
        <f>COUNTIF(EducPlans_кодНАЦИД_Спец[аФакСец],EducPlans_кодНАЦИД_Спец[[#This Row],[аФакСец]])</f>
        <v>1</v>
      </c>
    </row>
    <row r="916" spans="3:16" x14ac:dyDescent="0.25">
      <c r="C916" s="614">
        <v>910</v>
      </c>
      <c r="D916" s="614">
        <v>11810</v>
      </c>
      <c r="E916" s="64" t="s">
        <v>2307</v>
      </c>
      <c r="F916" s="64" t="s">
        <v>6086</v>
      </c>
      <c r="G916" s="614" t="s">
        <v>26</v>
      </c>
      <c r="H916" s="614" t="s">
        <v>682</v>
      </c>
      <c r="I916" s="614" t="s">
        <v>1153</v>
      </c>
      <c r="J916" s="64" t="s">
        <v>3732</v>
      </c>
      <c r="K916" s="1940" t="s">
        <v>6087</v>
      </c>
      <c r="L916" s="1940" t="s">
        <v>8641</v>
      </c>
      <c r="M916" t="s">
        <v>12023</v>
      </c>
      <c r="N916" t="s">
        <v>10356</v>
      </c>
      <c r="O916" t="s">
        <v>6086</v>
      </c>
      <c r="P916" s="614">
        <f>COUNTIF(EducPlans_кодНАЦИД_Спец[аФакСец],EducPlans_кодНАЦИД_Спец[[#This Row],[аФакСец]])</f>
        <v>1</v>
      </c>
    </row>
    <row r="917" spans="3:16" x14ac:dyDescent="0.25">
      <c r="C917" s="614">
        <v>911</v>
      </c>
      <c r="D917" s="614">
        <v>11798</v>
      </c>
      <c r="E917" s="64" t="s">
        <v>2307</v>
      </c>
      <c r="F917" s="64" t="s">
        <v>6088</v>
      </c>
      <c r="G917" s="614" t="s">
        <v>26</v>
      </c>
      <c r="H917" s="614" t="s">
        <v>682</v>
      </c>
      <c r="I917" s="614" t="s">
        <v>1149</v>
      </c>
      <c r="J917" s="64" t="s">
        <v>6089</v>
      </c>
      <c r="K917" s="1940" t="s">
        <v>6090</v>
      </c>
      <c r="L917" s="1940" t="s">
        <v>8642</v>
      </c>
      <c r="M917" t="s">
        <v>12024</v>
      </c>
      <c r="N917" t="s">
        <v>10357</v>
      </c>
      <c r="O917" t="s">
        <v>6088</v>
      </c>
      <c r="P917" s="614">
        <f>COUNTIF(EducPlans_кодНАЦИД_Спец[аФакСец],EducPlans_кодНАЦИД_Спец[[#This Row],[аФакСец]])</f>
        <v>1</v>
      </c>
    </row>
    <row r="918" spans="3:16" x14ac:dyDescent="0.25">
      <c r="C918" s="614">
        <v>912</v>
      </c>
      <c r="D918" s="614">
        <v>704950</v>
      </c>
      <c r="E918" s="64" t="s">
        <v>7753</v>
      </c>
      <c r="F918" s="64" t="s">
        <v>7754</v>
      </c>
      <c r="G918" s="614" t="s">
        <v>26</v>
      </c>
      <c r="H918" s="614" t="s">
        <v>682</v>
      </c>
      <c r="I918" s="614" t="s">
        <v>1153</v>
      </c>
      <c r="J918" s="64" t="s">
        <v>7755</v>
      </c>
      <c r="K918" s="1940" t="s">
        <v>7756</v>
      </c>
      <c r="L918" s="1940" t="s">
        <v>8643</v>
      </c>
      <c r="M918" t="s">
        <v>12025</v>
      </c>
      <c r="N918" t="s">
        <v>10358</v>
      </c>
      <c r="O918" t="s">
        <v>7754</v>
      </c>
      <c r="P918" s="614">
        <f>COUNTIF(EducPlans_кодНАЦИД_Спец[аФакСец],EducPlans_кодНАЦИД_Спец[[#This Row],[аФакСец]])</f>
        <v>1</v>
      </c>
    </row>
    <row r="919" spans="3:16" x14ac:dyDescent="0.25">
      <c r="C919" s="614">
        <v>913</v>
      </c>
      <c r="D919" s="614">
        <v>704950</v>
      </c>
      <c r="E919" s="64" t="s">
        <v>7753</v>
      </c>
      <c r="F919" s="64" t="s">
        <v>13566</v>
      </c>
      <c r="G919" s="614" t="s">
        <v>26</v>
      </c>
      <c r="H919" s="614" t="s">
        <v>682</v>
      </c>
      <c r="I919" s="614" t="s">
        <v>1153</v>
      </c>
      <c r="J919" s="64" t="s">
        <v>13567</v>
      </c>
      <c r="K919" s="1940" t="s">
        <v>7756</v>
      </c>
      <c r="L919" s="1940" t="s">
        <v>13568</v>
      </c>
      <c r="M919" t="s">
        <v>13569</v>
      </c>
      <c r="N919" t="s">
        <v>13570</v>
      </c>
      <c r="O919" t="s">
        <v>13566</v>
      </c>
      <c r="P919" s="614">
        <f>COUNTIF(EducPlans_кодНАЦИД_Спец[аФакСец],EducPlans_кодНАЦИД_Спец[[#This Row],[аФакСец]])</f>
        <v>1</v>
      </c>
    </row>
    <row r="920" spans="3:16" x14ac:dyDescent="0.25">
      <c r="C920" s="614">
        <v>914</v>
      </c>
      <c r="D920" s="614">
        <v>11847</v>
      </c>
      <c r="E920" s="64" t="s">
        <v>2347</v>
      </c>
      <c r="F920" s="64" t="s">
        <v>6091</v>
      </c>
      <c r="G920" s="614" t="s">
        <v>26</v>
      </c>
      <c r="H920" s="614" t="s">
        <v>682</v>
      </c>
      <c r="I920" s="614" t="s">
        <v>1153</v>
      </c>
      <c r="J920" s="64" t="s">
        <v>6092</v>
      </c>
      <c r="K920" s="1940" t="s">
        <v>6093</v>
      </c>
      <c r="L920" s="1940" t="s">
        <v>8644</v>
      </c>
      <c r="M920" t="s">
        <v>12026</v>
      </c>
      <c r="N920" t="s">
        <v>10359</v>
      </c>
      <c r="O920" t="s">
        <v>6091</v>
      </c>
      <c r="P920" s="614">
        <f>COUNTIF(EducPlans_кодНАЦИД_Спец[аФакСец],EducPlans_кодНАЦИД_Спец[[#This Row],[аФакСец]])</f>
        <v>1</v>
      </c>
    </row>
    <row r="921" spans="3:16" x14ac:dyDescent="0.25">
      <c r="C921" s="614">
        <v>915</v>
      </c>
      <c r="D921" s="614">
        <v>11799</v>
      </c>
      <c r="E921" s="64" t="s">
        <v>2308</v>
      </c>
      <c r="F921" s="64" t="s">
        <v>6094</v>
      </c>
      <c r="G921" s="614" t="s">
        <v>26</v>
      </c>
      <c r="H921" s="614" t="s">
        <v>682</v>
      </c>
      <c r="I921" s="614" t="s">
        <v>1153</v>
      </c>
      <c r="J921" s="64" t="s">
        <v>6095</v>
      </c>
      <c r="K921" s="1940" t="s">
        <v>6096</v>
      </c>
      <c r="L921" s="1940" t="s">
        <v>8645</v>
      </c>
      <c r="M921" t="s">
        <v>12027</v>
      </c>
      <c r="N921" t="s">
        <v>10360</v>
      </c>
      <c r="O921" t="s">
        <v>6094</v>
      </c>
      <c r="P921" s="614">
        <f>COUNTIF(EducPlans_кодНАЦИД_Спец[аФакСец],EducPlans_кодНАЦИД_Спец[[#This Row],[аФакСец]])</f>
        <v>1</v>
      </c>
    </row>
    <row r="922" spans="3:16" x14ac:dyDescent="0.25">
      <c r="C922" s="614">
        <v>916</v>
      </c>
      <c r="D922" s="614">
        <v>11799</v>
      </c>
      <c r="E922" s="64" t="s">
        <v>2308</v>
      </c>
      <c r="F922" s="64" t="s">
        <v>6097</v>
      </c>
      <c r="G922" s="614" t="s">
        <v>26</v>
      </c>
      <c r="H922" s="614" t="s">
        <v>682</v>
      </c>
      <c r="I922" s="614" t="s">
        <v>1153</v>
      </c>
      <c r="J922" s="64" t="s">
        <v>6098</v>
      </c>
      <c r="K922" s="1940" t="s">
        <v>6096</v>
      </c>
      <c r="L922" s="1940" t="s">
        <v>8646</v>
      </c>
      <c r="M922" t="s">
        <v>12028</v>
      </c>
      <c r="N922" t="s">
        <v>10361</v>
      </c>
      <c r="O922" t="s">
        <v>6097</v>
      </c>
      <c r="P922" s="614">
        <f>COUNTIF(EducPlans_кодНАЦИД_Спец[аФакСец],EducPlans_кодНАЦИД_Спец[[#This Row],[аФакСец]])</f>
        <v>1</v>
      </c>
    </row>
    <row r="923" spans="3:16" x14ac:dyDescent="0.25">
      <c r="C923" s="614">
        <v>917</v>
      </c>
      <c r="D923" s="614">
        <v>11799</v>
      </c>
      <c r="E923" s="64" t="s">
        <v>2308</v>
      </c>
      <c r="F923" s="64" t="s">
        <v>6099</v>
      </c>
      <c r="G923" s="614" t="s">
        <v>26</v>
      </c>
      <c r="H923" s="614" t="s">
        <v>682</v>
      </c>
      <c r="I923" s="614" t="s">
        <v>1153</v>
      </c>
      <c r="J923" s="64" t="s">
        <v>6100</v>
      </c>
      <c r="K923" s="1940" t="s">
        <v>6096</v>
      </c>
      <c r="L923" s="1940" t="s">
        <v>8647</v>
      </c>
      <c r="M923" t="s">
        <v>12029</v>
      </c>
      <c r="N923" t="s">
        <v>10362</v>
      </c>
      <c r="O923" t="s">
        <v>6099</v>
      </c>
      <c r="P923" s="614">
        <f>COUNTIF(EducPlans_кодНАЦИД_Спец[аФакСец],EducPlans_кодНАЦИД_Спец[[#This Row],[аФакСец]])</f>
        <v>1</v>
      </c>
    </row>
    <row r="924" spans="3:16" x14ac:dyDescent="0.25">
      <c r="C924" s="614">
        <v>918</v>
      </c>
      <c r="D924" s="614">
        <v>11799</v>
      </c>
      <c r="E924" s="64" t="s">
        <v>2308</v>
      </c>
      <c r="F924" s="64" t="s">
        <v>6101</v>
      </c>
      <c r="G924" s="614" t="s">
        <v>26</v>
      </c>
      <c r="H924" s="614" t="s">
        <v>682</v>
      </c>
      <c r="I924" s="614" t="s">
        <v>1153</v>
      </c>
      <c r="J924" s="64" t="s">
        <v>6102</v>
      </c>
      <c r="K924" s="1940" t="s">
        <v>6096</v>
      </c>
      <c r="L924" s="1940" t="s">
        <v>8648</v>
      </c>
      <c r="M924" t="s">
        <v>12030</v>
      </c>
      <c r="N924" t="s">
        <v>10363</v>
      </c>
      <c r="O924" t="s">
        <v>6101</v>
      </c>
      <c r="P924" s="614">
        <f>COUNTIF(EducPlans_кодНАЦИД_Спец[аФакСец],EducPlans_кодНАЦИД_Спец[[#This Row],[аФакСец]])</f>
        <v>1</v>
      </c>
    </row>
    <row r="925" spans="3:16" x14ac:dyDescent="0.25">
      <c r="C925" s="614">
        <v>919</v>
      </c>
      <c r="D925" s="614">
        <v>11799</v>
      </c>
      <c r="E925" s="64" t="s">
        <v>2308</v>
      </c>
      <c r="F925" s="64" t="s">
        <v>6103</v>
      </c>
      <c r="G925" s="614" t="s">
        <v>26</v>
      </c>
      <c r="H925" s="614" t="s">
        <v>682</v>
      </c>
      <c r="I925" s="614" t="s">
        <v>1153</v>
      </c>
      <c r="J925" s="64" t="s">
        <v>6104</v>
      </c>
      <c r="K925" s="1940" t="s">
        <v>6096</v>
      </c>
      <c r="L925" s="1940" t="s">
        <v>8649</v>
      </c>
      <c r="M925" t="s">
        <v>12031</v>
      </c>
      <c r="N925" t="s">
        <v>10364</v>
      </c>
      <c r="O925" t="s">
        <v>6103</v>
      </c>
      <c r="P925" s="614">
        <f>COUNTIF(EducPlans_кодНАЦИД_Спец[аФакСец],EducPlans_кодНАЦИД_Спец[[#This Row],[аФакСец]])</f>
        <v>1</v>
      </c>
    </row>
    <row r="926" spans="3:16" x14ac:dyDescent="0.25">
      <c r="C926" s="614">
        <v>920</v>
      </c>
      <c r="D926" s="614">
        <v>11799</v>
      </c>
      <c r="E926" s="64" t="s">
        <v>2308</v>
      </c>
      <c r="F926" s="64" t="s">
        <v>6105</v>
      </c>
      <c r="G926" s="614" t="s">
        <v>26</v>
      </c>
      <c r="H926" s="614" t="s">
        <v>682</v>
      </c>
      <c r="I926" s="614" t="s">
        <v>1153</v>
      </c>
      <c r="J926" s="64" t="s">
        <v>6106</v>
      </c>
      <c r="K926" s="1940" t="s">
        <v>6096</v>
      </c>
      <c r="L926" s="1940" t="s">
        <v>8650</v>
      </c>
      <c r="M926" t="s">
        <v>12032</v>
      </c>
      <c r="N926" t="s">
        <v>10365</v>
      </c>
      <c r="O926" t="s">
        <v>6105</v>
      </c>
      <c r="P926" s="614">
        <f>COUNTIF(EducPlans_кодНАЦИД_Спец[аФакСец],EducPlans_кодНАЦИД_Спец[[#This Row],[аФакСец]])</f>
        <v>1</v>
      </c>
    </row>
    <row r="927" spans="3:16" x14ac:dyDescent="0.25">
      <c r="C927" s="614">
        <v>921</v>
      </c>
      <c r="D927" s="614">
        <v>12105</v>
      </c>
      <c r="E927" s="64" t="s">
        <v>2175</v>
      </c>
      <c r="F927" s="64" t="s">
        <v>6107</v>
      </c>
      <c r="G927" s="614" t="s">
        <v>29</v>
      </c>
      <c r="H927" s="614" t="s">
        <v>682</v>
      </c>
      <c r="I927" s="614" t="s">
        <v>1153</v>
      </c>
      <c r="J927" s="64" t="s">
        <v>4162</v>
      </c>
      <c r="K927" s="1940" t="s">
        <v>6108</v>
      </c>
      <c r="L927" s="1940" t="s">
        <v>8651</v>
      </c>
      <c r="M927" t="s">
        <v>12033</v>
      </c>
      <c r="N927" t="s">
        <v>10366</v>
      </c>
      <c r="O927" t="s">
        <v>6107</v>
      </c>
      <c r="P927" s="614">
        <f>COUNTIF(EducPlans_кодНАЦИД_Спец[аФакСец],EducPlans_кодНАЦИД_Спец[[#This Row],[аФакСец]])</f>
        <v>1</v>
      </c>
    </row>
    <row r="928" spans="3:16" x14ac:dyDescent="0.25">
      <c r="C928" s="614">
        <v>922</v>
      </c>
      <c r="D928" s="614">
        <v>12947</v>
      </c>
      <c r="E928" s="64" t="s">
        <v>1820</v>
      </c>
      <c r="F928" s="64" t="s">
        <v>6109</v>
      </c>
      <c r="G928" s="614" t="s">
        <v>42</v>
      </c>
      <c r="H928" s="614" t="s">
        <v>682</v>
      </c>
      <c r="I928" s="614" t="s">
        <v>1149</v>
      </c>
      <c r="J928" s="64" t="s">
        <v>3485</v>
      </c>
      <c r="K928" s="1940" t="s">
        <v>6110</v>
      </c>
      <c r="L928" s="1940" t="s">
        <v>8652</v>
      </c>
      <c r="M928" t="s">
        <v>12034</v>
      </c>
      <c r="N928" t="s">
        <v>10367</v>
      </c>
      <c r="O928" t="s">
        <v>6109</v>
      </c>
      <c r="P928" s="614">
        <f>COUNTIF(EducPlans_кодНАЦИД_Спец[аФакСец],EducPlans_кодНАЦИД_Спец[[#This Row],[аФакСец]])</f>
        <v>1</v>
      </c>
    </row>
    <row r="929" spans="3:16" x14ac:dyDescent="0.25">
      <c r="C929" s="614">
        <v>923</v>
      </c>
      <c r="D929" s="614">
        <v>11103</v>
      </c>
      <c r="E929" s="64" t="s">
        <v>1573</v>
      </c>
      <c r="F929" s="64" t="s">
        <v>6111</v>
      </c>
      <c r="G929" s="614" t="s">
        <v>48</v>
      </c>
      <c r="H929" s="614" t="s">
        <v>682</v>
      </c>
      <c r="I929" s="614" t="s">
        <v>1153</v>
      </c>
      <c r="J929" s="64" t="s">
        <v>3160</v>
      </c>
      <c r="K929" s="1940" t="s">
        <v>6112</v>
      </c>
      <c r="L929" s="1940" t="s">
        <v>8653</v>
      </c>
      <c r="M929" t="s">
        <v>12035</v>
      </c>
      <c r="N929" t="s">
        <v>10368</v>
      </c>
      <c r="O929" t="s">
        <v>6111</v>
      </c>
      <c r="P929" s="614">
        <f>COUNTIF(EducPlans_кодНАЦИД_Спец[аФакСец],EducPlans_кодНАЦИД_Спец[[#This Row],[аФакСец]])</f>
        <v>1</v>
      </c>
    </row>
    <row r="930" spans="3:16" x14ac:dyDescent="0.25">
      <c r="C930" s="614">
        <v>924</v>
      </c>
      <c r="D930" s="614">
        <v>10917</v>
      </c>
      <c r="E930" s="64" t="s">
        <v>1679</v>
      </c>
      <c r="F930" s="64" t="s">
        <v>6113</v>
      </c>
      <c r="G930" s="614" t="s">
        <v>35</v>
      </c>
      <c r="H930" s="614" t="s">
        <v>682</v>
      </c>
      <c r="I930" s="614" t="s">
        <v>1153</v>
      </c>
      <c r="J930" s="64" t="s">
        <v>4029</v>
      </c>
      <c r="K930" s="1940" t="s">
        <v>6114</v>
      </c>
      <c r="L930" s="1940" t="s">
        <v>8654</v>
      </c>
      <c r="M930" t="s">
        <v>12036</v>
      </c>
      <c r="N930" t="s">
        <v>10369</v>
      </c>
      <c r="O930" t="s">
        <v>6113</v>
      </c>
      <c r="P930" s="614">
        <f>COUNTIF(EducPlans_кодНАЦИД_Спец[аФакСец],EducPlans_кодНАЦИД_Спец[[#This Row],[аФакСец]])</f>
        <v>1</v>
      </c>
    </row>
    <row r="931" spans="3:16" x14ac:dyDescent="0.25">
      <c r="C931" s="614">
        <v>925</v>
      </c>
      <c r="D931" s="614">
        <v>10921</v>
      </c>
      <c r="E931" s="64" t="s">
        <v>1680</v>
      </c>
      <c r="F931" s="64" t="s">
        <v>6115</v>
      </c>
      <c r="G931" s="614" t="s">
        <v>35</v>
      </c>
      <c r="H931" s="614" t="s">
        <v>682</v>
      </c>
      <c r="I931" s="614" t="s">
        <v>1153</v>
      </c>
      <c r="J931" s="64" t="s">
        <v>4030</v>
      </c>
      <c r="K931" s="1940" t="s">
        <v>6116</v>
      </c>
      <c r="L931" s="1940" t="s">
        <v>8655</v>
      </c>
      <c r="M931" t="s">
        <v>12037</v>
      </c>
      <c r="N931" t="s">
        <v>10370</v>
      </c>
      <c r="O931" t="s">
        <v>6115</v>
      </c>
      <c r="P931" s="614">
        <f>COUNTIF(EducPlans_кодНАЦИД_Спец[аФакСец],EducPlans_кодНАЦИД_Спец[[#This Row],[аФакСец]])</f>
        <v>1</v>
      </c>
    </row>
    <row r="932" spans="3:16" x14ac:dyDescent="0.25">
      <c r="C932" s="614">
        <v>926</v>
      </c>
      <c r="D932" s="614">
        <v>12625</v>
      </c>
      <c r="E932" s="64" t="s">
        <v>1190</v>
      </c>
      <c r="F932" s="64" t="s">
        <v>6117</v>
      </c>
      <c r="G932" s="614" t="s">
        <v>296</v>
      </c>
      <c r="H932" s="614" t="s">
        <v>681</v>
      </c>
      <c r="I932" s="614" t="s">
        <v>1153</v>
      </c>
      <c r="J932" s="64" t="s">
        <v>3787</v>
      </c>
      <c r="K932" s="1940" t="s">
        <v>6118</v>
      </c>
      <c r="L932" s="1940" t="s">
        <v>8656</v>
      </c>
      <c r="M932" t="s">
        <v>12038</v>
      </c>
      <c r="N932" t="s">
        <v>10371</v>
      </c>
      <c r="O932" t="s">
        <v>6117</v>
      </c>
      <c r="P932" s="614">
        <f>COUNTIF(EducPlans_кодНАЦИД_Спец[аФакСец],EducPlans_кодНАЦИД_Спец[[#This Row],[аФакСец]])</f>
        <v>1</v>
      </c>
    </row>
    <row r="933" spans="3:16" x14ac:dyDescent="0.25">
      <c r="C933" s="614">
        <v>927</v>
      </c>
      <c r="D933" s="614">
        <v>839654</v>
      </c>
      <c r="E933" s="64" t="s">
        <v>1190</v>
      </c>
      <c r="F933" s="64" t="s">
        <v>13571</v>
      </c>
      <c r="G933" s="614" t="s">
        <v>296</v>
      </c>
      <c r="H933" s="614" t="s">
        <v>681</v>
      </c>
      <c r="I933" s="614" t="s">
        <v>1153</v>
      </c>
      <c r="J933" s="64" t="s">
        <v>13572</v>
      </c>
      <c r="K933" s="1940" t="s">
        <v>6118</v>
      </c>
      <c r="L933" s="1940" t="s">
        <v>13573</v>
      </c>
      <c r="M933" t="s">
        <v>13574</v>
      </c>
      <c r="N933" t="s">
        <v>13575</v>
      </c>
      <c r="O933" t="s">
        <v>13571</v>
      </c>
      <c r="P933" s="614">
        <f>COUNTIF(EducPlans_кодНАЦИД_Спец[аФакСец],EducPlans_кодНАЦИД_Спец[[#This Row],[аФакСец]])</f>
        <v>1</v>
      </c>
    </row>
    <row r="934" spans="3:16" x14ac:dyDescent="0.25">
      <c r="C934" s="614">
        <v>928</v>
      </c>
      <c r="D934" s="614">
        <v>12954</v>
      </c>
      <c r="E934" s="64" t="s">
        <v>274</v>
      </c>
      <c r="F934" s="64" t="s">
        <v>6119</v>
      </c>
      <c r="G934" s="614" t="s">
        <v>46</v>
      </c>
      <c r="H934" s="614" t="s">
        <v>682</v>
      </c>
      <c r="I934" s="614" t="s">
        <v>1153</v>
      </c>
      <c r="J934" s="64" t="s">
        <v>3190</v>
      </c>
      <c r="K934" s="1940" t="s">
        <v>6120</v>
      </c>
      <c r="L934" s="1940" t="s">
        <v>8657</v>
      </c>
      <c r="M934" t="s">
        <v>12039</v>
      </c>
      <c r="N934" t="s">
        <v>10372</v>
      </c>
      <c r="O934" t="s">
        <v>6119</v>
      </c>
      <c r="P934" s="614">
        <f>COUNTIF(EducPlans_кодНАЦИД_Спец[аФакСец],EducPlans_кодНАЦИД_Спец[[#This Row],[аФакСец]])</f>
        <v>1</v>
      </c>
    </row>
    <row r="935" spans="3:16" x14ac:dyDescent="0.25">
      <c r="C935" s="614">
        <v>929</v>
      </c>
      <c r="D935" s="614">
        <v>12964</v>
      </c>
      <c r="E935" s="64" t="s">
        <v>2571</v>
      </c>
      <c r="F935" s="64" t="s">
        <v>6121</v>
      </c>
      <c r="G935" s="614" t="s">
        <v>46</v>
      </c>
      <c r="H935" s="614" t="s">
        <v>682</v>
      </c>
      <c r="I935" s="614" t="s">
        <v>1153</v>
      </c>
      <c r="J935" s="64" t="s">
        <v>3191</v>
      </c>
      <c r="K935" s="1940" t="s">
        <v>6122</v>
      </c>
      <c r="L935" s="1940" t="s">
        <v>8658</v>
      </c>
      <c r="M935" t="s">
        <v>12040</v>
      </c>
      <c r="N935" t="s">
        <v>10373</v>
      </c>
      <c r="O935" t="s">
        <v>6121</v>
      </c>
      <c r="P935" s="614">
        <f>COUNTIF(EducPlans_кодНАЦИД_Спец[аФакСец],EducPlans_кодНАЦИД_Спец[[#This Row],[аФакСец]])</f>
        <v>1</v>
      </c>
    </row>
    <row r="936" spans="3:16" x14ac:dyDescent="0.25">
      <c r="C936" s="614">
        <v>930</v>
      </c>
      <c r="D936" s="614">
        <v>12106</v>
      </c>
      <c r="E936" s="64" t="s">
        <v>2177</v>
      </c>
      <c r="F936" s="64" t="s">
        <v>6123</v>
      </c>
      <c r="G936" s="614" t="s">
        <v>29</v>
      </c>
      <c r="H936" s="614" t="s">
        <v>682</v>
      </c>
      <c r="I936" s="614" t="s">
        <v>1153</v>
      </c>
      <c r="J936" s="64" t="s">
        <v>4163</v>
      </c>
      <c r="K936" s="1940" t="s">
        <v>6124</v>
      </c>
      <c r="L936" s="1940" t="s">
        <v>8659</v>
      </c>
      <c r="M936" t="s">
        <v>12041</v>
      </c>
      <c r="N936" t="s">
        <v>10374</v>
      </c>
      <c r="O936" t="s">
        <v>6123</v>
      </c>
      <c r="P936" s="614">
        <f>COUNTIF(EducPlans_кодНАЦИД_Спец[аФакСец],EducPlans_кодНАЦИД_Спец[[#This Row],[аФакСец]])</f>
        <v>2</v>
      </c>
    </row>
    <row r="937" spans="3:16" x14ac:dyDescent="0.25">
      <c r="C937" s="614">
        <v>931</v>
      </c>
      <c r="D937" s="614">
        <v>12125</v>
      </c>
      <c r="E937" s="64" t="s">
        <v>2178</v>
      </c>
      <c r="F937" s="64" t="s">
        <v>6125</v>
      </c>
      <c r="G937" s="614" t="s">
        <v>29</v>
      </c>
      <c r="H937" s="614" t="s">
        <v>682</v>
      </c>
      <c r="I937" s="614" t="s">
        <v>1153</v>
      </c>
      <c r="J937" s="64" t="s">
        <v>4163</v>
      </c>
      <c r="K937" s="1940" t="s">
        <v>6126</v>
      </c>
      <c r="L937" s="1940" t="s">
        <v>8659</v>
      </c>
      <c r="M937" t="s">
        <v>12042</v>
      </c>
      <c r="N937" t="s">
        <v>10374</v>
      </c>
      <c r="O937" t="s">
        <v>6125</v>
      </c>
      <c r="P937" s="614">
        <f>COUNTIF(EducPlans_кодНАЦИД_Спец[аФакСец],EducPlans_кодНАЦИД_Спец[[#This Row],[аФакСец]])</f>
        <v>2</v>
      </c>
    </row>
    <row r="938" spans="3:16" x14ac:dyDescent="0.25">
      <c r="C938" s="614">
        <v>932</v>
      </c>
      <c r="D938" s="614">
        <v>12966</v>
      </c>
      <c r="E938" s="64" t="s">
        <v>2581</v>
      </c>
      <c r="F938" s="64" t="s">
        <v>6127</v>
      </c>
      <c r="G938" s="614" t="s">
        <v>46</v>
      </c>
      <c r="H938" s="614" t="s">
        <v>681</v>
      </c>
      <c r="I938" s="614" t="s">
        <v>1153</v>
      </c>
      <c r="J938" s="64" t="s">
        <v>3192</v>
      </c>
      <c r="K938" s="1940" t="s">
        <v>6128</v>
      </c>
      <c r="L938" s="1940" t="s">
        <v>8660</v>
      </c>
      <c r="M938" t="s">
        <v>12043</v>
      </c>
      <c r="N938" t="s">
        <v>10375</v>
      </c>
      <c r="O938" t="s">
        <v>6127</v>
      </c>
      <c r="P938" s="614">
        <f>COUNTIF(EducPlans_кодНАЦИД_Спец[аФакСец],EducPlans_кодНАЦИД_Спец[[#This Row],[аФакСец]])</f>
        <v>1</v>
      </c>
    </row>
    <row r="939" spans="3:16" x14ac:dyDescent="0.25">
      <c r="C939" s="614">
        <v>933</v>
      </c>
      <c r="D939" s="614">
        <v>12969</v>
      </c>
      <c r="E939" s="64" t="s">
        <v>2589</v>
      </c>
      <c r="F939" s="64" t="s">
        <v>6129</v>
      </c>
      <c r="G939" s="614" t="s">
        <v>46</v>
      </c>
      <c r="H939" s="614" t="s">
        <v>681</v>
      </c>
      <c r="I939" s="614" t="s">
        <v>1153</v>
      </c>
      <c r="J939" s="64" t="s">
        <v>3193</v>
      </c>
      <c r="K939" s="1940" t="s">
        <v>6130</v>
      </c>
      <c r="L939" s="1940" t="s">
        <v>8661</v>
      </c>
      <c r="M939" t="s">
        <v>12044</v>
      </c>
      <c r="N939" t="s">
        <v>10376</v>
      </c>
      <c r="O939" t="s">
        <v>6129</v>
      </c>
      <c r="P939" s="614">
        <f>COUNTIF(EducPlans_кодНАЦИД_Спец[аФакСец],EducPlans_кодНАЦИД_Спец[[#This Row],[аФакСец]])</f>
        <v>1</v>
      </c>
    </row>
    <row r="940" spans="3:16" x14ac:dyDescent="0.25">
      <c r="C940" s="614">
        <v>934</v>
      </c>
      <c r="D940" s="614">
        <v>11897</v>
      </c>
      <c r="E940" s="64" t="s">
        <v>2121</v>
      </c>
      <c r="F940" s="64" t="s">
        <v>6131</v>
      </c>
      <c r="G940" s="614" t="s">
        <v>628</v>
      </c>
      <c r="H940" s="614" t="s">
        <v>681</v>
      </c>
      <c r="I940" s="614" t="s">
        <v>1153</v>
      </c>
      <c r="J940" s="64" t="s">
        <v>4220</v>
      </c>
      <c r="K940" s="1940" t="s">
        <v>6132</v>
      </c>
      <c r="L940" s="1940" t="s">
        <v>8662</v>
      </c>
      <c r="M940" t="s">
        <v>12045</v>
      </c>
      <c r="N940" t="s">
        <v>10377</v>
      </c>
      <c r="O940" t="s">
        <v>6131</v>
      </c>
      <c r="P940" s="614">
        <f>COUNTIF(EducPlans_кодНАЦИД_Спец[аФакСец],EducPlans_кодНАЦИД_Спец[[#This Row],[аФакСец]])</f>
        <v>1</v>
      </c>
    </row>
    <row r="941" spans="3:16" x14ac:dyDescent="0.25">
      <c r="C941" s="614">
        <v>935</v>
      </c>
      <c r="D941" s="614">
        <v>11935</v>
      </c>
      <c r="E941" s="64" t="s">
        <v>2121</v>
      </c>
      <c r="F941" s="64" t="s">
        <v>6133</v>
      </c>
      <c r="G941" s="614" t="s">
        <v>628</v>
      </c>
      <c r="H941" s="614" t="s">
        <v>682</v>
      </c>
      <c r="I941" s="614" t="s">
        <v>1153</v>
      </c>
      <c r="J941" s="64" t="s">
        <v>4221</v>
      </c>
      <c r="K941" s="1940" t="s">
        <v>6134</v>
      </c>
      <c r="L941" s="1940" t="s">
        <v>8663</v>
      </c>
      <c r="M941" t="s">
        <v>12046</v>
      </c>
      <c r="N941" t="s">
        <v>10378</v>
      </c>
      <c r="O941" t="s">
        <v>6133</v>
      </c>
      <c r="P941" s="614">
        <f>COUNTIF(EducPlans_кодНАЦИД_Спец[аФакСец],EducPlans_кодНАЦИД_Спец[[#This Row],[аФакСец]])</f>
        <v>2</v>
      </c>
    </row>
    <row r="942" spans="3:16" x14ac:dyDescent="0.25">
      <c r="C942" s="614">
        <v>936</v>
      </c>
      <c r="D942" s="614">
        <v>12021</v>
      </c>
      <c r="E942" s="64" t="s">
        <v>2122</v>
      </c>
      <c r="F942" s="64" t="s">
        <v>6135</v>
      </c>
      <c r="G942" s="614" t="s">
        <v>628</v>
      </c>
      <c r="H942" s="614" t="s">
        <v>682</v>
      </c>
      <c r="I942" s="614" t="s">
        <v>1153</v>
      </c>
      <c r="J942" s="64" t="s">
        <v>4222</v>
      </c>
      <c r="K942" s="1940" t="s">
        <v>6136</v>
      </c>
      <c r="L942" s="1940" t="s">
        <v>8664</v>
      </c>
      <c r="M942" t="s">
        <v>12047</v>
      </c>
      <c r="N942" t="s">
        <v>10379</v>
      </c>
      <c r="O942" t="s">
        <v>6135</v>
      </c>
      <c r="P942" s="614">
        <f>COUNTIF(EducPlans_кодНАЦИД_Спец[аФакСец],EducPlans_кодНАЦИД_Спец[[#This Row],[аФакСец]])</f>
        <v>1</v>
      </c>
    </row>
    <row r="943" spans="3:16" x14ac:dyDescent="0.25">
      <c r="C943" s="614">
        <v>937</v>
      </c>
      <c r="D943" s="614">
        <v>11993</v>
      </c>
      <c r="E943" s="64" t="s">
        <v>2123</v>
      </c>
      <c r="F943" s="64" t="s">
        <v>6137</v>
      </c>
      <c r="G943" s="614" t="s">
        <v>628</v>
      </c>
      <c r="H943" s="614" t="s">
        <v>682</v>
      </c>
      <c r="I943" s="614" t="s">
        <v>1153</v>
      </c>
      <c r="J943" s="64" t="s">
        <v>6138</v>
      </c>
      <c r="K943" s="1940" t="s">
        <v>6139</v>
      </c>
      <c r="L943" s="1940" t="s">
        <v>8665</v>
      </c>
      <c r="M943" t="s">
        <v>12048</v>
      </c>
      <c r="N943" t="s">
        <v>10380</v>
      </c>
      <c r="O943" t="s">
        <v>6137</v>
      </c>
      <c r="P943" s="614">
        <f>COUNTIF(EducPlans_кодНАЦИД_Спец[аФакСец],EducPlans_кодНАЦИД_Спец[[#This Row],[аФакСец]])</f>
        <v>1</v>
      </c>
    </row>
    <row r="944" spans="3:16" x14ac:dyDescent="0.25">
      <c r="C944" s="614">
        <v>938</v>
      </c>
      <c r="D944" s="614">
        <v>11974</v>
      </c>
      <c r="E944" s="64" t="s">
        <v>2124</v>
      </c>
      <c r="F944" s="64" t="s">
        <v>6140</v>
      </c>
      <c r="G944" s="614" t="s">
        <v>628</v>
      </c>
      <c r="H944" s="614" t="s">
        <v>682</v>
      </c>
      <c r="I944" s="614" t="s">
        <v>1153</v>
      </c>
      <c r="J944" s="64" t="s">
        <v>6141</v>
      </c>
      <c r="K944" s="1940" t="s">
        <v>6142</v>
      </c>
      <c r="L944" s="1940" t="s">
        <v>8666</v>
      </c>
      <c r="M944" t="s">
        <v>12049</v>
      </c>
      <c r="N944" t="s">
        <v>10381</v>
      </c>
      <c r="O944" t="s">
        <v>6140</v>
      </c>
      <c r="P944" s="614">
        <f>COUNTIF(EducPlans_кодНАЦИД_Спец[аФакСец],EducPlans_кодНАЦИД_Спец[[#This Row],[аФакСец]])</f>
        <v>1</v>
      </c>
    </row>
    <row r="945" spans="3:16" x14ac:dyDescent="0.25">
      <c r="C945" s="614">
        <v>939</v>
      </c>
      <c r="D945" s="614">
        <v>12023</v>
      </c>
      <c r="E945" s="64" t="s">
        <v>2124</v>
      </c>
      <c r="F945" s="64" t="s">
        <v>6143</v>
      </c>
      <c r="G945" s="614" t="s">
        <v>628</v>
      </c>
      <c r="H945" s="614" t="s">
        <v>682</v>
      </c>
      <c r="I945" s="614" t="s">
        <v>1153</v>
      </c>
      <c r="J945" s="64" t="s">
        <v>4223</v>
      </c>
      <c r="K945" s="1940" t="s">
        <v>6144</v>
      </c>
      <c r="L945" s="1940" t="s">
        <v>8667</v>
      </c>
      <c r="M945" t="s">
        <v>12050</v>
      </c>
      <c r="N945" t="s">
        <v>10382</v>
      </c>
      <c r="O945" t="s">
        <v>6143</v>
      </c>
      <c r="P945" s="614">
        <f>COUNTIF(EducPlans_кодНАЦИД_Спец[аФакСец],EducPlans_кодНАЦИД_Спец[[#This Row],[аФакСец]])</f>
        <v>1</v>
      </c>
    </row>
    <row r="946" spans="3:16" x14ac:dyDescent="0.25">
      <c r="C946" s="614">
        <v>940</v>
      </c>
      <c r="D946" s="614">
        <v>12023</v>
      </c>
      <c r="E946" s="64" t="s">
        <v>2124</v>
      </c>
      <c r="F946" s="64" t="s">
        <v>6145</v>
      </c>
      <c r="G946" s="614" t="s">
        <v>628</v>
      </c>
      <c r="H946" s="614" t="s">
        <v>682</v>
      </c>
      <c r="I946" s="614" t="s">
        <v>1153</v>
      </c>
      <c r="J946" s="64" t="s">
        <v>4224</v>
      </c>
      <c r="K946" s="1940" t="s">
        <v>6144</v>
      </c>
      <c r="L946" s="1940" t="s">
        <v>8668</v>
      </c>
      <c r="M946" t="s">
        <v>12051</v>
      </c>
      <c r="N946" t="s">
        <v>10383</v>
      </c>
      <c r="O946" t="s">
        <v>6145</v>
      </c>
      <c r="P946" s="614">
        <f>COUNTIF(EducPlans_кодНАЦИД_Спец[аФакСец],EducPlans_кодНАЦИД_Спец[[#This Row],[аФакСец]])</f>
        <v>1</v>
      </c>
    </row>
    <row r="947" spans="3:16" x14ac:dyDescent="0.25">
      <c r="C947" s="614">
        <v>941</v>
      </c>
      <c r="D947" s="614">
        <v>11975</v>
      </c>
      <c r="E947" s="64" t="s">
        <v>2125</v>
      </c>
      <c r="F947" s="64" t="s">
        <v>6146</v>
      </c>
      <c r="G947" s="614" t="s">
        <v>628</v>
      </c>
      <c r="H947" s="614" t="s">
        <v>682</v>
      </c>
      <c r="I947" s="614" t="s">
        <v>1153</v>
      </c>
      <c r="J947" s="64" t="s">
        <v>4221</v>
      </c>
      <c r="K947" s="1940" t="s">
        <v>6147</v>
      </c>
      <c r="L947" s="1940" t="s">
        <v>8663</v>
      </c>
      <c r="M947" t="s">
        <v>12052</v>
      </c>
      <c r="N947" t="s">
        <v>10378</v>
      </c>
      <c r="O947" t="s">
        <v>6146</v>
      </c>
      <c r="P947" s="614">
        <f>COUNTIF(EducPlans_кодНАЦИД_Спец[аФакСец],EducPlans_кодНАЦИД_Спец[[#This Row],[аФакСец]])</f>
        <v>2</v>
      </c>
    </row>
    <row r="948" spans="3:16" x14ac:dyDescent="0.25">
      <c r="C948" s="614">
        <v>942</v>
      </c>
      <c r="D948" s="614">
        <v>458410</v>
      </c>
      <c r="E948" s="64" t="s">
        <v>6148</v>
      </c>
      <c r="F948" s="64" t="s">
        <v>6149</v>
      </c>
      <c r="G948" s="614" t="s">
        <v>628</v>
      </c>
      <c r="H948" s="614" t="s">
        <v>682</v>
      </c>
      <c r="I948" s="614" t="s">
        <v>1153</v>
      </c>
      <c r="J948" s="64" t="s">
        <v>6150</v>
      </c>
      <c r="K948" s="1940" t="s">
        <v>6151</v>
      </c>
      <c r="L948" s="1940" t="s">
        <v>8669</v>
      </c>
      <c r="M948" t="s">
        <v>12053</v>
      </c>
      <c r="N948" t="s">
        <v>10384</v>
      </c>
      <c r="O948" t="s">
        <v>6149</v>
      </c>
      <c r="P948" s="614">
        <f>COUNTIF(EducPlans_кодНАЦИД_Спец[аФакСец],EducPlans_кодНАЦИД_Спец[[#This Row],[аФакСец]])</f>
        <v>1</v>
      </c>
    </row>
    <row r="949" spans="3:16" x14ac:dyDescent="0.25">
      <c r="C949" s="614">
        <v>943</v>
      </c>
      <c r="D949" s="614">
        <v>12107</v>
      </c>
      <c r="E949" s="64" t="s">
        <v>2179</v>
      </c>
      <c r="F949" s="64" t="s">
        <v>6152</v>
      </c>
      <c r="G949" s="614" t="s">
        <v>29</v>
      </c>
      <c r="H949" s="614" t="s">
        <v>682</v>
      </c>
      <c r="I949" s="614" t="s">
        <v>1153</v>
      </c>
      <c r="J949" s="64" t="s">
        <v>4164</v>
      </c>
      <c r="K949" s="1940" t="s">
        <v>6153</v>
      </c>
      <c r="L949" s="1940" t="s">
        <v>8670</v>
      </c>
      <c r="M949" t="s">
        <v>12054</v>
      </c>
      <c r="N949" t="s">
        <v>10385</v>
      </c>
      <c r="O949" t="s">
        <v>6152</v>
      </c>
      <c r="P949" s="614">
        <f>COUNTIF(EducPlans_кодНАЦИД_Спец[аФакСец],EducPlans_кодНАЦИД_Спец[[#This Row],[аФакСец]])</f>
        <v>2</v>
      </c>
    </row>
    <row r="950" spans="3:16" x14ac:dyDescent="0.25">
      <c r="C950" s="614">
        <v>944</v>
      </c>
      <c r="D950" s="614">
        <v>12124</v>
      </c>
      <c r="E950" s="64" t="s">
        <v>2180</v>
      </c>
      <c r="F950" s="64" t="s">
        <v>6154</v>
      </c>
      <c r="G950" s="614" t="s">
        <v>29</v>
      </c>
      <c r="H950" s="614" t="s">
        <v>682</v>
      </c>
      <c r="I950" s="614" t="s">
        <v>1153</v>
      </c>
      <c r="J950" s="64" t="s">
        <v>4164</v>
      </c>
      <c r="K950" s="1940" t="s">
        <v>6155</v>
      </c>
      <c r="L950" s="1940" t="s">
        <v>8670</v>
      </c>
      <c r="M950" t="s">
        <v>12055</v>
      </c>
      <c r="N950" t="s">
        <v>10385</v>
      </c>
      <c r="O950" t="s">
        <v>6154</v>
      </c>
      <c r="P950" s="614">
        <f>COUNTIF(EducPlans_кодНАЦИД_Спец[аФакСец],EducPlans_кодНАЦИД_Спец[[#This Row],[аФакСец]])</f>
        <v>2</v>
      </c>
    </row>
    <row r="951" spans="3:16" x14ac:dyDescent="0.25">
      <c r="C951" s="614">
        <v>945</v>
      </c>
      <c r="D951" s="614">
        <v>11653</v>
      </c>
      <c r="E951" s="64" t="s">
        <v>1420</v>
      </c>
      <c r="F951" s="64" t="s">
        <v>6156</v>
      </c>
      <c r="G951" s="614" t="s">
        <v>33</v>
      </c>
      <c r="H951" s="614" t="s">
        <v>682</v>
      </c>
      <c r="I951" s="614" t="s">
        <v>1153</v>
      </c>
      <c r="J951" s="64" t="s">
        <v>3577</v>
      </c>
      <c r="K951" s="1940" t="s">
        <v>6157</v>
      </c>
      <c r="L951" s="1940" t="s">
        <v>8671</v>
      </c>
      <c r="M951" t="s">
        <v>12056</v>
      </c>
      <c r="N951" t="s">
        <v>10386</v>
      </c>
      <c r="O951" t="s">
        <v>6156</v>
      </c>
      <c r="P951" s="614">
        <f>COUNTIF(EducPlans_кодНАЦИД_Спец[аФакСец],EducPlans_кодНАЦИД_Спец[[#This Row],[аФакСец]])</f>
        <v>1</v>
      </c>
    </row>
    <row r="952" spans="3:16" x14ac:dyDescent="0.25">
      <c r="C952" s="614">
        <v>946</v>
      </c>
      <c r="D952" s="614">
        <v>11654</v>
      </c>
      <c r="E952" s="64" t="s">
        <v>1421</v>
      </c>
      <c r="F952" s="64" t="s">
        <v>6158</v>
      </c>
      <c r="G952" s="614" t="s">
        <v>33</v>
      </c>
      <c r="H952" s="614" t="s">
        <v>682</v>
      </c>
      <c r="I952" s="614" t="s">
        <v>1153</v>
      </c>
      <c r="J952" s="64" t="s">
        <v>3578</v>
      </c>
      <c r="K952" s="1940" t="s">
        <v>6159</v>
      </c>
      <c r="L952" s="1940" t="s">
        <v>8672</v>
      </c>
      <c r="M952" t="s">
        <v>12057</v>
      </c>
      <c r="N952" t="s">
        <v>10387</v>
      </c>
      <c r="O952" t="s">
        <v>6158</v>
      </c>
      <c r="P952" s="614">
        <f>COUNTIF(EducPlans_кодНАЦИД_Спец[аФакСец],EducPlans_кодНАЦИД_Спец[[#This Row],[аФакСец]])</f>
        <v>1</v>
      </c>
    </row>
    <row r="953" spans="3:16" x14ac:dyDescent="0.25">
      <c r="C953" s="614">
        <v>947</v>
      </c>
      <c r="D953" s="614">
        <v>456845</v>
      </c>
      <c r="E953" s="64" t="s">
        <v>13576</v>
      </c>
      <c r="F953" s="64" t="s">
        <v>13577</v>
      </c>
      <c r="G953" s="614" t="s">
        <v>626</v>
      </c>
      <c r="H953" s="614" t="s">
        <v>682</v>
      </c>
      <c r="I953" s="614" t="s">
        <v>1153</v>
      </c>
      <c r="J953" s="64" t="s">
        <v>6161</v>
      </c>
      <c r="K953" s="1940" t="s">
        <v>13578</v>
      </c>
      <c r="L953" s="1940" t="s">
        <v>8673</v>
      </c>
      <c r="M953" t="s">
        <v>13579</v>
      </c>
      <c r="N953" t="s">
        <v>10388</v>
      </c>
      <c r="O953" t="s">
        <v>13577</v>
      </c>
      <c r="P953" s="614">
        <f>COUNTIF(EducPlans_кодНАЦИД_Спец[аФакСец],EducPlans_кодНАЦИД_Спец[[#This Row],[аФакСец]])</f>
        <v>1</v>
      </c>
    </row>
    <row r="954" spans="3:16" x14ac:dyDescent="0.25">
      <c r="C954" s="614">
        <v>948</v>
      </c>
      <c r="D954" s="614">
        <v>456845</v>
      </c>
      <c r="E954" s="64" t="s">
        <v>13576</v>
      </c>
      <c r="F954" s="64" t="s">
        <v>13580</v>
      </c>
      <c r="G954" s="614" t="s">
        <v>626</v>
      </c>
      <c r="H954" s="614" t="s">
        <v>682</v>
      </c>
      <c r="I954" s="614" t="s">
        <v>1153</v>
      </c>
      <c r="J954" s="64" t="s">
        <v>6162</v>
      </c>
      <c r="K954" s="1940" t="s">
        <v>13578</v>
      </c>
      <c r="L954" s="1940" t="s">
        <v>8674</v>
      </c>
      <c r="M954" t="s">
        <v>13581</v>
      </c>
      <c r="N954" t="s">
        <v>10389</v>
      </c>
      <c r="O954" t="s">
        <v>13580</v>
      </c>
      <c r="P954" s="614">
        <f>COUNTIF(EducPlans_кодНАЦИД_Спец[аФакСец],EducPlans_кодНАЦИД_Спец[[#This Row],[аФакСец]])</f>
        <v>1</v>
      </c>
    </row>
    <row r="955" spans="3:16" x14ac:dyDescent="0.25">
      <c r="C955" s="614">
        <v>949</v>
      </c>
      <c r="D955" s="614">
        <v>12933</v>
      </c>
      <c r="E955" s="64" t="s">
        <v>1822</v>
      </c>
      <c r="F955" s="64" t="s">
        <v>6163</v>
      </c>
      <c r="G955" s="614" t="s">
        <v>42</v>
      </c>
      <c r="H955" s="614" t="s">
        <v>682</v>
      </c>
      <c r="I955" s="614" t="s">
        <v>1153</v>
      </c>
      <c r="J955" s="64" t="s">
        <v>3487</v>
      </c>
      <c r="K955" s="1940" t="s">
        <v>6164</v>
      </c>
      <c r="L955" s="1940" t="s">
        <v>8675</v>
      </c>
      <c r="M955" t="s">
        <v>12058</v>
      </c>
      <c r="N955" t="s">
        <v>10390</v>
      </c>
      <c r="O955" t="s">
        <v>6163</v>
      </c>
      <c r="P955" s="614">
        <f>COUNTIF(EducPlans_кодНАЦИД_Спец[аФакСец],EducPlans_кодНАЦИД_Спец[[#This Row],[аФакСец]])</f>
        <v>1</v>
      </c>
    </row>
    <row r="956" spans="3:16" x14ac:dyDescent="0.25">
      <c r="C956" s="614">
        <v>950</v>
      </c>
      <c r="D956" s="614">
        <v>12934</v>
      </c>
      <c r="E956" s="64" t="s">
        <v>1822</v>
      </c>
      <c r="F956" s="64" t="s">
        <v>6165</v>
      </c>
      <c r="G956" s="614" t="s">
        <v>42</v>
      </c>
      <c r="H956" s="614" t="s">
        <v>682</v>
      </c>
      <c r="I956" s="614" t="s">
        <v>1149</v>
      </c>
      <c r="J956" s="64" t="s">
        <v>3486</v>
      </c>
      <c r="K956" s="1940" t="s">
        <v>6166</v>
      </c>
      <c r="L956" s="1940" t="s">
        <v>8676</v>
      </c>
      <c r="M956" t="s">
        <v>12059</v>
      </c>
      <c r="N956" t="s">
        <v>10391</v>
      </c>
      <c r="O956" t="s">
        <v>6165</v>
      </c>
      <c r="P956" s="614">
        <f>COUNTIF(EducPlans_кодНАЦИД_Спец[аФакСец],EducPlans_кодНАЦИД_Спец[[#This Row],[аФакСец]])</f>
        <v>1</v>
      </c>
    </row>
    <row r="957" spans="3:16" x14ac:dyDescent="0.25">
      <c r="C957" s="614">
        <v>951</v>
      </c>
      <c r="D957" s="614">
        <v>12937</v>
      </c>
      <c r="E957" s="64" t="s">
        <v>1823</v>
      </c>
      <c r="F957" s="64" t="s">
        <v>6167</v>
      </c>
      <c r="G957" s="614" t="s">
        <v>42</v>
      </c>
      <c r="H957" s="614" t="s">
        <v>682</v>
      </c>
      <c r="I957" s="614" t="s">
        <v>1149</v>
      </c>
      <c r="J957" s="64" t="s">
        <v>3488</v>
      </c>
      <c r="K957" s="1940" t="s">
        <v>6168</v>
      </c>
      <c r="L957" s="1940" t="s">
        <v>8677</v>
      </c>
      <c r="M957" t="s">
        <v>12060</v>
      </c>
      <c r="N957" t="s">
        <v>10392</v>
      </c>
      <c r="O957" t="s">
        <v>6167</v>
      </c>
      <c r="P957" s="614">
        <f>COUNTIF(EducPlans_кодНАЦИД_Спец[аФакСец],EducPlans_кодНАЦИД_Спец[[#This Row],[аФакСец]])</f>
        <v>1</v>
      </c>
    </row>
    <row r="958" spans="3:16" x14ac:dyDescent="0.25">
      <c r="C958" s="614">
        <v>952</v>
      </c>
      <c r="D958" s="614">
        <v>258840</v>
      </c>
      <c r="E958" s="64" t="s">
        <v>1734</v>
      </c>
      <c r="F958" s="64" t="s">
        <v>6169</v>
      </c>
      <c r="G958" s="614" t="s">
        <v>44</v>
      </c>
      <c r="H958" s="614" t="s">
        <v>682</v>
      </c>
      <c r="I958" s="614" t="s">
        <v>1153</v>
      </c>
      <c r="J958" s="64" t="s">
        <v>4287</v>
      </c>
      <c r="K958" s="1940" t="s">
        <v>6170</v>
      </c>
      <c r="L958" s="1940" t="s">
        <v>8678</v>
      </c>
      <c r="M958" t="s">
        <v>12061</v>
      </c>
      <c r="N958" t="s">
        <v>10393</v>
      </c>
      <c r="O958" t="s">
        <v>6169</v>
      </c>
      <c r="P958" s="614">
        <f>COUNTIF(EducPlans_кодНАЦИД_Спец[аФакСец],EducPlans_кодНАЦИД_Спец[[#This Row],[аФакСец]])</f>
        <v>1</v>
      </c>
    </row>
    <row r="959" spans="3:16" x14ac:dyDescent="0.25">
      <c r="C959" s="614">
        <v>953</v>
      </c>
      <c r="D959" s="614">
        <v>12550</v>
      </c>
      <c r="E959" s="64" t="s">
        <v>1735</v>
      </c>
      <c r="F959" s="64" t="s">
        <v>6171</v>
      </c>
      <c r="G959" s="614" t="s">
        <v>44</v>
      </c>
      <c r="H959" s="614" t="s">
        <v>682</v>
      </c>
      <c r="I959" s="614" t="s">
        <v>1153</v>
      </c>
      <c r="J959" s="64" t="s">
        <v>4288</v>
      </c>
      <c r="K959" s="1940" t="s">
        <v>6172</v>
      </c>
      <c r="L959" s="1940" t="s">
        <v>8679</v>
      </c>
      <c r="M959" t="s">
        <v>12062</v>
      </c>
      <c r="N959" t="s">
        <v>10394</v>
      </c>
      <c r="O959" t="s">
        <v>6171</v>
      </c>
      <c r="P959" s="614">
        <f>COUNTIF(EducPlans_кодНАЦИД_Спец[аФакСец],EducPlans_кодНАЦИД_Спец[[#This Row],[аФакСец]])</f>
        <v>1</v>
      </c>
    </row>
    <row r="960" spans="3:16" x14ac:dyDescent="0.25">
      <c r="C960" s="614">
        <v>954</v>
      </c>
      <c r="D960" s="614">
        <v>12550</v>
      </c>
      <c r="E960" s="64" t="s">
        <v>1735</v>
      </c>
      <c r="F960" s="64" t="s">
        <v>6173</v>
      </c>
      <c r="G960" s="614" t="s">
        <v>44</v>
      </c>
      <c r="H960" s="614" t="s">
        <v>682</v>
      </c>
      <c r="I960" s="614" t="s">
        <v>1153</v>
      </c>
      <c r="J960" s="64" t="s">
        <v>4289</v>
      </c>
      <c r="K960" s="1940" t="s">
        <v>6172</v>
      </c>
      <c r="L960" s="1940" t="s">
        <v>8680</v>
      </c>
      <c r="M960" t="s">
        <v>12063</v>
      </c>
      <c r="N960" t="s">
        <v>10395</v>
      </c>
      <c r="O960" t="s">
        <v>6173</v>
      </c>
      <c r="P960" s="614">
        <f>COUNTIF(EducPlans_кодНАЦИД_Спец[аФакСец],EducPlans_кодНАЦИД_Спец[[#This Row],[аФакСец]])</f>
        <v>1</v>
      </c>
    </row>
    <row r="961" spans="3:16" x14ac:dyDescent="0.25">
      <c r="C961" s="614">
        <v>955</v>
      </c>
      <c r="D961" s="614">
        <v>12548</v>
      </c>
      <c r="E961" s="64" t="s">
        <v>1736</v>
      </c>
      <c r="F961" s="64" t="s">
        <v>6174</v>
      </c>
      <c r="G961" s="614" t="s">
        <v>44</v>
      </c>
      <c r="H961" s="614" t="s">
        <v>682</v>
      </c>
      <c r="I961" s="614" t="s">
        <v>1153</v>
      </c>
      <c r="J961" s="64" t="s">
        <v>4290</v>
      </c>
      <c r="K961" s="1940" t="s">
        <v>6175</v>
      </c>
      <c r="L961" s="1940" t="s">
        <v>8681</v>
      </c>
      <c r="M961" t="s">
        <v>12064</v>
      </c>
      <c r="N961" t="s">
        <v>10396</v>
      </c>
      <c r="O961" t="s">
        <v>6174</v>
      </c>
      <c r="P961" s="614">
        <f>COUNTIF(EducPlans_кодНАЦИД_Спец[аФакСец],EducPlans_кодНАЦИД_Спец[[#This Row],[аФакСец]])</f>
        <v>1</v>
      </c>
    </row>
    <row r="962" spans="3:16" x14ac:dyDescent="0.25">
      <c r="C962" s="614">
        <v>956</v>
      </c>
      <c r="D962" s="614">
        <v>956907</v>
      </c>
      <c r="E962" s="64" t="s">
        <v>13582</v>
      </c>
      <c r="F962" s="64" t="s">
        <v>13583</v>
      </c>
      <c r="G962" s="614" t="s">
        <v>626</v>
      </c>
      <c r="H962" s="614" t="s">
        <v>681</v>
      </c>
      <c r="I962" s="614" t="s">
        <v>1153</v>
      </c>
      <c r="J962" s="64" t="s">
        <v>13584</v>
      </c>
      <c r="K962" s="1940" t="s">
        <v>13585</v>
      </c>
      <c r="L962" s="1940" t="s">
        <v>13586</v>
      </c>
      <c r="M962" t="s">
        <v>13587</v>
      </c>
      <c r="N962" t="s">
        <v>13588</v>
      </c>
      <c r="O962" t="s">
        <v>13583</v>
      </c>
      <c r="P962" s="614">
        <f>COUNTIF(EducPlans_кодНАЦИД_Спец[аФакСец],EducPlans_кодНАЦИД_Спец[[#This Row],[аФакСец]])</f>
        <v>1</v>
      </c>
    </row>
    <row r="963" spans="3:16" x14ac:dyDescent="0.25">
      <c r="C963" s="614">
        <v>957</v>
      </c>
      <c r="D963" s="614">
        <v>564883</v>
      </c>
      <c r="E963" s="64" t="s">
        <v>6176</v>
      </c>
      <c r="F963" s="64" t="s">
        <v>6177</v>
      </c>
      <c r="G963" s="614" t="s">
        <v>44</v>
      </c>
      <c r="H963" s="614" t="s">
        <v>682</v>
      </c>
      <c r="I963" s="614" t="s">
        <v>1153</v>
      </c>
      <c r="J963" s="64" t="s">
        <v>6178</v>
      </c>
      <c r="K963" s="1940" t="s">
        <v>6179</v>
      </c>
      <c r="L963" s="1940" t="s">
        <v>8682</v>
      </c>
      <c r="M963" t="s">
        <v>12065</v>
      </c>
      <c r="N963" t="s">
        <v>10397</v>
      </c>
      <c r="O963" t="s">
        <v>6177</v>
      </c>
      <c r="P963" s="614">
        <f>COUNTIF(EducPlans_кодНАЦИД_Спец[аФакСец],EducPlans_кодНАЦИД_Спец[[#This Row],[аФакСец]])</f>
        <v>1</v>
      </c>
    </row>
    <row r="964" spans="3:16" x14ac:dyDescent="0.25">
      <c r="C964" s="614">
        <v>958</v>
      </c>
      <c r="D964" s="614">
        <v>12556</v>
      </c>
      <c r="E964" s="64" t="s">
        <v>1737</v>
      </c>
      <c r="F964" s="64" t="s">
        <v>6180</v>
      </c>
      <c r="G964" s="614" t="s">
        <v>44</v>
      </c>
      <c r="H964" s="614" t="s">
        <v>682</v>
      </c>
      <c r="I964" s="614" t="s">
        <v>1153</v>
      </c>
      <c r="J964" s="64" t="s">
        <v>4291</v>
      </c>
      <c r="K964" s="1940" t="s">
        <v>6181</v>
      </c>
      <c r="L964" s="1940" t="s">
        <v>8683</v>
      </c>
      <c r="M964" t="s">
        <v>12066</v>
      </c>
      <c r="N964" t="s">
        <v>10398</v>
      </c>
      <c r="O964" t="s">
        <v>6180</v>
      </c>
      <c r="P964" s="614">
        <f>COUNTIF(EducPlans_кодНАЦИД_Спец[аФакСец],EducPlans_кодНАЦИД_Спец[[#This Row],[аФакСец]])</f>
        <v>1</v>
      </c>
    </row>
    <row r="965" spans="3:16" x14ac:dyDescent="0.25">
      <c r="C965" s="614">
        <v>959</v>
      </c>
      <c r="D965" s="614">
        <v>12556</v>
      </c>
      <c r="E965" s="64" t="s">
        <v>1737</v>
      </c>
      <c r="F965" s="64" t="s">
        <v>6182</v>
      </c>
      <c r="G965" s="614" t="s">
        <v>44</v>
      </c>
      <c r="H965" s="614" t="s">
        <v>682</v>
      </c>
      <c r="I965" s="614" t="s">
        <v>1153</v>
      </c>
      <c r="J965" s="64" t="s">
        <v>4292</v>
      </c>
      <c r="K965" s="1940" t="s">
        <v>6181</v>
      </c>
      <c r="L965" s="1940" t="s">
        <v>8684</v>
      </c>
      <c r="M965" t="s">
        <v>12067</v>
      </c>
      <c r="N965" t="s">
        <v>10399</v>
      </c>
      <c r="O965" t="s">
        <v>6182</v>
      </c>
      <c r="P965" s="614">
        <f>COUNTIF(EducPlans_кодНАЦИД_Спец[аФакСец],EducPlans_кодНАЦИД_Спец[[#This Row],[аФакСец]])</f>
        <v>1</v>
      </c>
    </row>
    <row r="966" spans="3:16" x14ac:dyDescent="0.25">
      <c r="C966" s="614">
        <v>960</v>
      </c>
      <c r="D966" s="614">
        <v>12557</v>
      </c>
      <c r="E966" s="64" t="s">
        <v>1738</v>
      </c>
      <c r="F966" s="64" t="s">
        <v>6183</v>
      </c>
      <c r="G966" s="614" t="s">
        <v>44</v>
      </c>
      <c r="H966" s="614" t="s">
        <v>682</v>
      </c>
      <c r="I966" s="614" t="s">
        <v>1153</v>
      </c>
      <c r="J966" s="64" t="s">
        <v>4294</v>
      </c>
      <c r="K966" s="1940" t="s">
        <v>6184</v>
      </c>
      <c r="L966" s="1940" t="s">
        <v>8685</v>
      </c>
      <c r="M966" t="s">
        <v>12068</v>
      </c>
      <c r="N966" t="s">
        <v>10400</v>
      </c>
      <c r="O966" t="s">
        <v>6183</v>
      </c>
      <c r="P966" s="614">
        <f>COUNTIF(EducPlans_кодНАЦИД_Спец[аФакСец],EducPlans_кодНАЦИД_Спец[[#This Row],[аФакСец]])</f>
        <v>1</v>
      </c>
    </row>
    <row r="967" spans="3:16" x14ac:dyDescent="0.25">
      <c r="C967" s="614">
        <v>961</v>
      </c>
      <c r="D967" s="614">
        <v>12557</v>
      </c>
      <c r="E967" s="64" t="s">
        <v>1738</v>
      </c>
      <c r="F967" s="64" t="s">
        <v>6185</v>
      </c>
      <c r="G967" s="614" t="s">
        <v>44</v>
      </c>
      <c r="H967" s="614" t="s">
        <v>682</v>
      </c>
      <c r="I967" s="614" t="s">
        <v>1153</v>
      </c>
      <c r="J967" s="64" t="s">
        <v>4293</v>
      </c>
      <c r="K967" s="1940" t="s">
        <v>6184</v>
      </c>
      <c r="L967" s="1940" t="s">
        <v>8686</v>
      </c>
      <c r="M967" t="s">
        <v>12069</v>
      </c>
      <c r="N967" t="s">
        <v>10401</v>
      </c>
      <c r="O967" t="s">
        <v>6185</v>
      </c>
      <c r="P967" s="614">
        <f>COUNTIF(EducPlans_кодНАЦИД_Спец[аФакСец],EducPlans_кодНАЦИД_Спец[[#This Row],[аФакСец]])</f>
        <v>1</v>
      </c>
    </row>
    <row r="968" spans="3:16" x14ac:dyDescent="0.25">
      <c r="C968" s="614">
        <v>962</v>
      </c>
      <c r="D968" s="614">
        <v>733497</v>
      </c>
      <c r="E968" s="64" t="s">
        <v>13589</v>
      </c>
      <c r="F968" s="64" t="s">
        <v>13590</v>
      </c>
      <c r="G968" s="614" t="s">
        <v>44</v>
      </c>
      <c r="H968" s="614" t="s">
        <v>682</v>
      </c>
      <c r="I968" s="614" t="s">
        <v>1153</v>
      </c>
      <c r="J968" s="64" t="s">
        <v>13591</v>
      </c>
      <c r="K968" s="1940" t="s">
        <v>13592</v>
      </c>
      <c r="L968" s="1940" t="s">
        <v>13593</v>
      </c>
      <c r="M968" t="s">
        <v>13594</v>
      </c>
      <c r="N968" t="s">
        <v>13595</v>
      </c>
      <c r="O968" t="s">
        <v>13590</v>
      </c>
      <c r="P968" s="614">
        <f>COUNTIF(EducPlans_кодНАЦИД_Спец[аФакСец],EducPlans_кодНАЦИД_Спец[[#This Row],[аФакСец]])</f>
        <v>1</v>
      </c>
    </row>
    <row r="969" spans="3:16" x14ac:dyDescent="0.25">
      <c r="C969" s="614">
        <v>963</v>
      </c>
      <c r="D969" s="614">
        <v>12552</v>
      </c>
      <c r="E969" s="64" t="s">
        <v>1739</v>
      </c>
      <c r="F969" s="64" t="s">
        <v>6186</v>
      </c>
      <c r="G969" s="614" t="s">
        <v>44</v>
      </c>
      <c r="H969" s="614" t="s">
        <v>682</v>
      </c>
      <c r="I969" s="614" t="s">
        <v>1153</v>
      </c>
      <c r="J969" s="64" t="s">
        <v>4296</v>
      </c>
      <c r="K969" s="1940" t="s">
        <v>6187</v>
      </c>
      <c r="L969" s="1940" t="s">
        <v>8687</v>
      </c>
      <c r="M969" t="s">
        <v>12070</v>
      </c>
      <c r="N969" t="s">
        <v>10402</v>
      </c>
      <c r="O969" t="s">
        <v>6186</v>
      </c>
      <c r="P969" s="614">
        <f>COUNTIF(EducPlans_кодНАЦИД_Спец[аФакСец],EducPlans_кодНАЦИД_Спец[[#This Row],[аФакСец]])</f>
        <v>1</v>
      </c>
    </row>
    <row r="970" spans="3:16" x14ac:dyDescent="0.25">
      <c r="C970" s="614">
        <v>964</v>
      </c>
      <c r="D970" s="614">
        <v>12552</v>
      </c>
      <c r="E970" s="64" t="s">
        <v>1739</v>
      </c>
      <c r="F970" s="64" t="s">
        <v>6188</v>
      </c>
      <c r="G970" s="614" t="s">
        <v>44</v>
      </c>
      <c r="H970" s="614" t="s">
        <v>682</v>
      </c>
      <c r="I970" s="614" t="s">
        <v>1153</v>
      </c>
      <c r="J970" s="64" t="s">
        <v>4295</v>
      </c>
      <c r="K970" s="1940" t="s">
        <v>6187</v>
      </c>
      <c r="L970" s="1940" t="s">
        <v>8688</v>
      </c>
      <c r="M970" t="s">
        <v>12071</v>
      </c>
      <c r="N970" t="s">
        <v>10403</v>
      </c>
      <c r="O970" t="s">
        <v>6188</v>
      </c>
      <c r="P970" s="614">
        <f>COUNTIF(EducPlans_кодНАЦИД_Спец[аФакСец],EducPlans_кодНАЦИД_Спец[[#This Row],[аФакСец]])</f>
        <v>1</v>
      </c>
    </row>
    <row r="971" spans="3:16" x14ac:dyDescent="0.25">
      <c r="C971" s="614">
        <v>965</v>
      </c>
      <c r="D971" s="614">
        <v>12554</v>
      </c>
      <c r="E971" s="64" t="s">
        <v>1740</v>
      </c>
      <c r="F971" s="64" t="s">
        <v>6189</v>
      </c>
      <c r="G971" s="614" t="s">
        <v>44</v>
      </c>
      <c r="H971" s="614" t="s">
        <v>682</v>
      </c>
      <c r="I971" s="614" t="s">
        <v>1153</v>
      </c>
      <c r="J971" s="64" t="s">
        <v>4297</v>
      </c>
      <c r="K971" s="1940" t="s">
        <v>6190</v>
      </c>
      <c r="L971" s="1940" t="s">
        <v>8689</v>
      </c>
      <c r="M971" t="s">
        <v>12072</v>
      </c>
      <c r="N971" t="s">
        <v>10404</v>
      </c>
      <c r="O971" t="s">
        <v>6189</v>
      </c>
      <c r="P971" s="614">
        <f>COUNTIF(EducPlans_кодНАЦИД_Спец[аФакСец],EducPlans_кодНАЦИД_Спец[[#This Row],[аФакСец]])</f>
        <v>1</v>
      </c>
    </row>
    <row r="972" spans="3:16" x14ac:dyDescent="0.25">
      <c r="C972" s="614">
        <v>966</v>
      </c>
      <c r="D972" s="614">
        <v>12475</v>
      </c>
      <c r="E972" s="64" t="s">
        <v>1741</v>
      </c>
      <c r="F972" s="64" t="s">
        <v>6191</v>
      </c>
      <c r="G972" s="614" t="s">
        <v>44</v>
      </c>
      <c r="H972" s="614" t="s">
        <v>681</v>
      </c>
      <c r="I972" s="614" t="s">
        <v>1153</v>
      </c>
      <c r="J972" s="64" t="s">
        <v>4298</v>
      </c>
      <c r="K972" s="1940" t="s">
        <v>6192</v>
      </c>
      <c r="L972" s="1940" t="s">
        <v>8690</v>
      </c>
      <c r="M972" t="s">
        <v>12073</v>
      </c>
      <c r="N972" t="s">
        <v>10405</v>
      </c>
      <c r="O972" t="s">
        <v>6191</v>
      </c>
      <c r="P972" s="614">
        <f>COUNTIF(EducPlans_кодНАЦИД_Спец[аФакСец],EducPlans_кодНАЦИД_Спец[[#This Row],[аФакСец]])</f>
        <v>1</v>
      </c>
    </row>
    <row r="973" spans="3:16" x14ac:dyDescent="0.25">
      <c r="C973" s="614">
        <v>967</v>
      </c>
      <c r="D973" s="614">
        <v>12477</v>
      </c>
      <c r="E973" s="64" t="s">
        <v>1742</v>
      </c>
      <c r="F973" s="64" t="s">
        <v>6193</v>
      </c>
      <c r="G973" s="614" t="s">
        <v>44</v>
      </c>
      <c r="H973" s="614" t="s">
        <v>682</v>
      </c>
      <c r="I973" s="614" t="s">
        <v>1153</v>
      </c>
      <c r="J973" s="64" t="s">
        <v>4299</v>
      </c>
      <c r="K973" s="1940" t="s">
        <v>6194</v>
      </c>
      <c r="L973" s="1940" t="s">
        <v>8691</v>
      </c>
      <c r="M973" t="s">
        <v>12074</v>
      </c>
      <c r="N973" t="s">
        <v>10406</v>
      </c>
      <c r="O973" t="s">
        <v>6193</v>
      </c>
      <c r="P973" s="614">
        <f>COUNTIF(EducPlans_кодНАЦИД_Спец[аФакСец],EducPlans_кодНАЦИД_Спец[[#This Row],[аФакСец]])</f>
        <v>1</v>
      </c>
    </row>
    <row r="974" spans="3:16" x14ac:dyDescent="0.25">
      <c r="C974" s="614">
        <v>968</v>
      </c>
      <c r="D974" s="614">
        <v>10955</v>
      </c>
      <c r="E974" s="64" t="s">
        <v>1743</v>
      </c>
      <c r="F974" s="64" t="s">
        <v>6195</v>
      </c>
      <c r="G974" s="614" t="s">
        <v>35</v>
      </c>
      <c r="H974" s="614" t="s">
        <v>682</v>
      </c>
      <c r="I974" s="614" t="s">
        <v>1153</v>
      </c>
      <c r="J974" s="64" t="s">
        <v>4037</v>
      </c>
      <c r="K974" s="1940" t="s">
        <v>6196</v>
      </c>
      <c r="L974" s="1940" t="s">
        <v>8692</v>
      </c>
      <c r="M974" t="s">
        <v>12075</v>
      </c>
      <c r="N974" t="s">
        <v>10407</v>
      </c>
      <c r="O974" t="s">
        <v>6195</v>
      </c>
      <c r="P974" s="614">
        <f>COUNTIF(EducPlans_кодНАЦИД_Спец[аФакСец],EducPlans_кодНАЦИД_Спец[[#This Row],[аФакСец]])</f>
        <v>1</v>
      </c>
    </row>
    <row r="975" spans="3:16" x14ac:dyDescent="0.25">
      <c r="C975" s="614">
        <v>969</v>
      </c>
      <c r="D975" s="614">
        <v>10955</v>
      </c>
      <c r="E975" s="64" t="s">
        <v>1743</v>
      </c>
      <c r="F975" s="64" t="s">
        <v>6197</v>
      </c>
      <c r="G975" s="614" t="s">
        <v>35</v>
      </c>
      <c r="H975" s="614" t="s">
        <v>682</v>
      </c>
      <c r="I975" s="614" t="s">
        <v>1153</v>
      </c>
      <c r="J975" s="64" t="s">
        <v>4036</v>
      </c>
      <c r="K975" s="1940" t="s">
        <v>6196</v>
      </c>
      <c r="L975" s="1940" t="s">
        <v>8693</v>
      </c>
      <c r="M975" t="s">
        <v>12076</v>
      </c>
      <c r="N975" t="s">
        <v>10408</v>
      </c>
      <c r="O975" t="s">
        <v>6197</v>
      </c>
      <c r="P975" s="614">
        <f>COUNTIF(EducPlans_кодНАЦИД_Спец[аФакСец],EducPlans_кодНАЦИД_Спец[[#This Row],[аФакСец]])</f>
        <v>1</v>
      </c>
    </row>
    <row r="976" spans="3:16" x14ac:dyDescent="0.25">
      <c r="C976" s="614">
        <v>970</v>
      </c>
      <c r="D976" s="614">
        <v>10955</v>
      </c>
      <c r="E976" s="64" t="s">
        <v>1743</v>
      </c>
      <c r="F976" s="64" t="s">
        <v>6198</v>
      </c>
      <c r="G976" s="614" t="s">
        <v>35</v>
      </c>
      <c r="H976" s="614" t="s">
        <v>682</v>
      </c>
      <c r="I976" s="614" t="s">
        <v>1153</v>
      </c>
      <c r="J976" s="64" t="s">
        <v>4038</v>
      </c>
      <c r="K976" s="1940" t="s">
        <v>6196</v>
      </c>
      <c r="L976" s="1940" t="s">
        <v>8694</v>
      </c>
      <c r="M976" t="s">
        <v>12077</v>
      </c>
      <c r="N976" t="s">
        <v>10409</v>
      </c>
      <c r="O976" t="s">
        <v>6198</v>
      </c>
      <c r="P976" s="614">
        <f>COUNTIF(EducPlans_кодНАЦИД_Спец[аФакСец],EducPlans_кодНАЦИД_Спец[[#This Row],[аФакСец]])</f>
        <v>1</v>
      </c>
    </row>
    <row r="977" spans="3:16" x14ac:dyDescent="0.25">
      <c r="C977" s="614">
        <v>971</v>
      </c>
      <c r="D977" s="614">
        <v>10959</v>
      </c>
      <c r="E977" s="64" t="s">
        <v>1743</v>
      </c>
      <c r="F977" s="64" t="s">
        <v>6199</v>
      </c>
      <c r="G977" s="614" t="s">
        <v>35</v>
      </c>
      <c r="H977" s="614" t="s">
        <v>682</v>
      </c>
      <c r="I977" s="614" t="s">
        <v>1153</v>
      </c>
      <c r="J977" s="64" t="s">
        <v>4035</v>
      </c>
      <c r="K977" s="1940" t="s">
        <v>6200</v>
      </c>
      <c r="L977" s="1940" t="s">
        <v>8695</v>
      </c>
      <c r="M977" t="s">
        <v>12078</v>
      </c>
      <c r="N977" t="s">
        <v>10410</v>
      </c>
      <c r="O977" t="s">
        <v>6199</v>
      </c>
      <c r="P977" s="614">
        <f>COUNTIF(EducPlans_кодНАЦИД_Спец[аФакСец],EducPlans_кодНАЦИД_Спец[[#This Row],[аФакСец]])</f>
        <v>1</v>
      </c>
    </row>
    <row r="978" spans="3:16" x14ac:dyDescent="0.25">
      <c r="C978" s="614">
        <v>972</v>
      </c>
      <c r="D978" s="614">
        <v>10957</v>
      </c>
      <c r="E978" s="64" t="s">
        <v>1743</v>
      </c>
      <c r="F978" s="64" t="s">
        <v>6201</v>
      </c>
      <c r="G978" s="614" t="s">
        <v>35</v>
      </c>
      <c r="H978" s="614" t="s">
        <v>682</v>
      </c>
      <c r="I978" s="614" t="s">
        <v>1149</v>
      </c>
      <c r="J978" s="64" t="s">
        <v>4032</v>
      </c>
      <c r="K978" s="1940" t="s">
        <v>6202</v>
      </c>
      <c r="L978" s="1940" t="s">
        <v>8696</v>
      </c>
      <c r="M978" t="s">
        <v>12079</v>
      </c>
      <c r="N978" t="s">
        <v>10411</v>
      </c>
      <c r="O978" t="s">
        <v>6201</v>
      </c>
      <c r="P978" s="614">
        <f>COUNTIF(EducPlans_кодНАЦИД_Спец[аФакСец],EducPlans_кодНАЦИД_Спец[[#This Row],[аФакСец]])</f>
        <v>1</v>
      </c>
    </row>
    <row r="979" spans="3:16" x14ac:dyDescent="0.25">
      <c r="C979" s="614">
        <v>973</v>
      </c>
      <c r="D979" s="614">
        <v>10957</v>
      </c>
      <c r="E979" s="64" t="s">
        <v>1743</v>
      </c>
      <c r="F979" s="64" t="s">
        <v>6203</v>
      </c>
      <c r="G979" s="614" t="s">
        <v>35</v>
      </c>
      <c r="H979" s="614" t="s">
        <v>682</v>
      </c>
      <c r="I979" s="614" t="s">
        <v>1149</v>
      </c>
      <c r="J979" s="64" t="s">
        <v>4033</v>
      </c>
      <c r="K979" s="1940" t="s">
        <v>6202</v>
      </c>
      <c r="L979" s="1940" t="s">
        <v>8697</v>
      </c>
      <c r="M979" t="s">
        <v>12080</v>
      </c>
      <c r="N979" t="s">
        <v>10412</v>
      </c>
      <c r="O979" t="s">
        <v>6203</v>
      </c>
      <c r="P979" s="614">
        <f>COUNTIF(EducPlans_кодНАЦИД_Спец[аФакСец],EducPlans_кодНАЦИД_Спец[[#This Row],[аФакСец]])</f>
        <v>1</v>
      </c>
    </row>
    <row r="980" spans="3:16" x14ac:dyDescent="0.25">
      <c r="C980" s="614">
        <v>974</v>
      </c>
      <c r="D980" s="614">
        <v>10957</v>
      </c>
      <c r="E980" s="64" t="s">
        <v>1743</v>
      </c>
      <c r="F980" s="64" t="s">
        <v>6204</v>
      </c>
      <c r="G980" s="614" t="s">
        <v>35</v>
      </c>
      <c r="H980" s="614" t="s">
        <v>682</v>
      </c>
      <c r="I980" s="614" t="s">
        <v>1149</v>
      </c>
      <c r="J980" s="64" t="s">
        <v>4031</v>
      </c>
      <c r="K980" s="1940" t="s">
        <v>6202</v>
      </c>
      <c r="L980" s="1940" t="s">
        <v>8698</v>
      </c>
      <c r="M980" t="s">
        <v>12081</v>
      </c>
      <c r="N980" t="s">
        <v>10413</v>
      </c>
      <c r="O980" t="s">
        <v>6204</v>
      </c>
      <c r="P980" s="614">
        <f>COUNTIF(EducPlans_кодНАЦИД_Спец[аФакСец],EducPlans_кодНАЦИД_Спец[[#This Row],[аФакСец]])</f>
        <v>1</v>
      </c>
    </row>
    <row r="981" spans="3:16" x14ac:dyDescent="0.25">
      <c r="C981" s="614">
        <v>975</v>
      </c>
      <c r="D981" s="614">
        <v>10961</v>
      </c>
      <c r="E981" s="64" t="s">
        <v>1743</v>
      </c>
      <c r="F981" s="64" t="s">
        <v>6205</v>
      </c>
      <c r="G981" s="614" t="s">
        <v>35</v>
      </c>
      <c r="H981" s="614" t="s">
        <v>682</v>
      </c>
      <c r="I981" s="614" t="s">
        <v>1149</v>
      </c>
      <c r="J981" s="64" t="s">
        <v>4034</v>
      </c>
      <c r="K981" s="1940" t="s">
        <v>6206</v>
      </c>
      <c r="L981" s="1940" t="s">
        <v>8699</v>
      </c>
      <c r="M981" t="s">
        <v>12082</v>
      </c>
      <c r="N981" t="s">
        <v>10414</v>
      </c>
      <c r="O981" t="s">
        <v>6205</v>
      </c>
      <c r="P981" s="614">
        <f>COUNTIF(EducPlans_кодНАЦИД_Спец[аФакСец],EducPlans_кодНАЦИД_Спец[[#This Row],[аФакСец]])</f>
        <v>1</v>
      </c>
    </row>
    <row r="982" spans="3:16" x14ac:dyDescent="0.25">
      <c r="C982" s="614">
        <v>976</v>
      </c>
      <c r="D982" s="614">
        <v>10916</v>
      </c>
      <c r="E982" s="64" t="s">
        <v>1681</v>
      </c>
      <c r="F982" s="64" t="s">
        <v>6207</v>
      </c>
      <c r="G982" s="614" t="s">
        <v>35</v>
      </c>
      <c r="H982" s="614" t="s">
        <v>682</v>
      </c>
      <c r="I982" s="614" t="s">
        <v>1153</v>
      </c>
      <c r="J982" s="64" t="s">
        <v>4040</v>
      </c>
      <c r="K982" s="1940" t="s">
        <v>6208</v>
      </c>
      <c r="L982" s="1940" t="s">
        <v>8700</v>
      </c>
      <c r="M982" t="s">
        <v>12083</v>
      </c>
      <c r="N982" t="s">
        <v>10415</v>
      </c>
      <c r="O982" t="s">
        <v>6207</v>
      </c>
      <c r="P982" s="614">
        <f>COUNTIF(EducPlans_кодНАЦИД_Спец[аФакСец],EducPlans_кодНАЦИД_Спец[[#This Row],[аФакСец]])</f>
        <v>1</v>
      </c>
    </row>
    <row r="983" spans="3:16" x14ac:dyDescent="0.25">
      <c r="C983" s="614">
        <v>977</v>
      </c>
      <c r="D983" s="614">
        <v>10916</v>
      </c>
      <c r="E983" s="64" t="s">
        <v>1681</v>
      </c>
      <c r="F983" s="64" t="s">
        <v>6209</v>
      </c>
      <c r="G983" s="614" t="s">
        <v>35</v>
      </c>
      <c r="H983" s="614" t="s">
        <v>682</v>
      </c>
      <c r="I983" s="614" t="s">
        <v>1153</v>
      </c>
      <c r="J983" s="64" t="s">
        <v>4039</v>
      </c>
      <c r="K983" s="1940" t="s">
        <v>6208</v>
      </c>
      <c r="L983" s="1940" t="s">
        <v>8701</v>
      </c>
      <c r="M983" t="s">
        <v>12084</v>
      </c>
      <c r="N983" t="s">
        <v>10416</v>
      </c>
      <c r="O983" t="s">
        <v>6209</v>
      </c>
      <c r="P983" s="614">
        <f>COUNTIF(EducPlans_кодНАЦИД_Спец[аФакСец],EducPlans_кодНАЦИД_Спец[[#This Row],[аФакСец]])</f>
        <v>1</v>
      </c>
    </row>
    <row r="984" spans="3:16" x14ac:dyDescent="0.25">
      <c r="C984" s="614">
        <v>978</v>
      </c>
      <c r="D984" s="614">
        <v>10927</v>
      </c>
      <c r="E984" s="64" t="s">
        <v>1682</v>
      </c>
      <c r="F984" s="64" t="s">
        <v>6210</v>
      </c>
      <c r="G984" s="614" t="s">
        <v>35</v>
      </c>
      <c r="H984" s="614" t="s">
        <v>682</v>
      </c>
      <c r="I984" s="614" t="s">
        <v>1153</v>
      </c>
      <c r="J984" s="64" t="s">
        <v>4041</v>
      </c>
      <c r="K984" s="1940" t="s">
        <v>6211</v>
      </c>
      <c r="L984" s="1940" t="s">
        <v>8702</v>
      </c>
      <c r="M984" t="s">
        <v>12085</v>
      </c>
      <c r="N984" t="s">
        <v>10417</v>
      </c>
      <c r="O984" t="s">
        <v>6210</v>
      </c>
      <c r="P984" s="614">
        <f>COUNTIF(EducPlans_кодНАЦИД_Спец[аФакСец],EducPlans_кодНАЦИД_Спец[[#This Row],[аФакСец]])</f>
        <v>1</v>
      </c>
    </row>
    <row r="985" spans="3:16" x14ac:dyDescent="0.25">
      <c r="C985" s="614">
        <v>979</v>
      </c>
      <c r="D985" s="614">
        <v>12678</v>
      </c>
      <c r="E985" s="64" t="s">
        <v>1192</v>
      </c>
      <c r="F985" s="64" t="s">
        <v>6212</v>
      </c>
      <c r="G985" s="614" t="s">
        <v>296</v>
      </c>
      <c r="H985" s="614" t="s">
        <v>682</v>
      </c>
      <c r="I985" s="614" t="s">
        <v>1149</v>
      </c>
      <c r="J985" s="64" t="s">
        <v>3788</v>
      </c>
      <c r="K985" s="1940" t="s">
        <v>6213</v>
      </c>
      <c r="L985" s="1940" t="s">
        <v>8703</v>
      </c>
      <c r="M985" t="s">
        <v>12086</v>
      </c>
      <c r="N985" t="s">
        <v>10418</v>
      </c>
      <c r="O985" t="s">
        <v>6212</v>
      </c>
      <c r="P985" s="614">
        <f>COUNTIF(EducPlans_кодНАЦИД_Спец[аФакСец],EducPlans_кодНАЦИД_Спец[[#This Row],[аФакСец]])</f>
        <v>1</v>
      </c>
    </row>
    <row r="986" spans="3:16" x14ac:dyDescent="0.25">
      <c r="C986" s="614">
        <v>980</v>
      </c>
      <c r="D986" s="614">
        <v>12678</v>
      </c>
      <c r="E986" s="64" t="s">
        <v>1192</v>
      </c>
      <c r="F986" s="64" t="s">
        <v>6214</v>
      </c>
      <c r="G986" s="614" t="s">
        <v>296</v>
      </c>
      <c r="H986" s="614" t="s">
        <v>682</v>
      </c>
      <c r="I986" s="614" t="s">
        <v>1149</v>
      </c>
      <c r="J986" s="64" t="s">
        <v>3789</v>
      </c>
      <c r="K986" s="1940" t="s">
        <v>6213</v>
      </c>
      <c r="L986" s="1940" t="s">
        <v>8704</v>
      </c>
      <c r="M986" t="s">
        <v>12087</v>
      </c>
      <c r="N986" t="s">
        <v>10419</v>
      </c>
      <c r="O986" t="s">
        <v>6214</v>
      </c>
      <c r="P986" s="614">
        <f>COUNTIF(EducPlans_кодНАЦИД_Спец[аФакСец],EducPlans_кодНАЦИД_Спец[[#This Row],[аФакСец]])</f>
        <v>1</v>
      </c>
    </row>
    <row r="987" spans="3:16" x14ac:dyDescent="0.25">
      <c r="C987" s="614">
        <v>981</v>
      </c>
      <c r="D987" s="614">
        <v>11258</v>
      </c>
      <c r="E987" s="64" t="s">
        <v>1195</v>
      </c>
      <c r="F987" s="64" t="s">
        <v>6215</v>
      </c>
      <c r="G987" s="614" t="s">
        <v>39</v>
      </c>
      <c r="H987" s="614" t="s">
        <v>682</v>
      </c>
      <c r="I987" s="614" t="s">
        <v>1153</v>
      </c>
      <c r="J987" s="64" t="s">
        <v>3881</v>
      </c>
      <c r="K987" s="1940" t="s">
        <v>6216</v>
      </c>
      <c r="L987" s="1940" t="s">
        <v>8705</v>
      </c>
      <c r="M987" t="s">
        <v>12088</v>
      </c>
      <c r="N987" t="s">
        <v>10420</v>
      </c>
      <c r="O987" t="s">
        <v>6215</v>
      </c>
      <c r="P987" s="614">
        <f>COUNTIF(EducPlans_кодНАЦИД_Спец[аФакСец],EducPlans_кодНАЦИД_Спец[[#This Row],[аФакСец]])</f>
        <v>1</v>
      </c>
    </row>
    <row r="988" spans="3:16" x14ac:dyDescent="0.25">
      <c r="C988" s="614">
        <v>982</v>
      </c>
      <c r="D988" s="614">
        <v>11259</v>
      </c>
      <c r="E988" s="64" t="s">
        <v>1195</v>
      </c>
      <c r="F988" s="64" t="s">
        <v>6217</v>
      </c>
      <c r="G988" s="614" t="s">
        <v>39</v>
      </c>
      <c r="H988" s="614" t="s">
        <v>682</v>
      </c>
      <c r="I988" s="614" t="s">
        <v>1149</v>
      </c>
      <c r="J988" s="64" t="s">
        <v>3879</v>
      </c>
      <c r="K988" s="1940" t="s">
        <v>6218</v>
      </c>
      <c r="L988" s="1940" t="s">
        <v>8706</v>
      </c>
      <c r="M988" t="s">
        <v>12089</v>
      </c>
      <c r="N988" t="s">
        <v>10421</v>
      </c>
      <c r="O988" t="s">
        <v>6217</v>
      </c>
      <c r="P988" s="614">
        <f>COUNTIF(EducPlans_кодНАЦИД_Спец[аФакСец],EducPlans_кодНАЦИД_Спец[[#This Row],[аФакСец]])</f>
        <v>1</v>
      </c>
    </row>
    <row r="989" spans="3:16" x14ac:dyDescent="0.25">
      <c r="C989" s="614">
        <v>983</v>
      </c>
      <c r="D989" s="614">
        <v>11259</v>
      </c>
      <c r="E989" s="64" t="s">
        <v>1195</v>
      </c>
      <c r="F989" s="64" t="s">
        <v>6219</v>
      </c>
      <c r="G989" s="614" t="s">
        <v>39</v>
      </c>
      <c r="H989" s="614" t="s">
        <v>682</v>
      </c>
      <c r="I989" s="614" t="s">
        <v>1149</v>
      </c>
      <c r="J989" s="64" t="s">
        <v>3880</v>
      </c>
      <c r="K989" s="1940" t="s">
        <v>6218</v>
      </c>
      <c r="L989" s="1940" t="s">
        <v>8707</v>
      </c>
      <c r="M989" t="s">
        <v>12090</v>
      </c>
      <c r="N989" t="s">
        <v>10422</v>
      </c>
      <c r="O989" t="s">
        <v>6219</v>
      </c>
      <c r="P989" s="614">
        <f>COUNTIF(EducPlans_кодНАЦИД_Спец[аФакСец],EducPlans_кодНАЦИД_Спец[[#This Row],[аФакСец]])</f>
        <v>1</v>
      </c>
    </row>
    <row r="990" spans="3:16" x14ac:dyDescent="0.25">
      <c r="C990" s="614">
        <v>984</v>
      </c>
      <c r="D990" s="614">
        <v>12683</v>
      </c>
      <c r="E990" s="64" t="s">
        <v>1198</v>
      </c>
      <c r="F990" s="64" t="s">
        <v>6220</v>
      </c>
      <c r="G990" s="614" t="s">
        <v>296</v>
      </c>
      <c r="H990" s="614" t="s">
        <v>682</v>
      </c>
      <c r="I990" s="614" t="s">
        <v>1153</v>
      </c>
      <c r="J990" s="64" t="s">
        <v>3792</v>
      </c>
      <c r="K990" s="1940" t="s">
        <v>6221</v>
      </c>
      <c r="L990" s="1940" t="s">
        <v>8708</v>
      </c>
      <c r="M990" t="s">
        <v>12091</v>
      </c>
      <c r="N990" t="s">
        <v>10423</v>
      </c>
      <c r="O990" t="s">
        <v>6220</v>
      </c>
      <c r="P990" s="614">
        <f>COUNTIF(EducPlans_кодНАЦИД_Спец[аФакСец],EducPlans_кодНАЦИД_Спец[[#This Row],[аФакСец]])</f>
        <v>1</v>
      </c>
    </row>
    <row r="991" spans="3:16" x14ac:dyDescent="0.25">
      <c r="C991" s="614">
        <v>985</v>
      </c>
      <c r="D991" s="614">
        <v>12683</v>
      </c>
      <c r="E991" s="64" t="s">
        <v>1198</v>
      </c>
      <c r="F991" s="64" t="s">
        <v>13005</v>
      </c>
      <c r="G991" s="614" t="s">
        <v>296</v>
      </c>
      <c r="H991" s="614" t="s">
        <v>682</v>
      </c>
      <c r="I991" s="614" t="s">
        <v>1153</v>
      </c>
      <c r="J991" s="64" t="s">
        <v>13006</v>
      </c>
      <c r="K991" s="1940" t="s">
        <v>6221</v>
      </c>
      <c r="L991" s="1940" t="s">
        <v>13007</v>
      </c>
      <c r="M991" t="s">
        <v>13008</v>
      </c>
      <c r="N991" t="s">
        <v>13009</v>
      </c>
      <c r="O991" t="s">
        <v>13005</v>
      </c>
      <c r="P991" s="614">
        <f>COUNTIF(EducPlans_кодНАЦИД_Спец[аФакСец],EducPlans_кодНАЦИД_Спец[[#This Row],[аФакСец]])</f>
        <v>1</v>
      </c>
    </row>
    <row r="992" spans="3:16" x14ac:dyDescent="0.25">
      <c r="C992" s="614">
        <v>986</v>
      </c>
      <c r="D992" s="614">
        <v>12685</v>
      </c>
      <c r="E992" s="64" t="s">
        <v>1198</v>
      </c>
      <c r="F992" s="64" t="s">
        <v>6222</v>
      </c>
      <c r="G992" s="614" t="s">
        <v>296</v>
      </c>
      <c r="H992" s="614" t="s">
        <v>682</v>
      </c>
      <c r="I992" s="614" t="s">
        <v>1153</v>
      </c>
      <c r="J992" s="64" t="s">
        <v>3793</v>
      </c>
      <c r="K992" s="1940" t="s">
        <v>6223</v>
      </c>
      <c r="L992" s="1940" t="s">
        <v>8709</v>
      </c>
      <c r="M992" t="s">
        <v>12092</v>
      </c>
      <c r="N992" t="s">
        <v>10424</v>
      </c>
      <c r="O992" t="s">
        <v>6222</v>
      </c>
      <c r="P992" s="614">
        <f>COUNTIF(EducPlans_кодНАЦИД_Спец[аФакСец],EducPlans_кодНАЦИД_Спец[[#This Row],[аФакСец]])</f>
        <v>1</v>
      </c>
    </row>
    <row r="993" spans="3:16" x14ac:dyDescent="0.25">
      <c r="C993" s="614">
        <v>987</v>
      </c>
      <c r="D993" s="614">
        <v>12686</v>
      </c>
      <c r="E993" s="64" t="s">
        <v>1198</v>
      </c>
      <c r="F993" s="64" t="s">
        <v>6224</v>
      </c>
      <c r="G993" s="614" t="s">
        <v>296</v>
      </c>
      <c r="H993" s="614" t="s">
        <v>682</v>
      </c>
      <c r="I993" s="614" t="s">
        <v>1149</v>
      </c>
      <c r="J993" s="64" t="s">
        <v>3791</v>
      </c>
      <c r="K993" s="1940" t="s">
        <v>6225</v>
      </c>
      <c r="L993" s="1940" t="s">
        <v>8710</v>
      </c>
      <c r="M993" t="s">
        <v>12093</v>
      </c>
      <c r="N993" t="s">
        <v>10425</v>
      </c>
      <c r="O993" t="s">
        <v>6224</v>
      </c>
      <c r="P993" s="614">
        <f>COUNTIF(EducPlans_кодНАЦИД_Спец[аФакСец],EducPlans_кодНАЦИД_Спец[[#This Row],[аФакСец]])</f>
        <v>1</v>
      </c>
    </row>
    <row r="994" spans="3:16" x14ac:dyDescent="0.25">
      <c r="C994" s="614">
        <v>988</v>
      </c>
      <c r="D994" s="614">
        <v>12686</v>
      </c>
      <c r="E994" s="64" t="s">
        <v>1198</v>
      </c>
      <c r="F994" s="64" t="s">
        <v>6226</v>
      </c>
      <c r="G994" s="614" t="s">
        <v>296</v>
      </c>
      <c r="H994" s="614" t="s">
        <v>682</v>
      </c>
      <c r="I994" s="614" t="s">
        <v>1149</v>
      </c>
      <c r="J994" s="64" t="s">
        <v>3790</v>
      </c>
      <c r="K994" s="1940" t="s">
        <v>6225</v>
      </c>
      <c r="L994" s="1940" t="s">
        <v>8711</v>
      </c>
      <c r="M994" t="s">
        <v>12094</v>
      </c>
      <c r="N994" t="s">
        <v>10426</v>
      </c>
      <c r="O994" t="s">
        <v>6226</v>
      </c>
      <c r="P994" s="614">
        <f>COUNTIF(EducPlans_кодНАЦИД_Спец[аФакСец],EducPlans_кодНАЦИД_Спец[[#This Row],[аФакСец]])</f>
        <v>1</v>
      </c>
    </row>
    <row r="995" spans="3:16" x14ac:dyDescent="0.25">
      <c r="C995" s="614">
        <v>989</v>
      </c>
      <c r="D995" s="614">
        <v>11281</v>
      </c>
      <c r="E995" s="64" t="s">
        <v>1199</v>
      </c>
      <c r="F995" s="64" t="s">
        <v>6227</v>
      </c>
      <c r="G995" s="614" t="s">
        <v>39</v>
      </c>
      <c r="H995" s="614" t="s">
        <v>682</v>
      </c>
      <c r="I995" s="614" t="s">
        <v>1149</v>
      </c>
      <c r="J995" s="64" t="s">
        <v>6228</v>
      </c>
      <c r="K995" s="1940" t="s">
        <v>6229</v>
      </c>
      <c r="L995" s="1940" t="s">
        <v>8712</v>
      </c>
      <c r="M995" t="s">
        <v>12095</v>
      </c>
      <c r="N995" t="s">
        <v>10427</v>
      </c>
      <c r="O995" t="s">
        <v>6227</v>
      </c>
      <c r="P995" s="614">
        <f>COUNTIF(EducPlans_кодНАЦИД_Спец[аФакСец],EducPlans_кодНАЦИД_Спец[[#This Row],[аФакСец]])</f>
        <v>1</v>
      </c>
    </row>
    <row r="996" spans="3:16" x14ac:dyDescent="0.25">
      <c r="C996" s="614">
        <v>990</v>
      </c>
      <c r="D996" s="614">
        <v>11281</v>
      </c>
      <c r="E996" s="64" t="s">
        <v>1199</v>
      </c>
      <c r="F996" s="64" t="s">
        <v>6230</v>
      </c>
      <c r="G996" s="614" t="s">
        <v>39</v>
      </c>
      <c r="H996" s="614" t="s">
        <v>682</v>
      </c>
      <c r="I996" s="614" t="s">
        <v>1149</v>
      </c>
      <c r="J996" s="64" t="s">
        <v>3884</v>
      </c>
      <c r="K996" s="1940" t="s">
        <v>6229</v>
      </c>
      <c r="L996" s="1940" t="s">
        <v>8713</v>
      </c>
      <c r="M996" t="s">
        <v>12096</v>
      </c>
      <c r="N996" t="s">
        <v>10428</v>
      </c>
      <c r="O996" t="s">
        <v>6230</v>
      </c>
      <c r="P996" s="614">
        <f>COUNTIF(EducPlans_кодНАЦИД_Спец[аФакСец],EducPlans_кодНАЦИД_Спец[[#This Row],[аФакСец]])</f>
        <v>2</v>
      </c>
    </row>
    <row r="997" spans="3:16" x14ac:dyDescent="0.25">
      <c r="C997" s="614">
        <v>991</v>
      </c>
      <c r="D997" s="614">
        <v>11243</v>
      </c>
      <c r="E997" s="64" t="s">
        <v>13596</v>
      </c>
      <c r="F997" s="64" t="s">
        <v>13597</v>
      </c>
      <c r="G997" s="614" t="s">
        <v>39</v>
      </c>
      <c r="H997" s="614" t="s">
        <v>682</v>
      </c>
      <c r="I997" s="614" t="s">
        <v>1149</v>
      </c>
      <c r="J997" s="64" t="s">
        <v>3883</v>
      </c>
      <c r="K997" s="1940" t="s">
        <v>13598</v>
      </c>
      <c r="L997" s="1940" t="s">
        <v>8714</v>
      </c>
      <c r="M997" t="s">
        <v>13599</v>
      </c>
      <c r="N997" t="s">
        <v>10429</v>
      </c>
      <c r="O997" t="s">
        <v>13597</v>
      </c>
      <c r="P997" s="614">
        <f>COUNTIF(EducPlans_кодНАЦИД_Спец[аФакСец],EducPlans_кодНАЦИД_Спец[[#This Row],[аФакСец]])</f>
        <v>2</v>
      </c>
    </row>
    <row r="998" spans="3:16" x14ac:dyDescent="0.25">
      <c r="C998" s="614">
        <v>992</v>
      </c>
      <c r="D998" s="614">
        <v>11243</v>
      </c>
      <c r="E998" s="64" t="s">
        <v>13596</v>
      </c>
      <c r="F998" s="64" t="s">
        <v>13600</v>
      </c>
      <c r="G998" s="614" t="s">
        <v>39</v>
      </c>
      <c r="H998" s="614" t="s">
        <v>682</v>
      </c>
      <c r="I998" s="614" t="s">
        <v>1149</v>
      </c>
      <c r="J998" s="64" t="s">
        <v>3882</v>
      </c>
      <c r="K998" s="1940" t="s">
        <v>13598</v>
      </c>
      <c r="L998" s="1940" t="s">
        <v>8715</v>
      </c>
      <c r="M998" t="s">
        <v>13601</v>
      </c>
      <c r="N998" t="s">
        <v>10430</v>
      </c>
      <c r="O998" t="s">
        <v>13600</v>
      </c>
      <c r="P998" s="614">
        <f>COUNTIF(EducPlans_кодНАЦИД_Спец[аФакСец],EducPlans_кодНАЦИД_Спец[[#This Row],[аФакСец]])</f>
        <v>1</v>
      </c>
    </row>
    <row r="999" spans="3:16" x14ac:dyDescent="0.25">
      <c r="C999" s="614">
        <v>993</v>
      </c>
      <c r="D999" s="614">
        <v>11245</v>
      </c>
      <c r="E999" s="64" t="s">
        <v>13596</v>
      </c>
      <c r="F999" s="64" t="s">
        <v>13602</v>
      </c>
      <c r="G999" s="614" t="s">
        <v>39</v>
      </c>
      <c r="H999" s="614" t="s">
        <v>682</v>
      </c>
      <c r="I999" s="614" t="s">
        <v>1149</v>
      </c>
      <c r="J999" s="64" t="s">
        <v>3883</v>
      </c>
      <c r="K999" s="1940" t="s">
        <v>13598</v>
      </c>
      <c r="L999" s="1940" t="s">
        <v>8714</v>
      </c>
      <c r="M999" t="s">
        <v>13599</v>
      </c>
      <c r="N999" t="s">
        <v>10429</v>
      </c>
      <c r="O999" t="s">
        <v>13602</v>
      </c>
      <c r="P999" s="614">
        <f>COUNTIF(EducPlans_кодНАЦИД_Спец[аФакСец],EducPlans_кодНАЦИД_Спец[[#This Row],[аФакСец]])</f>
        <v>2</v>
      </c>
    </row>
    <row r="1000" spans="3:16" x14ac:dyDescent="0.25">
      <c r="C1000" s="614">
        <v>994</v>
      </c>
      <c r="D1000" s="614">
        <v>11245</v>
      </c>
      <c r="E1000" s="64" t="s">
        <v>13596</v>
      </c>
      <c r="F1000" s="64" t="s">
        <v>13603</v>
      </c>
      <c r="G1000" s="614" t="s">
        <v>39</v>
      </c>
      <c r="H1000" s="614" t="s">
        <v>682</v>
      </c>
      <c r="I1000" s="614" t="s">
        <v>1149</v>
      </c>
      <c r="J1000" s="64" t="s">
        <v>3884</v>
      </c>
      <c r="K1000" s="1940" t="s">
        <v>13598</v>
      </c>
      <c r="L1000" s="1940" t="s">
        <v>8713</v>
      </c>
      <c r="M1000" t="s">
        <v>13604</v>
      </c>
      <c r="N1000" t="s">
        <v>10428</v>
      </c>
      <c r="O1000" t="s">
        <v>13603</v>
      </c>
      <c r="P1000" s="614">
        <f>COUNTIF(EducPlans_кодНАЦИД_Спец[аФакСец],EducPlans_кодНАЦИД_Спец[[#This Row],[аФакСец]])</f>
        <v>2</v>
      </c>
    </row>
    <row r="1001" spans="3:16" x14ac:dyDescent="0.25">
      <c r="C1001" s="614">
        <v>995</v>
      </c>
      <c r="D1001" s="614">
        <v>11280</v>
      </c>
      <c r="E1001" s="64" t="s">
        <v>1200</v>
      </c>
      <c r="F1001" s="64" t="s">
        <v>6231</v>
      </c>
      <c r="G1001" s="614" t="s">
        <v>39</v>
      </c>
      <c r="H1001" s="614" t="s">
        <v>682</v>
      </c>
      <c r="I1001" s="614" t="s">
        <v>1149</v>
      </c>
      <c r="J1001" s="64" t="s">
        <v>6232</v>
      </c>
      <c r="K1001" s="1940" t="s">
        <v>6233</v>
      </c>
      <c r="L1001" s="1940" t="s">
        <v>8716</v>
      </c>
      <c r="M1001" t="s">
        <v>12097</v>
      </c>
      <c r="N1001" t="s">
        <v>10431</v>
      </c>
      <c r="O1001" t="s">
        <v>6231</v>
      </c>
      <c r="P1001" s="614">
        <f>COUNTIF(EducPlans_кодНАЦИД_Спец[аФакСец],EducPlans_кодНАЦИД_Спец[[#This Row],[аФакСец]])</f>
        <v>1</v>
      </c>
    </row>
    <row r="1002" spans="3:16" x14ac:dyDescent="0.25">
      <c r="C1002" s="614">
        <v>996</v>
      </c>
      <c r="D1002" s="614">
        <v>12005</v>
      </c>
      <c r="E1002" s="64" t="s">
        <v>2127</v>
      </c>
      <c r="F1002" s="64" t="s">
        <v>6234</v>
      </c>
      <c r="G1002" s="614" t="s">
        <v>628</v>
      </c>
      <c r="H1002" s="614" t="s">
        <v>682</v>
      </c>
      <c r="I1002" s="614" t="s">
        <v>1153</v>
      </c>
      <c r="J1002" s="64" t="s">
        <v>4230</v>
      </c>
      <c r="K1002" s="1940" t="s">
        <v>6235</v>
      </c>
      <c r="L1002" s="1940" t="s">
        <v>8717</v>
      </c>
      <c r="M1002" t="s">
        <v>12098</v>
      </c>
      <c r="N1002" t="s">
        <v>10432</v>
      </c>
      <c r="O1002" t="s">
        <v>6234</v>
      </c>
      <c r="P1002" s="614">
        <f>COUNTIF(EducPlans_кодНАЦИД_Спец[аФакСец],EducPlans_кодНАЦИД_Спец[[#This Row],[аФакСец]])</f>
        <v>1</v>
      </c>
    </row>
    <row r="1003" spans="3:16" x14ac:dyDescent="0.25">
      <c r="C1003" s="614">
        <v>997</v>
      </c>
      <c r="D1003" s="614">
        <v>12005</v>
      </c>
      <c r="E1003" s="64" t="s">
        <v>2127</v>
      </c>
      <c r="F1003" s="64" t="s">
        <v>6236</v>
      </c>
      <c r="G1003" s="614" t="s">
        <v>628</v>
      </c>
      <c r="H1003" s="614" t="s">
        <v>682</v>
      </c>
      <c r="I1003" s="614" t="s">
        <v>1153</v>
      </c>
      <c r="J1003" s="64" t="s">
        <v>4229</v>
      </c>
      <c r="K1003" s="1940" t="s">
        <v>6235</v>
      </c>
      <c r="L1003" s="1940" t="s">
        <v>8718</v>
      </c>
      <c r="M1003" t="s">
        <v>12099</v>
      </c>
      <c r="N1003" t="s">
        <v>10433</v>
      </c>
      <c r="O1003" t="s">
        <v>6236</v>
      </c>
      <c r="P1003" s="614">
        <f>COUNTIF(EducPlans_кодНАЦИД_Спец[аФакСец],EducPlans_кодНАЦИД_Спец[[#This Row],[аФакСец]])</f>
        <v>1</v>
      </c>
    </row>
    <row r="1004" spans="3:16" x14ac:dyDescent="0.25">
      <c r="C1004" s="614">
        <v>998</v>
      </c>
      <c r="D1004" s="614">
        <v>12008</v>
      </c>
      <c r="E1004" s="64" t="s">
        <v>2127</v>
      </c>
      <c r="F1004" s="64" t="s">
        <v>6237</v>
      </c>
      <c r="G1004" s="614" t="s">
        <v>628</v>
      </c>
      <c r="H1004" s="614" t="s">
        <v>682</v>
      </c>
      <c r="I1004" s="614" t="s">
        <v>1153</v>
      </c>
      <c r="J1004" s="64" t="s">
        <v>4232</v>
      </c>
      <c r="K1004" s="1940" t="s">
        <v>6238</v>
      </c>
      <c r="L1004" s="1940" t="s">
        <v>8719</v>
      </c>
      <c r="M1004" t="s">
        <v>12100</v>
      </c>
      <c r="N1004" t="s">
        <v>10434</v>
      </c>
      <c r="O1004" t="s">
        <v>6237</v>
      </c>
      <c r="P1004" s="614">
        <f>COUNTIF(EducPlans_кодНАЦИД_Спец[аФакСец],EducPlans_кодНАЦИД_Спец[[#This Row],[аФакСец]])</f>
        <v>1</v>
      </c>
    </row>
    <row r="1005" spans="3:16" x14ac:dyDescent="0.25">
      <c r="C1005" s="614">
        <v>999</v>
      </c>
      <c r="D1005" s="614">
        <v>12008</v>
      </c>
      <c r="E1005" s="64" t="s">
        <v>2127</v>
      </c>
      <c r="F1005" s="64" t="s">
        <v>6239</v>
      </c>
      <c r="G1005" s="614" t="s">
        <v>628</v>
      </c>
      <c r="H1005" s="614" t="s">
        <v>682</v>
      </c>
      <c r="I1005" s="614" t="s">
        <v>1153</v>
      </c>
      <c r="J1005" s="64" t="s">
        <v>4231</v>
      </c>
      <c r="K1005" s="1940" t="s">
        <v>6238</v>
      </c>
      <c r="L1005" s="1940" t="s">
        <v>8720</v>
      </c>
      <c r="M1005" t="s">
        <v>12101</v>
      </c>
      <c r="N1005" t="s">
        <v>10435</v>
      </c>
      <c r="O1005" t="s">
        <v>6239</v>
      </c>
      <c r="P1005" s="614">
        <f>COUNTIF(EducPlans_кодНАЦИД_Спец[аФакСец],EducPlans_кодНАЦИД_Спец[[#This Row],[аФакСец]])</f>
        <v>1</v>
      </c>
    </row>
    <row r="1006" spans="3:16" x14ac:dyDescent="0.25">
      <c r="C1006" s="614">
        <v>1000</v>
      </c>
      <c r="D1006" s="614">
        <v>12007</v>
      </c>
      <c r="E1006" s="64" t="s">
        <v>2127</v>
      </c>
      <c r="F1006" s="64" t="s">
        <v>6240</v>
      </c>
      <c r="G1006" s="614" t="s">
        <v>628</v>
      </c>
      <c r="H1006" s="614" t="s">
        <v>682</v>
      </c>
      <c r="I1006" s="614" t="s">
        <v>1149</v>
      </c>
      <c r="J1006" s="64" t="s">
        <v>4228</v>
      </c>
      <c r="K1006" s="1940" t="s">
        <v>6241</v>
      </c>
      <c r="L1006" s="1940" t="s">
        <v>8721</v>
      </c>
      <c r="M1006" t="s">
        <v>12102</v>
      </c>
      <c r="N1006" t="s">
        <v>10436</v>
      </c>
      <c r="O1006" t="s">
        <v>6240</v>
      </c>
      <c r="P1006" s="614">
        <f>COUNTIF(EducPlans_кодНАЦИД_Спец[аФакСец],EducPlans_кодНАЦИД_Спец[[#This Row],[аФакСец]])</f>
        <v>1</v>
      </c>
    </row>
    <row r="1007" spans="3:16" x14ac:dyDescent="0.25">
      <c r="C1007" s="614">
        <v>1001</v>
      </c>
      <c r="D1007" s="614">
        <v>12007</v>
      </c>
      <c r="E1007" s="64" t="s">
        <v>2127</v>
      </c>
      <c r="F1007" s="64" t="s">
        <v>6242</v>
      </c>
      <c r="G1007" s="614" t="s">
        <v>628</v>
      </c>
      <c r="H1007" s="614" t="s">
        <v>682</v>
      </c>
      <c r="I1007" s="614" t="s">
        <v>1149</v>
      </c>
      <c r="J1007" s="64" t="s">
        <v>4227</v>
      </c>
      <c r="K1007" s="1940" t="s">
        <v>6241</v>
      </c>
      <c r="L1007" s="1940" t="s">
        <v>8722</v>
      </c>
      <c r="M1007" t="s">
        <v>12103</v>
      </c>
      <c r="N1007" t="s">
        <v>10437</v>
      </c>
      <c r="O1007" t="s">
        <v>6242</v>
      </c>
      <c r="P1007" s="614">
        <f>COUNTIF(EducPlans_кодНАЦИД_Спец[аФакСец],EducPlans_кодНАЦИД_Спец[[#This Row],[аФакСец]])</f>
        <v>1</v>
      </c>
    </row>
    <row r="1008" spans="3:16" x14ac:dyDescent="0.25">
      <c r="C1008" s="614">
        <v>1002</v>
      </c>
      <c r="D1008" s="614">
        <v>12010</v>
      </c>
      <c r="E1008" s="64" t="s">
        <v>2127</v>
      </c>
      <c r="F1008" s="64" t="s">
        <v>6243</v>
      </c>
      <c r="G1008" s="614" t="s">
        <v>628</v>
      </c>
      <c r="H1008" s="614" t="s">
        <v>682</v>
      </c>
      <c r="I1008" s="614" t="s">
        <v>1149</v>
      </c>
      <c r="J1008" s="64" t="s">
        <v>4225</v>
      </c>
      <c r="K1008" s="1940" t="s">
        <v>6244</v>
      </c>
      <c r="L1008" s="1940" t="s">
        <v>8723</v>
      </c>
      <c r="M1008" t="s">
        <v>12104</v>
      </c>
      <c r="N1008" t="s">
        <v>10438</v>
      </c>
      <c r="O1008" t="s">
        <v>6243</v>
      </c>
      <c r="P1008" s="614">
        <f>COUNTIF(EducPlans_кодНАЦИД_Спец[аФакСец],EducPlans_кодНАЦИД_Спец[[#This Row],[аФакСец]])</f>
        <v>1</v>
      </c>
    </row>
    <row r="1009" spans="3:16" x14ac:dyDescent="0.25">
      <c r="C1009" s="614">
        <v>1003</v>
      </c>
      <c r="D1009" s="614">
        <v>12010</v>
      </c>
      <c r="E1009" s="64" t="s">
        <v>2127</v>
      </c>
      <c r="F1009" s="64" t="s">
        <v>6245</v>
      </c>
      <c r="G1009" s="614" t="s">
        <v>628</v>
      </c>
      <c r="H1009" s="614" t="s">
        <v>682</v>
      </c>
      <c r="I1009" s="614" t="s">
        <v>1149</v>
      </c>
      <c r="J1009" s="64" t="s">
        <v>4226</v>
      </c>
      <c r="K1009" s="1940" t="s">
        <v>6244</v>
      </c>
      <c r="L1009" s="1940" t="s">
        <v>8724</v>
      </c>
      <c r="M1009" t="s">
        <v>12105</v>
      </c>
      <c r="N1009" t="s">
        <v>10439</v>
      </c>
      <c r="O1009" t="s">
        <v>6245</v>
      </c>
      <c r="P1009" s="614">
        <f>COUNTIF(EducPlans_кодНАЦИД_Спец[аФакСец],EducPlans_кодНАЦИД_Спец[[#This Row],[аФакСец]])</f>
        <v>1</v>
      </c>
    </row>
    <row r="1010" spans="3:16" x14ac:dyDescent="0.25">
      <c r="C1010" s="614">
        <v>1004</v>
      </c>
      <c r="D1010" s="614">
        <v>11598</v>
      </c>
      <c r="E1010" s="64" t="s">
        <v>1422</v>
      </c>
      <c r="F1010" s="64" t="s">
        <v>6246</v>
      </c>
      <c r="G1010" s="614" t="s">
        <v>33</v>
      </c>
      <c r="H1010" s="614" t="s">
        <v>682</v>
      </c>
      <c r="I1010" s="614" t="s">
        <v>1153</v>
      </c>
      <c r="J1010" s="64" t="s">
        <v>6247</v>
      </c>
      <c r="K1010" s="1940" t="s">
        <v>6248</v>
      </c>
      <c r="L1010" s="1940" t="s">
        <v>8725</v>
      </c>
      <c r="M1010" t="s">
        <v>12106</v>
      </c>
      <c r="N1010" t="s">
        <v>10440</v>
      </c>
      <c r="O1010" t="s">
        <v>6246</v>
      </c>
      <c r="P1010" s="614">
        <f>COUNTIF(EducPlans_кодНАЦИД_Спец[аФакСец],EducPlans_кодНАЦИД_Спец[[#This Row],[аФакСец]])</f>
        <v>5</v>
      </c>
    </row>
    <row r="1011" spans="3:16" x14ac:dyDescent="0.25">
      <c r="C1011" s="614">
        <v>1005</v>
      </c>
      <c r="D1011" s="614">
        <v>11598</v>
      </c>
      <c r="E1011" s="64" t="s">
        <v>1422</v>
      </c>
      <c r="F1011" s="64" t="s">
        <v>6249</v>
      </c>
      <c r="G1011" s="614" t="s">
        <v>33</v>
      </c>
      <c r="H1011" s="614" t="s">
        <v>682</v>
      </c>
      <c r="I1011" s="614" t="s">
        <v>1153</v>
      </c>
      <c r="J1011" s="64" t="s">
        <v>6250</v>
      </c>
      <c r="K1011" s="1940" t="s">
        <v>6248</v>
      </c>
      <c r="L1011" s="1940" t="s">
        <v>8726</v>
      </c>
      <c r="M1011" t="s">
        <v>12107</v>
      </c>
      <c r="N1011" t="s">
        <v>10441</v>
      </c>
      <c r="O1011" t="s">
        <v>6249</v>
      </c>
      <c r="P1011" s="614">
        <f>COUNTIF(EducPlans_кодНАЦИД_Спец[аФакСец],EducPlans_кодНАЦИД_Спец[[#This Row],[аФакСец]])</f>
        <v>1</v>
      </c>
    </row>
    <row r="1012" spans="3:16" x14ac:dyDescent="0.25">
      <c r="C1012" s="614">
        <v>1006</v>
      </c>
      <c r="D1012" s="614">
        <v>11616</v>
      </c>
      <c r="E1012" s="64" t="s">
        <v>1422</v>
      </c>
      <c r="F1012" s="64" t="s">
        <v>6251</v>
      </c>
      <c r="G1012" s="614" t="s">
        <v>33</v>
      </c>
      <c r="H1012" s="614" t="s">
        <v>682</v>
      </c>
      <c r="I1012" s="614" t="s">
        <v>1153</v>
      </c>
      <c r="J1012" s="64" t="s">
        <v>6247</v>
      </c>
      <c r="K1012" s="1940" t="s">
        <v>6252</v>
      </c>
      <c r="L1012" s="1940" t="s">
        <v>8725</v>
      </c>
      <c r="M1012" t="s">
        <v>12106</v>
      </c>
      <c r="N1012" t="s">
        <v>10440</v>
      </c>
      <c r="O1012" t="s">
        <v>6251</v>
      </c>
      <c r="P1012" s="614">
        <f>COUNTIF(EducPlans_кодНАЦИД_Спец[аФакСец],EducPlans_кодНАЦИД_Спец[[#This Row],[аФакСец]])</f>
        <v>5</v>
      </c>
    </row>
    <row r="1013" spans="3:16" x14ac:dyDescent="0.25">
      <c r="C1013" s="614">
        <v>1007</v>
      </c>
      <c r="D1013" s="614">
        <v>11616</v>
      </c>
      <c r="E1013" s="64" t="s">
        <v>1422</v>
      </c>
      <c r="F1013" s="64" t="s">
        <v>6253</v>
      </c>
      <c r="G1013" s="614" t="s">
        <v>33</v>
      </c>
      <c r="H1013" s="614" t="s">
        <v>682</v>
      </c>
      <c r="I1013" s="614" t="s">
        <v>1153</v>
      </c>
      <c r="J1013" s="64" t="s">
        <v>6254</v>
      </c>
      <c r="K1013" s="1940" t="s">
        <v>6252</v>
      </c>
      <c r="L1013" s="1940" t="s">
        <v>8727</v>
      </c>
      <c r="M1013" t="s">
        <v>12108</v>
      </c>
      <c r="N1013" t="s">
        <v>10442</v>
      </c>
      <c r="O1013" t="s">
        <v>6253</v>
      </c>
      <c r="P1013" s="614">
        <f>COUNTIF(EducPlans_кодНАЦИД_Спец[аФакСец],EducPlans_кодНАЦИД_Спец[[#This Row],[аФакСец]])</f>
        <v>1</v>
      </c>
    </row>
    <row r="1014" spans="3:16" x14ac:dyDescent="0.25">
      <c r="C1014" s="614">
        <v>1008</v>
      </c>
      <c r="D1014" s="614">
        <v>11621</v>
      </c>
      <c r="E1014" s="64" t="s">
        <v>1422</v>
      </c>
      <c r="F1014" s="64" t="s">
        <v>6255</v>
      </c>
      <c r="G1014" s="614" t="s">
        <v>33</v>
      </c>
      <c r="H1014" s="614" t="s">
        <v>682</v>
      </c>
      <c r="I1014" s="614" t="s">
        <v>1153</v>
      </c>
      <c r="J1014" s="64" t="s">
        <v>6247</v>
      </c>
      <c r="K1014" s="1940" t="s">
        <v>6256</v>
      </c>
      <c r="L1014" s="1940" t="s">
        <v>8725</v>
      </c>
      <c r="M1014" t="s">
        <v>12106</v>
      </c>
      <c r="N1014" t="s">
        <v>10440</v>
      </c>
      <c r="O1014" t="s">
        <v>6255</v>
      </c>
      <c r="P1014" s="614">
        <f>COUNTIF(EducPlans_кодНАЦИД_Спец[аФакСец],EducPlans_кодНАЦИД_Спец[[#This Row],[аФакСец]])</f>
        <v>5</v>
      </c>
    </row>
    <row r="1015" spans="3:16" x14ac:dyDescent="0.25">
      <c r="C1015" s="614">
        <v>1009</v>
      </c>
      <c r="D1015" s="614">
        <v>11621</v>
      </c>
      <c r="E1015" s="64" t="s">
        <v>1422</v>
      </c>
      <c r="F1015" s="64" t="s">
        <v>6257</v>
      </c>
      <c r="G1015" s="614" t="s">
        <v>33</v>
      </c>
      <c r="H1015" s="614" t="s">
        <v>682</v>
      </c>
      <c r="I1015" s="614" t="s">
        <v>1153</v>
      </c>
      <c r="J1015" s="64" t="s">
        <v>6258</v>
      </c>
      <c r="K1015" s="1940" t="s">
        <v>6256</v>
      </c>
      <c r="L1015" s="1940" t="s">
        <v>8728</v>
      </c>
      <c r="M1015" t="s">
        <v>12109</v>
      </c>
      <c r="N1015" t="s">
        <v>10443</v>
      </c>
      <c r="O1015" t="s">
        <v>6257</v>
      </c>
      <c r="P1015" s="614">
        <f>COUNTIF(EducPlans_кодНАЦИД_Спец[аФакСец],EducPlans_кодНАЦИД_Спец[[#This Row],[аФакСец]])</f>
        <v>1</v>
      </c>
    </row>
    <row r="1016" spans="3:16" x14ac:dyDescent="0.25">
      <c r="C1016" s="614">
        <v>1010</v>
      </c>
      <c r="D1016" s="614">
        <v>11643</v>
      </c>
      <c r="E1016" s="64" t="s">
        <v>1422</v>
      </c>
      <c r="F1016" s="64" t="s">
        <v>6259</v>
      </c>
      <c r="G1016" s="614" t="s">
        <v>33</v>
      </c>
      <c r="H1016" s="614" t="s">
        <v>682</v>
      </c>
      <c r="I1016" s="614" t="s">
        <v>1153</v>
      </c>
      <c r="J1016" s="64" t="s">
        <v>6247</v>
      </c>
      <c r="K1016" s="1940" t="s">
        <v>6260</v>
      </c>
      <c r="L1016" s="1940" t="s">
        <v>8725</v>
      </c>
      <c r="M1016" t="s">
        <v>12106</v>
      </c>
      <c r="N1016" t="s">
        <v>10440</v>
      </c>
      <c r="O1016" t="s">
        <v>6259</v>
      </c>
      <c r="P1016" s="614">
        <f>COUNTIF(EducPlans_кодНАЦИД_Спец[аФакСец],EducPlans_кодНАЦИД_Спец[[#This Row],[аФакСец]])</f>
        <v>5</v>
      </c>
    </row>
    <row r="1017" spans="3:16" x14ac:dyDescent="0.25">
      <c r="C1017" s="614">
        <v>1011</v>
      </c>
      <c r="D1017" s="614">
        <v>11643</v>
      </c>
      <c r="E1017" s="64" t="s">
        <v>1422</v>
      </c>
      <c r="F1017" s="64" t="s">
        <v>6261</v>
      </c>
      <c r="G1017" s="614" t="s">
        <v>33</v>
      </c>
      <c r="H1017" s="614" t="s">
        <v>682</v>
      </c>
      <c r="I1017" s="614" t="s">
        <v>1153</v>
      </c>
      <c r="J1017" s="64" t="s">
        <v>6262</v>
      </c>
      <c r="K1017" s="1940" t="s">
        <v>6260</v>
      </c>
      <c r="L1017" s="1940" t="s">
        <v>8729</v>
      </c>
      <c r="M1017" t="s">
        <v>12110</v>
      </c>
      <c r="N1017" t="s">
        <v>10444</v>
      </c>
      <c r="O1017" t="s">
        <v>6261</v>
      </c>
      <c r="P1017" s="614">
        <f>COUNTIF(EducPlans_кодНАЦИД_Спец[аФакСец],EducPlans_кодНАЦИД_Спец[[#This Row],[аФакСец]])</f>
        <v>1</v>
      </c>
    </row>
    <row r="1018" spans="3:16" x14ac:dyDescent="0.25">
      <c r="C1018" s="614">
        <v>1012</v>
      </c>
      <c r="D1018" s="614">
        <v>11651</v>
      </c>
      <c r="E1018" s="64" t="s">
        <v>1422</v>
      </c>
      <c r="F1018" s="64" t="s">
        <v>6263</v>
      </c>
      <c r="G1018" s="614" t="s">
        <v>33</v>
      </c>
      <c r="H1018" s="614" t="s">
        <v>682</v>
      </c>
      <c r="I1018" s="614" t="s">
        <v>1153</v>
      </c>
      <c r="J1018" s="64" t="s">
        <v>6247</v>
      </c>
      <c r="K1018" s="1940" t="s">
        <v>6264</v>
      </c>
      <c r="L1018" s="1940" t="s">
        <v>8725</v>
      </c>
      <c r="M1018" t="s">
        <v>12106</v>
      </c>
      <c r="N1018" t="s">
        <v>10440</v>
      </c>
      <c r="O1018" t="s">
        <v>6263</v>
      </c>
      <c r="P1018" s="614">
        <f>COUNTIF(EducPlans_кодНАЦИД_Спец[аФакСец],EducPlans_кодНАЦИД_Спец[[#This Row],[аФакСец]])</f>
        <v>5</v>
      </c>
    </row>
    <row r="1019" spans="3:16" x14ac:dyDescent="0.25">
      <c r="C1019" s="614">
        <v>1013</v>
      </c>
      <c r="D1019" s="614">
        <v>11651</v>
      </c>
      <c r="E1019" s="64" t="s">
        <v>1422</v>
      </c>
      <c r="F1019" s="64" t="s">
        <v>6265</v>
      </c>
      <c r="G1019" s="614" t="s">
        <v>33</v>
      </c>
      <c r="H1019" s="614" t="s">
        <v>682</v>
      </c>
      <c r="I1019" s="614" t="s">
        <v>1153</v>
      </c>
      <c r="J1019" s="64" t="s">
        <v>6266</v>
      </c>
      <c r="K1019" s="1940" t="s">
        <v>6264</v>
      </c>
      <c r="L1019" s="1940" t="s">
        <v>8730</v>
      </c>
      <c r="M1019" t="s">
        <v>12111</v>
      </c>
      <c r="N1019" t="s">
        <v>10445</v>
      </c>
      <c r="O1019" t="s">
        <v>6265</v>
      </c>
      <c r="P1019" s="614">
        <f>COUNTIF(EducPlans_кодНАЦИД_Спец[аФакСец],EducPlans_кодНАЦИД_Спец[[#This Row],[аФакСец]])</f>
        <v>1</v>
      </c>
    </row>
    <row r="1020" spans="3:16" x14ac:dyDescent="0.25">
      <c r="C1020" s="614">
        <v>1014</v>
      </c>
      <c r="D1020" s="614">
        <v>11588</v>
      </c>
      <c r="E1020" s="64" t="s">
        <v>1293</v>
      </c>
      <c r="F1020" s="64" t="s">
        <v>6267</v>
      </c>
      <c r="G1020" s="614" t="s">
        <v>33</v>
      </c>
      <c r="H1020" s="614" t="s">
        <v>682</v>
      </c>
      <c r="I1020" s="614" t="s">
        <v>1153</v>
      </c>
      <c r="J1020" s="64" t="s">
        <v>3579</v>
      </c>
      <c r="K1020" s="1940" t="s">
        <v>6268</v>
      </c>
      <c r="L1020" s="1940" t="s">
        <v>8731</v>
      </c>
      <c r="M1020" t="s">
        <v>12112</v>
      </c>
      <c r="N1020" t="s">
        <v>10446</v>
      </c>
      <c r="O1020" t="s">
        <v>6267</v>
      </c>
      <c r="P1020" s="614">
        <f>COUNTIF(EducPlans_кодНАЦИД_Спец[аФакСец],EducPlans_кодНАЦИД_Спец[[#This Row],[аФакСец]])</f>
        <v>1</v>
      </c>
    </row>
    <row r="1021" spans="3:16" x14ac:dyDescent="0.25">
      <c r="C1021" s="614">
        <v>1015</v>
      </c>
      <c r="D1021" s="614">
        <v>11591</v>
      </c>
      <c r="E1021" s="64" t="s">
        <v>1294</v>
      </c>
      <c r="F1021" s="64" t="s">
        <v>6269</v>
      </c>
      <c r="G1021" s="614" t="s">
        <v>33</v>
      </c>
      <c r="H1021" s="614" t="s">
        <v>682</v>
      </c>
      <c r="I1021" s="614" t="s">
        <v>1153</v>
      </c>
      <c r="J1021" s="64" t="s">
        <v>3580</v>
      </c>
      <c r="K1021" s="1940" t="s">
        <v>6270</v>
      </c>
      <c r="L1021" s="1940" t="s">
        <v>8732</v>
      </c>
      <c r="M1021" t="s">
        <v>12113</v>
      </c>
      <c r="N1021" t="s">
        <v>10447</v>
      </c>
      <c r="O1021" t="s">
        <v>6269</v>
      </c>
      <c r="P1021" s="614">
        <f>COUNTIF(EducPlans_кодНАЦИД_Спец[аФакСец],EducPlans_кодНАЦИД_Спец[[#This Row],[аФакСец]])</f>
        <v>1</v>
      </c>
    </row>
    <row r="1022" spans="3:16" x14ac:dyDescent="0.25">
      <c r="C1022" s="614">
        <v>1016</v>
      </c>
      <c r="D1022" s="614">
        <v>11592</v>
      </c>
      <c r="E1022" s="64" t="s">
        <v>1295</v>
      </c>
      <c r="F1022" s="64" t="s">
        <v>6271</v>
      </c>
      <c r="G1022" s="614" t="s">
        <v>33</v>
      </c>
      <c r="H1022" s="614" t="s">
        <v>682</v>
      </c>
      <c r="I1022" s="614" t="s">
        <v>1153</v>
      </c>
      <c r="J1022" s="64" t="s">
        <v>3581</v>
      </c>
      <c r="K1022" s="1940" t="s">
        <v>6272</v>
      </c>
      <c r="L1022" s="1940" t="s">
        <v>8733</v>
      </c>
      <c r="M1022" t="s">
        <v>12114</v>
      </c>
      <c r="N1022" t="s">
        <v>10448</v>
      </c>
      <c r="O1022" t="s">
        <v>6271</v>
      </c>
      <c r="P1022" s="614">
        <f>COUNTIF(EducPlans_кодНАЦИД_Спец[аФакСец],EducPlans_кодНАЦИД_Спец[[#This Row],[аФакСец]])</f>
        <v>1</v>
      </c>
    </row>
    <row r="1023" spans="3:16" x14ac:dyDescent="0.25">
      <c r="C1023" s="614">
        <v>1017</v>
      </c>
      <c r="D1023" s="614">
        <v>11595</v>
      </c>
      <c r="E1023" s="64" t="s">
        <v>1297</v>
      </c>
      <c r="F1023" s="64" t="s">
        <v>6273</v>
      </c>
      <c r="G1023" s="614" t="s">
        <v>33</v>
      </c>
      <c r="H1023" s="614" t="s">
        <v>682</v>
      </c>
      <c r="I1023" s="614" t="s">
        <v>1153</v>
      </c>
      <c r="J1023" s="64" t="s">
        <v>3582</v>
      </c>
      <c r="K1023" s="1940" t="s">
        <v>6274</v>
      </c>
      <c r="L1023" s="1940" t="s">
        <v>8734</v>
      </c>
      <c r="M1023" t="s">
        <v>12115</v>
      </c>
      <c r="N1023" t="s">
        <v>10449</v>
      </c>
      <c r="O1023" t="s">
        <v>6273</v>
      </c>
      <c r="P1023" s="614">
        <f>COUNTIF(EducPlans_кодНАЦИД_Спец[аФакСец],EducPlans_кодНАЦИД_Спец[[#This Row],[аФакСец]])</f>
        <v>1</v>
      </c>
    </row>
    <row r="1024" spans="3:16" x14ac:dyDescent="0.25">
      <c r="C1024" s="614">
        <v>1018</v>
      </c>
      <c r="D1024" s="614">
        <v>11593</v>
      </c>
      <c r="E1024" s="64" t="s">
        <v>1298</v>
      </c>
      <c r="F1024" s="64" t="s">
        <v>6275</v>
      </c>
      <c r="G1024" s="614" t="s">
        <v>33</v>
      </c>
      <c r="H1024" s="614" t="s">
        <v>682</v>
      </c>
      <c r="I1024" s="614" t="s">
        <v>1153</v>
      </c>
      <c r="J1024" s="64" t="s">
        <v>3583</v>
      </c>
      <c r="K1024" s="1940" t="s">
        <v>6276</v>
      </c>
      <c r="L1024" s="1940" t="s">
        <v>8735</v>
      </c>
      <c r="M1024" t="s">
        <v>12116</v>
      </c>
      <c r="N1024" t="s">
        <v>10450</v>
      </c>
      <c r="O1024" t="s">
        <v>6275</v>
      </c>
      <c r="P1024" s="614">
        <f>COUNTIF(EducPlans_кодНАЦИД_Спец[аФакСец],EducPlans_кодНАЦИД_Спец[[#This Row],[аФакСец]])</f>
        <v>1</v>
      </c>
    </row>
    <row r="1025" spans="3:16" x14ac:dyDescent="0.25">
      <c r="C1025" s="614">
        <v>1019</v>
      </c>
      <c r="D1025" s="614">
        <v>11590</v>
      </c>
      <c r="E1025" s="64" t="s">
        <v>1299</v>
      </c>
      <c r="F1025" s="64" t="s">
        <v>6277</v>
      </c>
      <c r="G1025" s="614" t="s">
        <v>33</v>
      </c>
      <c r="H1025" s="614" t="s">
        <v>682</v>
      </c>
      <c r="I1025" s="614" t="s">
        <v>1153</v>
      </c>
      <c r="J1025" s="64" t="s">
        <v>3584</v>
      </c>
      <c r="K1025" s="1940" t="s">
        <v>6278</v>
      </c>
      <c r="L1025" s="1940" t="s">
        <v>8736</v>
      </c>
      <c r="M1025" t="s">
        <v>12117</v>
      </c>
      <c r="N1025" t="s">
        <v>10451</v>
      </c>
      <c r="O1025" t="s">
        <v>6277</v>
      </c>
      <c r="P1025" s="614">
        <f>COUNTIF(EducPlans_кодНАЦИД_Спец[аФакСец],EducPlans_кодНАЦИД_Спец[[#This Row],[аФакСец]])</f>
        <v>1</v>
      </c>
    </row>
    <row r="1026" spans="3:16" x14ac:dyDescent="0.25">
      <c r="C1026" s="614">
        <v>1020</v>
      </c>
      <c r="D1026" s="614">
        <v>983437</v>
      </c>
      <c r="E1026" s="64" t="s">
        <v>13605</v>
      </c>
      <c r="F1026" s="64" t="s">
        <v>13606</v>
      </c>
      <c r="G1026" s="614" t="s">
        <v>33</v>
      </c>
      <c r="H1026" s="614" t="s">
        <v>682</v>
      </c>
      <c r="I1026" s="614" t="s">
        <v>1153</v>
      </c>
      <c r="J1026" s="64" t="s">
        <v>13607</v>
      </c>
      <c r="K1026" s="1940" t="s">
        <v>13608</v>
      </c>
      <c r="L1026" s="1940" t="s">
        <v>13609</v>
      </c>
      <c r="M1026" t="s">
        <v>13610</v>
      </c>
      <c r="N1026" t="s">
        <v>13611</v>
      </c>
      <c r="O1026" t="s">
        <v>13606</v>
      </c>
      <c r="P1026" s="614">
        <f>COUNTIF(EducPlans_кодНАЦИД_Спец[аФакСец],EducPlans_кодНАЦИД_Спец[[#This Row],[аФакСец]])</f>
        <v>1</v>
      </c>
    </row>
    <row r="1027" spans="3:16" x14ac:dyDescent="0.25">
      <c r="C1027" s="614">
        <v>1021</v>
      </c>
      <c r="D1027" s="614">
        <v>983437</v>
      </c>
      <c r="E1027" s="64" t="s">
        <v>13605</v>
      </c>
      <c r="F1027" s="64" t="s">
        <v>13612</v>
      </c>
      <c r="G1027" s="614" t="s">
        <v>33</v>
      </c>
      <c r="H1027" s="614" t="s">
        <v>682</v>
      </c>
      <c r="I1027" s="614" t="s">
        <v>1153</v>
      </c>
      <c r="J1027" s="64" t="s">
        <v>13613</v>
      </c>
      <c r="K1027" s="1940" t="s">
        <v>13608</v>
      </c>
      <c r="L1027" s="1940" t="s">
        <v>13614</v>
      </c>
      <c r="M1027" t="s">
        <v>13615</v>
      </c>
      <c r="N1027" t="s">
        <v>13616</v>
      </c>
      <c r="O1027" t="s">
        <v>13612</v>
      </c>
      <c r="P1027" s="614">
        <f>COUNTIF(EducPlans_кодНАЦИД_Спец[аФакСец],EducPlans_кодНАЦИД_Спец[[#This Row],[аФакСец]])</f>
        <v>1</v>
      </c>
    </row>
    <row r="1028" spans="3:16" x14ac:dyDescent="0.25">
      <c r="C1028" s="614">
        <v>1022</v>
      </c>
      <c r="D1028" s="614">
        <v>579360</v>
      </c>
      <c r="E1028" s="64" t="s">
        <v>6279</v>
      </c>
      <c r="F1028" s="64" t="s">
        <v>6280</v>
      </c>
      <c r="G1028" s="614" t="s">
        <v>33</v>
      </c>
      <c r="H1028" s="614" t="s">
        <v>682</v>
      </c>
      <c r="I1028" s="614" t="s">
        <v>1153</v>
      </c>
      <c r="J1028" s="64" t="s">
        <v>6281</v>
      </c>
      <c r="K1028" s="1940" t="s">
        <v>6282</v>
      </c>
      <c r="L1028" s="1940" t="s">
        <v>8737</v>
      </c>
      <c r="M1028" t="s">
        <v>12118</v>
      </c>
      <c r="N1028" t="s">
        <v>10452</v>
      </c>
      <c r="O1028" t="s">
        <v>6280</v>
      </c>
      <c r="P1028" s="614">
        <f>COUNTIF(EducPlans_кодНАЦИД_Спец[аФакСец],EducPlans_кодНАЦИД_Спец[[#This Row],[аФакСец]])</f>
        <v>1</v>
      </c>
    </row>
    <row r="1029" spans="3:16" x14ac:dyDescent="0.25">
      <c r="C1029" s="614">
        <v>1023</v>
      </c>
      <c r="D1029" s="614">
        <v>140134</v>
      </c>
      <c r="E1029" s="64" t="s">
        <v>1300</v>
      </c>
      <c r="F1029" s="64" t="s">
        <v>6283</v>
      </c>
      <c r="G1029" s="614" t="s">
        <v>33</v>
      </c>
      <c r="H1029" s="614" t="s">
        <v>682</v>
      </c>
      <c r="I1029" s="614" t="s">
        <v>1153</v>
      </c>
      <c r="J1029" s="64" t="s">
        <v>3586</v>
      </c>
      <c r="K1029" s="1940" t="s">
        <v>6284</v>
      </c>
      <c r="L1029" s="1940" t="s">
        <v>8738</v>
      </c>
      <c r="M1029" t="s">
        <v>12119</v>
      </c>
      <c r="N1029" t="s">
        <v>10453</v>
      </c>
      <c r="O1029" t="s">
        <v>6283</v>
      </c>
      <c r="P1029" s="614">
        <f>COUNTIF(EducPlans_кодНАЦИД_Спец[аФакСец],EducPlans_кодНАЦИД_Спец[[#This Row],[аФакСец]])</f>
        <v>1</v>
      </c>
    </row>
    <row r="1030" spans="3:16" x14ac:dyDescent="0.25">
      <c r="C1030" s="614">
        <v>1024</v>
      </c>
      <c r="D1030" s="614">
        <v>140134</v>
      </c>
      <c r="E1030" s="64" t="s">
        <v>1300</v>
      </c>
      <c r="F1030" s="64" t="s">
        <v>6285</v>
      </c>
      <c r="G1030" s="614" t="s">
        <v>33</v>
      </c>
      <c r="H1030" s="614" t="s">
        <v>682</v>
      </c>
      <c r="I1030" s="614" t="s">
        <v>1153</v>
      </c>
      <c r="J1030" s="64" t="s">
        <v>3585</v>
      </c>
      <c r="K1030" s="1940" t="s">
        <v>6284</v>
      </c>
      <c r="L1030" s="1940" t="s">
        <v>8739</v>
      </c>
      <c r="M1030" t="s">
        <v>12120</v>
      </c>
      <c r="N1030" t="s">
        <v>10454</v>
      </c>
      <c r="O1030" t="s">
        <v>6285</v>
      </c>
      <c r="P1030" s="614">
        <f>COUNTIF(EducPlans_кодНАЦИД_Спец[аФакСец],EducPlans_кодНАЦИД_Спец[[#This Row],[аФакСец]])</f>
        <v>1</v>
      </c>
    </row>
    <row r="1031" spans="3:16" x14ac:dyDescent="0.25">
      <c r="C1031" s="614">
        <v>1025</v>
      </c>
      <c r="D1031" s="614">
        <v>145010</v>
      </c>
      <c r="E1031" s="64" t="s">
        <v>1301</v>
      </c>
      <c r="F1031" s="64" t="s">
        <v>6286</v>
      </c>
      <c r="G1031" s="614" t="s">
        <v>33</v>
      </c>
      <c r="H1031" s="614" t="s">
        <v>682</v>
      </c>
      <c r="I1031" s="614" t="s">
        <v>1153</v>
      </c>
      <c r="J1031" s="64" t="s">
        <v>3587</v>
      </c>
      <c r="K1031" s="1940" t="s">
        <v>6287</v>
      </c>
      <c r="L1031" s="1940" t="s">
        <v>8740</v>
      </c>
      <c r="M1031" t="s">
        <v>12121</v>
      </c>
      <c r="N1031" t="s">
        <v>10455</v>
      </c>
      <c r="O1031" t="s">
        <v>6286</v>
      </c>
      <c r="P1031" s="614">
        <f>COUNTIF(EducPlans_кодНАЦИД_Спец[аФакСец],EducPlans_кодНАЦИД_Спец[[#This Row],[аФакСец]])</f>
        <v>1</v>
      </c>
    </row>
    <row r="1032" spans="3:16" x14ac:dyDescent="0.25">
      <c r="C1032" s="614">
        <v>1026</v>
      </c>
      <c r="D1032" s="614">
        <v>145011</v>
      </c>
      <c r="E1032" s="64" t="s">
        <v>1302</v>
      </c>
      <c r="F1032" s="64" t="s">
        <v>6288</v>
      </c>
      <c r="G1032" s="614" t="s">
        <v>33</v>
      </c>
      <c r="H1032" s="614" t="s">
        <v>682</v>
      </c>
      <c r="I1032" s="614" t="s">
        <v>1153</v>
      </c>
      <c r="J1032" s="64" t="s">
        <v>3588</v>
      </c>
      <c r="K1032" s="1940" t="s">
        <v>6289</v>
      </c>
      <c r="L1032" s="1940" t="s">
        <v>8741</v>
      </c>
      <c r="M1032" t="s">
        <v>12122</v>
      </c>
      <c r="N1032" t="s">
        <v>10456</v>
      </c>
      <c r="O1032" t="s">
        <v>6288</v>
      </c>
      <c r="P1032" s="614">
        <f>COUNTIF(EducPlans_кодНАЦИД_Спец[аФакСец],EducPlans_кодНАЦИД_Спец[[#This Row],[аФакСец]])</f>
        <v>1</v>
      </c>
    </row>
    <row r="1033" spans="3:16" x14ac:dyDescent="0.25">
      <c r="C1033" s="614">
        <v>1027</v>
      </c>
      <c r="D1033" s="614">
        <v>259355</v>
      </c>
      <c r="E1033" s="64" t="s">
        <v>1303</v>
      </c>
      <c r="F1033" s="64" t="s">
        <v>6290</v>
      </c>
      <c r="G1033" s="614" t="s">
        <v>33</v>
      </c>
      <c r="H1033" s="614" t="s">
        <v>682</v>
      </c>
      <c r="I1033" s="614" t="s">
        <v>1153</v>
      </c>
      <c r="J1033" s="64" t="s">
        <v>3589</v>
      </c>
      <c r="K1033" s="1940" t="s">
        <v>6291</v>
      </c>
      <c r="L1033" s="1940" t="s">
        <v>8742</v>
      </c>
      <c r="M1033" t="s">
        <v>12123</v>
      </c>
      <c r="N1033" t="s">
        <v>10457</v>
      </c>
      <c r="O1033" t="s">
        <v>6290</v>
      </c>
      <c r="P1033" s="614">
        <f>COUNTIF(EducPlans_кодНАЦИД_Спец[аФакСец],EducPlans_кодНАЦИД_Спец[[#This Row],[аФакСец]])</f>
        <v>1</v>
      </c>
    </row>
    <row r="1034" spans="3:16" x14ac:dyDescent="0.25">
      <c r="C1034" s="614">
        <v>1028</v>
      </c>
      <c r="D1034" s="614">
        <v>281064</v>
      </c>
      <c r="E1034" s="64" t="s">
        <v>1304</v>
      </c>
      <c r="F1034" s="64" t="s">
        <v>6292</v>
      </c>
      <c r="G1034" s="614" t="s">
        <v>33</v>
      </c>
      <c r="H1034" s="614" t="s">
        <v>682</v>
      </c>
      <c r="I1034" s="614" t="s">
        <v>1153</v>
      </c>
      <c r="J1034" s="64" t="s">
        <v>3590</v>
      </c>
      <c r="K1034" s="1940" t="s">
        <v>6293</v>
      </c>
      <c r="L1034" s="1940" t="s">
        <v>8743</v>
      </c>
      <c r="M1034" t="s">
        <v>12124</v>
      </c>
      <c r="N1034" t="s">
        <v>10458</v>
      </c>
      <c r="O1034" t="s">
        <v>6292</v>
      </c>
      <c r="P1034" s="614">
        <f>COUNTIF(EducPlans_кодНАЦИД_Спец[аФакСец],EducPlans_кодНАЦИД_Спец[[#This Row],[аФакСец]])</f>
        <v>1</v>
      </c>
    </row>
    <row r="1035" spans="3:16" x14ac:dyDescent="0.25">
      <c r="C1035" s="614">
        <v>1029</v>
      </c>
      <c r="D1035" s="614">
        <v>1042751</v>
      </c>
      <c r="E1035" s="64" t="s">
        <v>13617</v>
      </c>
      <c r="F1035" s="64" t="s">
        <v>13618</v>
      </c>
      <c r="G1035" s="614" t="s">
        <v>33</v>
      </c>
      <c r="H1035" s="614" t="s">
        <v>681</v>
      </c>
      <c r="I1035" s="614" t="s">
        <v>1153</v>
      </c>
      <c r="J1035" s="64" t="s">
        <v>13619</v>
      </c>
      <c r="K1035" s="1940" t="s">
        <v>13620</v>
      </c>
      <c r="L1035" s="1940" t="s">
        <v>13621</v>
      </c>
      <c r="M1035" t="s">
        <v>13622</v>
      </c>
      <c r="N1035" t="s">
        <v>13623</v>
      </c>
      <c r="O1035" t="s">
        <v>13618</v>
      </c>
      <c r="P1035" s="614">
        <f>COUNTIF(EducPlans_кодНАЦИД_Спец[аФакСец],EducPlans_кодНАЦИД_Спец[[#This Row],[аФакСец]])</f>
        <v>1</v>
      </c>
    </row>
    <row r="1036" spans="3:16" x14ac:dyDescent="0.25">
      <c r="C1036" s="614">
        <v>1030</v>
      </c>
      <c r="D1036" s="614">
        <v>1042752</v>
      </c>
      <c r="E1036" s="64" t="s">
        <v>13624</v>
      </c>
      <c r="F1036" s="64" t="s">
        <v>13625</v>
      </c>
      <c r="G1036" s="614" t="s">
        <v>33</v>
      </c>
      <c r="H1036" s="614" t="s">
        <v>681</v>
      </c>
      <c r="I1036" s="614" t="s">
        <v>1153</v>
      </c>
      <c r="J1036" s="64" t="s">
        <v>13626</v>
      </c>
      <c r="K1036" s="1940" t="s">
        <v>13627</v>
      </c>
      <c r="L1036" s="1940" t="s">
        <v>13628</v>
      </c>
      <c r="M1036" t="s">
        <v>13629</v>
      </c>
      <c r="N1036" t="s">
        <v>13630</v>
      </c>
      <c r="O1036" t="s">
        <v>13625</v>
      </c>
      <c r="P1036" s="614">
        <f>COUNTIF(EducPlans_кодНАЦИД_Спец[аФакСец],EducPlans_кодНАЦИД_Спец[[#This Row],[аФакСец]])</f>
        <v>1</v>
      </c>
    </row>
    <row r="1037" spans="3:16" x14ac:dyDescent="0.25">
      <c r="C1037" s="614">
        <v>1031</v>
      </c>
      <c r="D1037" s="614">
        <v>11958</v>
      </c>
      <c r="E1037" s="64" t="s">
        <v>1305</v>
      </c>
      <c r="F1037" s="64" t="s">
        <v>6294</v>
      </c>
      <c r="G1037" s="614" t="s">
        <v>628</v>
      </c>
      <c r="H1037" s="614" t="s">
        <v>682</v>
      </c>
      <c r="I1037" s="614" t="s">
        <v>1153</v>
      </c>
      <c r="J1037" s="64" t="s">
        <v>4233</v>
      </c>
      <c r="K1037" s="1940" t="s">
        <v>6295</v>
      </c>
      <c r="L1037" s="1940" t="s">
        <v>8744</v>
      </c>
      <c r="M1037" t="s">
        <v>12125</v>
      </c>
      <c r="N1037" t="s">
        <v>10459</v>
      </c>
      <c r="O1037" t="s">
        <v>6294</v>
      </c>
      <c r="P1037" s="614">
        <f>COUNTIF(EducPlans_кодНАЦИД_Спец[аФакСец],EducPlans_кодНАЦИД_Спец[[#This Row],[аФакСец]])</f>
        <v>1</v>
      </c>
    </row>
    <row r="1038" spans="3:16" x14ac:dyDescent="0.25">
      <c r="C1038" s="614">
        <v>1032</v>
      </c>
      <c r="D1038" s="614">
        <v>11955</v>
      </c>
      <c r="E1038" s="64" t="s">
        <v>1306</v>
      </c>
      <c r="F1038" s="64" t="s">
        <v>6296</v>
      </c>
      <c r="G1038" s="614" t="s">
        <v>628</v>
      </c>
      <c r="H1038" s="614" t="s">
        <v>682</v>
      </c>
      <c r="I1038" s="614" t="s">
        <v>1153</v>
      </c>
      <c r="J1038" s="64" t="s">
        <v>4235</v>
      </c>
      <c r="K1038" s="1940" t="s">
        <v>6297</v>
      </c>
      <c r="L1038" s="1940" t="s">
        <v>8745</v>
      </c>
      <c r="M1038" t="s">
        <v>12126</v>
      </c>
      <c r="N1038" t="s">
        <v>10460</v>
      </c>
      <c r="O1038" t="s">
        <v>6296</v>
      </c>
      <c r="P1038" s="614">
        <f>COUNTIF(EducPlans_кодНАЦИД_Спец[аФакСец],EducPlans_кодНАЦИД_Спец[[#This Row],[аФакСец]])</f>
        <v>1</v>
      </c>
    </row>
    <row r="1039" spans="3:16" x14ac:dyDescent="0.25">
      <c r="C1039" s="614">
        <v>1033</v>
      </c>
      <c r="D1039" s="614">
        <v>11956</v>
      </c>
      <c r="E1039" s="64" t="s">
        <v>1306</v>
      </c>
      <c r="F1039" s="64" t="s">
        <v>6298</v>
      </c>
      <c r="G1039" s="614" t="s">
        <v>628</v>
      </c>
      <c r="H1039" s="614" t="s">
        <v>682</v>
      </c>
      <c r="I1039" s="614" t="s">
        <v>1149</v>
      </c>
      <c r="J1039" s="64" t="s">
        <v>4234</v>
      </c>
      <c r="K1039" s="1940" t="s">
        <v>6299</v>
      </c>
      <c r="L1039" s="1940" t="s">
        <v>8746</v>
      </c>
      <c r="M1039" t="s">
        <v>12127</v>
      </c>
      <c r="N1039" t="s">
        <v>10461</v>
      </c>
      <c r="O1039" t="s">
        <v>6298</v>
      </c>
      <c r="P1039" s="614">
        <f>COUNTIF(EducPlans_кодНАЦИД_Спец[аФакСец],EducPlans_кодНАЦИД_Спец[[#This Row],[аФакСец]])</f>
        <v>1</v>
      </c>
    </row>
    <row r="1040" spans="3:16" x14ac:dyDescent="0.25">
      <c r="C1040" s="614">
        <v>1034</v>
      </c>
      <c r="D1040" s="614">
        <v>11834</v>
      </c>
      <c r="E1040" s="64" t="s">
        <v>2348</v>
      </c>
      <c r="F1040" s="64" t="s">
        <v>6300</v>
      </c>
      <c r="G1040" s="614" t="s">
        <v>26</v>
      </c>
      <c r="H1040" s="614" t="s">
        <v>682</v>
      </c>
      <c r="I1040" s="614" t="s">
        <v>1153</v>
      </c>
      <c r="J1040" s="64" t="s">
        <v>3736</v>
      </c>
      <c r="K1040" s="1940" t="s">
        <v>6301</v>
      </c>
      <c r="L1040" s="1940" t="s">
        <v>8747</v>
      </c>
      <c r="M1040" t="s">
        <v>12128</v>
      </c>
      <c r="N1040" t="s">
        <v>10462</v>
      </c>
      <c r="O1040" t="s">
        <v>6300</v>
      </c>
      <c r="P1040" s="614">
        <f>COUNTIF(EducPlans_кодНАЦИД_Спец[аФакСец],EducPlans_кодНАЦИД_Спец[[#This Row],[аФакСец]])</f>
        <v>1</v>
      </c>
    </row>
    <row r="1041" spans="3:16" x14ac:dyDescent="0.25">
      <c r="C1041" s="614">
        <v>1035</v>
      </c>
      <c r="D1041" s="614">
        <v>11834</v>
      </c>
      <c r="E1041" s="64" t="s">
        <v>2348</v>
      </c>
      <c r="F1041" s="64" t="s">
        <v>6302</v>
      </c>
      <c r="G1041" s="614" t="s">
        <v>26</v>
      </c>
      <c r="H1041" s="614" t="s">
        <v>682</v>
      </c>
      <c r="I1041" s="614" t="s">
        <v>1153</v>
      </c>
      <c r="J1041" s="64" t="s">
        <v>3735</v>
      </c>
      <c r="K1041" s="1940" t="s">
        <v>6301</v>
      </c>
      <c r="L1041" s="1940" t="s">
        <v>8748</v>
      </c>
      <c r="M1041" t="s">
        <v>12129</v>
      </c>
      <c r="N1041" t="s">
        <v>10463</v>
      </c>
      <c r="O1041" t="s">
        <v>6302</v>
      </c>
      <c r="P1041" s="614">
        <f>COUNTIF(EducPlans_кодНАЦИД_Спец[аФакСец],EducPlans_кодНАЦИД_Спец[[#This Row],[аФакСец]])</f>
        <v>1</v>
      </c>
    </row>
    <row r="1042" spans="3:16" x14ac:dyDescent="0.25">
      <c r="C1042" s="614">
        <v>1036</v>
      </c>
      <c r="D1042" s="614">
        <v>11834</v>
      </c>
      <c r="E1042" s="64" t="s">
        <v>2348</v>
      </c>
      <c r="F1042" s="64" t="s">
        <v>6303</v>
      </c>
      <c r="G1042" s="614" t="s">
        <v>26</v>
      </c>
      <c r="H1042" s="614" t="s">
        <v>682</v>
      </c>
      <c r="I1042" s="614" t="s">
        <v>1153</v>
      </c>
      <c r="J1042" s="64" t="s">
        <v>3737</v>
      </c>
      <c r="K1042" s="1940" t="s">
        <v>6301</v>
      </c>
      <c r="L1042" s="1940" t="s">
        <v>8749</v>
      </c>
      <c r="M1042" t="s">
        <v>12130</v>
      </c>
      <c r="N1042" t="s">
        <v>10464</v>
      </c>
      <c r="O1042" t="s">
        <v>6303</v>
      </c>
      <c r="P1042" s="614">
        <f>COUNTIF(EducPlans_кодНАЦИД_Спец[аФакСец],EducPlans_кодНАЦИД_Спец[[#This Row],[аФакСец]])</f>
        <v>1</v>
      </c>
    </row>
    <row r="1043" spans="3:16" x14ac:dyDescent="0.25">
      <c r="C1043" s="614">
        <v>1037</v>
      </c>
      <c r="D1043" s="614">
        <v>833547</v>
      </c>
      <c r="E1043" s="64" t="s">
        <v>2348</v>
      </c>
      <c r="F1043" s="64" t="s">
        <v>13631</v>
      </c>
      <c r="G1043" s="614" t="s">
        <v>26</v>
      </c>
      <c r="H1043" s="614" t="s">
        <v>682</v>
      </c>
      <c r="I1043" s="614" t="s">
        <v>1153</v>
      </c>
      <c r="J1043" s="64" t="s">
        <v>13632</v>
      </c>
      <c r="K1043" s="1940" t="s">
        <v>6301</v>
      </c>
      <c r="L1043" s="1940" t="s">
        <v>13633</v>
      </c>
      <c r="M1043" t="s">
        <v>13634</v>
      </c>
      <c r="N1043" t="s">
        <v>13635</v>
      </c>
      <c r="O1043" t="s">
        <v>13631</v>
      </c>
      <c r="P1043" s="614">
        <f>COUNTIF(EducPlans_кодНАЦИД_Спец[аФакСец],EducPlans_кодНАЦИД_Спец[[#This Row],[аФакСец]])</f>
        <v>1</v>
      </c>
    </row>
    <row r="1044" spans="3:16" x14ac:dyDescent="0.25">
      <c r="C1044" s="614">
        <v>1038</v>
      </c>
      <c r="D1044" s="614">
        <v>12276</v>
      </c>
      <c r="E1044" s="64" t="s">
        <v>2227</v>
      </c>
      <c r="F1044" s="64" t="s">
        <v>6304</v>
      </c>
      <c r="G1044" s="614" t="s">
        <v>31</v>
      </c>
      <c r="H1044" s="614" t="s">
        <v>682</v>
      </c>
      <c r="I1044" s="614" t="s">
        <v>1153</v>
      </c>
      <c r="J1044" s="64" t="s">
        <v>2956</v>
      </c>
      <c r="K1044" s="1940" t="s">
        <v>6305</v>
      </c>
      <c r="L1044" s="1940" t="s">
        <v>8750</v>
      </c>
      <c r="M1044" t="s">
        <v>12131</v>
      </c>
      <c r="N1044" t="s">
        <v>10465</v>
      </c>
      <c r="O1044" t="s">
        <v>6304</v>
      </c>
      <c r="P1044" s="614">
        <f>COUNTIF(EducPlans_кодНАЦИД_Спец[аФакСец],EducPlans_кодНАЦИД_Спец[[#This Row],[аФакСец]])</f>
        <v>1</v>
      </c>
    </row>
    <row r="1045" spans="3:16" x14ac:dyDescent="0.25">
      <c r="C1045" s="614">
        <v>1039</v>
      </c>
      <c r="D1045" s="614">
        <v>11966</v>
      </c>
      <c r="E1045" s="64" t="s">
        <v>2129</v>
      </c>
      <c r="F1045" s="64" t="s">
        <v>6306</v>
      </c>
      <c r="G1045" s="614" t="s">
        <v>628</v>
      </c>
      <c r="H1045" s="614" t="s">
        <v>682</v>
      </c>
      <c r="I1045" s="614" t="s">
        <v>1153</v>
      </c>
      <c r="J1045" s="64" t="s">
        <v>4241</v>
      </c>
      <c r="K1045" s="1940" t="s">
        <v>6307</v>
      </c>
      <c r="L1045" s="1940" t="s">
        <v>8751</v>
      </c>
      <c r="M1045" t="s">
        <v>12132</v>
      </c>
      <c r="N1045" t="s">
        <v>10466</v>
      </c>
      <c r="O1045" t="s">
        <v>6306</v>
      </c>
      <c r="P1045" s="614">
        <f>COUNTIF(EducPlans_кодНАЦИД_Спец[аФакСец],EducPlans_кодНАЦИД_Спец[[#This Row],[аФакСец]])</f>
        <v>1</v>
      </c>
    </row>
    <row r="1046" spans="3:16" x14ac:dyDescent="0.25">
      <c r="C1046" s="614">
        <v>1040</v>
      </c>
      <c r="D1046" s="614">
        <v>11966</v>
      </c>
      <c r="E1046" s="64" t="s">
        <v>2129</v>
      </c>
      <c r="F1046" s="64" t="s">
        <v>6308</v>
      </c>
      <c r="G1046" s="614" t="s">
        <v>628</v>
      </c>
      <c r="H1046" s="614" t="s">
        <v>682</v>
      </c>
      <c r="I1046" s="614" t="s">
        <v>1153</v>
      </c>
      <c r="J1046" s="64" t="s">
        <v>4242</v>
      </c>
      <c r="K1046" s="1940" t="s">
        <v>6307</v>
      </c>
      <c r="L1046" s="1940" t="s">
        <v>8752</v>
      </c>
      <c r="M1046" t="s">
        <v>12133</v>
      </c>
      <c r="N1046" t="s">
        <v>10467</v>
      </c>
      <c r="O1046" t="s">
        <v>6308</v>
      </c>
      <c r="P1046" s="614">
        <f>COUNTIF(EducPlans_кодНАЦИД_Спец[аФакСец],EducPlans_кодНАЦИД_Спец[[#This Row],[аФакСец]])</f>
        <v>1</v>
      </c>
    </row>
    <row r="1047" spans="3:16" x14ac:dyDescent="0.25">
      <c r="C1047" s="614">
        <v>1041</v>
      </c>
      <c r="D1047" s="614">
        <v>11966</v>
      </c>
      <c r="E1047" s="64" t="s">
        <v>2129</v>
      </c>
      <c r="F1047" s="64" t="s">
        <v>6309</v>
      </c>
      <c r="G1047" s="614" t="s">
        <v>628</v>
      </c>
      <c r="H1047" s="614" t="s">
        <v>682</v>
      </c>
      <c r="I1047" s="614" t="s">
        <v>1153</v>
      </c>
      <c r="J1047" s="64" t="s">
        <v>4240</v>
      </c>
      <c r="K1047" s="1940" t="s">
        <v>6307</v>
      </c>
      <c r="L1047" s="1940" t="s">
        <v>8753</v>
      </c>
      <c r="M1047" t="s">
        <v>12134</v>
      </c>
      <c r="N1047" t="s">
        <v>10468</v>
      </c>
      <c r="O1047" t="s">
        <v>6309</v>
      </c>
      <c r="P1047" s="614">
        <f>COUNTIF(EducPlans_кодНАЦИД_Спец[аФакСец],EducPlans_кодНАЦИД_Спец[[#This Row],[аФакСец]])</f>
        <v>1</v>
      </c>
    </row>
    <row r="1048" spans="3:16" x14ac:dyDescent="0.25">
      <c r="C1048" s="614">
        <v>1042</v>
      </c>
      <c r="D1048" s="614">
        <v>11967</v>
      </c>
      <c r="E1048" s="64" t="s">
        <v>2129</v>
      </c>
      <c r="F1048" s="64" t="s">
        <v>6310</v>
      </c>
      <c r="G1048" s="614" t="s">
        <v>628</v>
      </c>
      <c r="H1048" s="614" t="s">
        <v>682</v>
      </c>
      <c r="I1048" s="614" t="s">
        <v>1149</v>
      </c>
      <c r="J1048" s="64" t="s">
        <v>4237</v>
      </c>
      <c r="K1048" s="1940" t="s">
        <v>6311</v>
      </c>
      <c r="L1048" s="1940" t="s">
        <v>8754</v>
      </c>
      <c r="M1048" t="s">
        <v>12135</v>
      </c>
      <c r="N1048" t="s">
        <v>10469</v>
      </c>
      <c r="O1048" t="s">
        <v>6310</v>
      </c>
      <c r="P1048" s="614">
        <f>COUNTIF(EducPlans_кодНАЦИД_Спец[аФакСец],EducPlans_кодНАЦИД_Спец[[#This Row],[аФакСец]])</f>
        <v>1</v>
      </c>
    </row>
    <row r="1049" spans="3:16" x14ac:dyDescent="0.25">
      <c r="C1049" s="614">
        <v>1043</v>
      </c>
      <c r="D1049" s="614">
        <v>11967</v>
      </c>
      <c r="E1049" s="64" t="s">
        <v>2129</v>
      </c>
      <c r="F1049" s="64" t="s">
        <v>6312</v>
      </c>
      <c r="G1049" s="614" t="s">
        <v>628</v>
      </c>
      <c r="H1049" s="614" t="s">
        <v>682</v>
      </c>
      <c r="I1049" s="614" t="s">
        <v>1149</v>
      </c>
      <c r="J1049" s="64" t="s">
        <v>4236</v>
      </c>
      <c r="K1049" s="1940" t="s">
        <v>6311</v>
      </c>
      <c r="L1049" s="1940" t="s">
        <v>8755</v>
      </c>
      <c r="M1049" t="s">
        <v>12136</v>
      </c>
      <c r="N1049" t="s">
        <v>10470</v>
      </c>
      <c r="O1049" t="s">
        <v>6312</v>
      </c>
      <c r="P1049" s="614">
        <f>COUNTIF(EducPlans_кодНАЦИД_Спец[аФакСец],EducPlans_кодНАЦИД_Спец[[#This Row],[аФакСец]])</f>
        <v>1</v>
      </c>
    </row>
    <row r="1050" spans="3:16" x14ac:dyDescent="0.25">
      <c r="C1050" s="614">
        <v>1044</v>
      </c>
      <c r="D1050" s="614">
        <v>11967</v>
      </c>
      <c r="E1050" s="64" t="s">
        <v>2129</v>
      </c>
      <c r="F1050" s="64" t="s">
        <v>6313</v>
      </c>
      <c r="G1050" s="614" t="s">
        <v>628</v>
      </c>
      <c r="H1050" s="614" t="s">
        <v>682</v>
      </c>
      <c r="I1050" s="614" t="s">
        <v>1149</v>
      </c>
      <c r="J1050" s="64" t="s">
        <v>4238</v>
      </c>
      <c r="K1050" s="1940" t="s">
        <v>6311</v>
      </c>
      <c r="L1050" s="1940" t="s">
        <v>8756</v>
      </c>
      <c r="M1050" t="s">
        <v>12137</v>
      </c>
      <c r="N1050" t="s">
        <v>10471</v>
      </c>
      <c r="O1050" t="s">
        <v>6313</v>
      </c>
      <c r="P1050" s="614">
        <f>COUNTIF(EducPlans_кодНАЦИД_Спец[аФакСец],EducPlans_кодНАЦИД_Спец[[#This Row],[аФакСец]])</f>
        <v>1</v>
      </c>
    </row>
    <row r="1051" spans="3:16" x14ac:dyDescent="0.25">
      <c r="C1051" s="614">
        <v>1045</v>
      </c>
      <c r="D1051" s="614">
        <v>11967</v>
      </c>
      <c r="E1051" s="64" t="s">
        <v>2129</v>
      </c>
      <c r="F1051" s="64" t="s">
        <v>6314</v>
      </c>
      <c r="G1051" s="614" t="s">
        <v>628</v>
      </c>
      <c r="H1051" s="614" t="s">
        <v>682</v>
      </c>
      <c r="I1051" s="614" t="s">
        <v>1149</v>
      </c>
      <c r="J1051" s="64" t="s">
        <v>4239</v>
      </c>
      <c r="K1051" s="1940" t="s">
        <v>6311</v>
      </c>
      <c r="L1051" s="1940" t="s">
        <v>8757</v>
      </c>
      <c r="M1051" t="s">
        <v>12138</v>
      </c>
      <c r="N1051" t="s">
        <v>10472</v>
      </c>
      <c r="O1051" t="s">
        <v>6314</v>
      </c>
      <c r="P1051" s="614">
        <f>COUNTIF(EducPlans_кодНАЦИД_Спец[аФакСец],EducPlans_кодНАЦИД_Спец[[#This Row],[аФакСец]])</f>
        <v>1</v>
      </c>
    </row>
    <row r="1052" spans="3:16" x14ac:dyDescent="0.25">
      <c r="C1052" s="614">
        <v>1046</v>
      </c>
      <c r="D1052" s="614">
        <v>11031</v>
      </c>
      <c r="E1052" s="64" t="s">
        <v>1574</v>
      </c>
      <c r="F1052" s="64" t="s">
        <v>6315</v>
      </c>
      <c r="G1052" s="614" t="s">
        <v>48</v>
      </c>
      <c r="H1052" s="614" t="s">
        <v>681</v>
      </c>
      <c r="I1052" s="614" t="s">
        <v>1153</v>
      </c>
      <c r="J1052" s="64" t="s">
        <v>3161</v>
      </c>
      <c r="K1052" s="1940" t="s">
        <v>6316</v>
      </c>
      <c r="L1052" s="1940" t="s">
        <v>8758</v>
      </c>
      <c r="M1052" t="s">
        <v>12139</v>
      </c>
      <c r="N1052" t="s">
        <v>10473</v>
      </c>
      <c r="O1052" t="s">
        <v>6315</v>
      </c>
      <c r="P1052" s="614">
        <f>COUNTIF(EducPlans_кодНАЦИД_Спец[аФакСец],EducPlans_кодНАЦИД_Спец[[#This Row],[аФакСец]])</f>
        <v>1</v>
      </c>
    </row>
    <row r="1053" spans="3:16" x14ac:dyDescent="0.25">
      <c r="C1053" s="614">
        <v>1047</v>
      </c>
      <c r="D1053" s="614">
        <v>12474</v>
      </c>
      <c r="E1053" s="64" t="s">
        <v>2273</v>
      </c>
      <c r="F1053" s="64" t="s">
        <v>6317</v>
      </c>
      <c r="G1053" s="614" t="s">
        <v>50</v>
      </c>
      <c r="H1053" s="614" t="s">
        <v>682</v>
      </c>
      <c r="I1053" s="614" t="s">
        <v>1153</v>
      </c>
      <c r="J1053" s="64" t="s">
        <v>3011</v>
      </c>
      <c r="K1053" s="1940" t="s">
        <v>6318</v>
      </c>
      <c r="L1053" s="1940" t="s">
        <v>8759</v>
      </c>
      <c r="M1053" t="s">
        <v>12140</v>
      </c>
      <c r="N1053" t="s">
        <v>10474</v>
      </c>
      <c r="O1053" t="s">
        <v>6317</v>
      </c>
      <c r="P1053" s="614">
        <f>COUNTIF(EducPlans_кодНАЦИД_Спец[аФакСец],EducPlans_кодНАЦИД_Спец[[#This Row],[аФакСец]])</f>
        <v>1</v>
      </c>
    </row>
    <row r="1054" spans="3:16" x14ac:dyDescent="0.25">
      <c r="C1054" s="614">
        <v>1048</v>
      </c>
      <c r="D1054" s="614">
        <v>12901</v>
      </c>
      <c r="E1054" s="64" t="s">
        <v>2022</v>
      </c>
      <c r="F1054" s="64" t="s">
        <v>6319</v>
      </c>
      <c r="G1054" s="614" t="s">
        <v>626</v>
      </c>
      <c r="H1054" s="614" t="s">
        <v>682</v>
      </c>
      <c r="I1054" s="614" t="s">
        <v>1149</v>
      </c>
      <c r="J1054" s="64" t="s">
        <v>3346</v>
      </c>
      <c r="K1054" s="1940" t="s">
        <v>6320</v>
      </c>
      <c r="L1054" s="1940" t="s">
        <v>8760</v>
      </c>
      <c r="M1054" t="s">
        <v>12141</v>
      </c>
      <c r="N1054" t="s">
        <v>10475</v>
      </c>
      <c r="O1054" t="s">
        <v>6319</v>
      </c>
      <c r="P1054" s="614">
        <f>COUNTIF(EducPlans_кодНАЦИД_Спец[аФакСец],EducPlans_кодНАЦИД_Спец[[#This Row],[аФакСец]])</f>
        <v>1</v>
      </c>
    </row>
    <row r="1055" spans="3:16" x14ac:dyDescent="0.25">
      <c r="C1055" s="614">
        <v>1049</v>
      </c>
      <c r="D1055" s="614">
        <v>12901</v>
      </c>
      <c r="E1055" s="64" t="s">
        <v>2022</v>
      </c>
      <c r="F1055" s="64" t="s">
        <v>6321</v>
      </c>
      <c r="G1055" s="614" t="s">
        <v>626</v>
      </c>
      <c r="H1055" s="614" t="s">
        <v>682</v>
      </c>
      <c r="I1055" s="614" t="s">
        <v>1149</v>
      </c>
      <c r="J1055" s="64" t="s">
        <v>3347</v>
      </c>
      <c r="K1055" s="1940" t="s">
        <v>6320</v>
      </c>
      <c r="L1055" s="1940" t="s">
        <v>8761</v>
      </c>
      <c r="M1055" t="s">
        <v>12142</v>
      </c>
      <c r="N1055" t="s">
        <v>10476</v>
      </c>
      <c r="O1055" t="s">
        <v>6321</v>
      </c>
      <c r="P1055" s="614">
        <f>COUNTIF(EducPlans_кодНАЦИД_Спец[аФакСец],EducPlans_кодНАЦИД_Спец[[#This Row],[аФакСец]])</f>
        <v>1</v>
      </c>
    </row>
    <row r="1056" spans="3:16" x14ac:dyDescent="0.25">
      <c r="C1056" s="614">
        <v>1050</v>
      </c>
      <c r="D1056" s="614">
        <v>12901</v>
      </c>
      <c r="E1056" s="64" t="s">
        <v>2022</v>
      </c>
      <c r="F1056" s="64" t="s">
        <v>6322</v>
      </c>
      <c r="G1056" s="614" t="s">
        <v>626</v>
      </c>
      <c r="H1056" s="614" t="s">
        <v>682</v>
      </c>
      <c r="I1056" s="614" t="s">
        <v>1149</v>
      </c>
      <c r="J1056" s="64" t="s">
        <v>3341</v>
      </c>
      <c r="K1056" s="1940" t="s">
        <v>6320</v>
      </c>
      <c r="L1056" s="1940" t="s">
        <v>8762</v>
      </c>
      <c r="M1056" t="s">
        <v>12143</v>
      </c>
      <c r="N1056" t="s">
        <v>10477</v>
      </c>
      <c r="O1056" t="s">
        <v>6322</v>
      </c>
      <c r="P1056" s="614">
        <f>COUNTIF(EducPlans_кодНАЦИД_Спец[аФакСец],EducPlans_кодНАЦИД_Спец[[#This Row],[аФакСец]])</f>
        <v>1</v>
      </c>
    </row>
    <row r="1057" spans="3:16" x14ac:dyDescent="0.25">
      <c r="C1057" s="614">
        <v>1051</v>
      </c>
      <c r="D1057" s="614">
        <v>12901</v>
      </c>
      <c r="E1057" s="64" t="s">
        <v>2022</v>
      </c>
      <c r="F1057" s="64" t="s">
        <v>6323</v>
      </c>
      <c r="G1057" s="614" t="s">
        <v>626</v>
      </c>
      <c r="H1057" s="614" t="s">
        <v>682</v>
      </c>
      <c r="I1057" s="614" t="s">
        <v>1149</v>
      </c>
      <c r="J1057" s="64" t="s">
        <v>3345</v>
      </c>
      <c r="K1057" s="1940" t="s">
        <v>6320</v>
      </c>
      <c r="L1057" s="1940" t="s">
        <v>8763</v>
      </c>
      <c r="M1057" t="s">
        <v>12144</v>
      </c>
      <c r="N1057" t="s">
        <v>10478</v>
      </c>
      <c r="O1057" t="s">
        <v>6323</v>
      </c>
      <c r="P1057" s="614">
        <f>COUNTIF(EducPlans_кодНАЦИД_Спец[аФакСец],EducPlans_кодНАЦИД_Спец[[#This Row],[аФакСец]])</f>
        <v>1</v>
      </c>
    </row>
    <row r="1058" spans="3:16" x14ac:dyDescent="0.25">
      <c r="C1058" s="614">
        <v>1052</v>
      </c>
      <c r="D1058" s="614">
        <v>12901</v>
      </c>
      <c r="E1058" s="64" t="s">
        <v>2022</v>
      </c>
      <c r="F1058" s="64" t="s">
        <v>6324</v>
      </c>
      <c r="G1058" s="614" t="s">
        <v>626</v>
      </c>
      <c r="H1058" s="614" t="s">
        <v>682</v>
      </c>
      <c r="I1058" s="614" t="s">
        <v>1149</v>
      </c>
      <c r="J1058" s="64" t="s">
        <v>3348</v>
      </c>
      <c r="K1058" s="1940" t="s">
        <v>6320</v>
      </c>
      <c r="L1058" s="1940" t="s">
        <v>8764</v>
      </c>
      <c r="M1058" t="s">
        <v>12145</v>
      </c>
      <c r="N1058" t="s">
        <v>10479</v>
      </c>
      <c r="O1058" t="s">
        <v>6324</v>
      </c>
      <c r="P1058" s="614">
        <f>COUNTIF(EducPlans_кодНАЦИД_Спец[аФакСец],EducPlans_кодНАЦИД_Спец[[#This Row],[аФакСец]])</f>
        <v>1</v>
      </c>
    </row>
    <row r="1059" spans="3:16" x14ac:dyDescent="0.25">
      <c r="C1059" s="614">
        <v>1053</v>
      </c>
      <c r="D1059" s="614">
        <v>12901</v>
      </c>
      <c r="E1059" s="64" t="s">
        <v>2022</v>
      </c>
      <c r="F1059" s="64" t="s">
        <v>6325</v>
      </c>
      <c r="G1059" s="614" t="s">
        <v>626</v>
      </c>
      <c r="H1059" s="614" t="s">
        <v>682</v>
      </c>
      <c r="I1059" s="614" t="s">
        <v>1149</v>
      </c>
      <c r="J1059" s="64" t="s">
        <v>3342</v>
      </c>
      <c r="K1059" s="1940" t="s">
        <v>6320</v>
      </c>
      <c r="L1059" s="1940" t="s">
        <v>8765</v>
      </c>
      <c r="M1059" t="s">
        <v>12146</v>
      </c>
      <c r="N1059" t="s">
        <v>10480</v>
      </c>
      <c r="O1059" t="s">
        <v>6325</v>
      </c>
      <c r="P1059" s="614">
        <f>COUNTIF(EducPlans_кодНАЦИД_Спец[аФакСец],EducPlans_кодНАЦИД_Спец[[#This Row],[аФакСец]])</f>
        <v>1</v>
      </c>
    </row>
    <row r="1060" spans="3:16" x14ac:dyDescent="0.25">
      <c r="C1060" s="614">
        <v>1054</v>
      </c>
      <c r="D1060" s="614">
        <v>12901</v>
      </c>
      <c r="E1060" s="64" t="s">
        <v>2022</v>
      </c>
      <c r="F1060" s="64" t="s">
        <v>6326</v>
      </c>
      <c r="G1060" s="614" t="s">
        <v>626</v>
      </c>
      <c r="H1060" s="614" t="s">
        <v>682</v>
      </c>
      <c r="I1060" s="614" t="s">
        <v>1149</v>
      </c>
      <c r="J1060" s="64" t="s">
        <v>3344</v>
      </c>
      <c r="K1060" s="1940" t="s">
        <v>6320</v>
      </c>
      <c r="L1060" s="1940" t="s">
        <v>8766</v>
      </c>
      <c r="M1060" t="s">
        <v>12147</v>
      </c>
      <c r="N1060" t="s">
        <v>10481</v>
      </c>
      <c r="O1060" t="s">
        <v>6326</v>
      </c>
      <c r="P1060" s="614">
        <f>COUNTIF(EducPlans_кодНАЦИД_Спец[аФакСец],EducPlans_кодНАЦИД_Спец[[#This Row],[аФакСец]])</f>
        <v>1</v>
      </c>
    </row>
    <row r="1061" spans="3:16" x14ac:dyDescent="0.25">
      <c r="C1061" s="614">
        <v>1055</v>
      </c>
      <c r="D1061" s="614">
        <v>12901</v>
      </c>
      <c r="E1061" s="64" t="s">
        <v>2022</v>
      </c>
      <c r="F1061" s="64" t="s">
        <v>6327</v>
      </c>
      <c r="G1061" s="614" t="s">
        <v>626</v>
      </c>
      <c r="H1061" s="614" t="s">
        <v>682</v>
      </c>
      <c r="I1061" s="614" t="s">
        <v>1149</v>
      </c>
      <c r="J1061" s="64" t="s">
        <v>3343</v>
      </c>
      <c r="K1061" s="1940" t="s">
        <v>6320</v>
      </c>
      <c r="L1061" s="1940" t="s">
        <v>8767</v>
      </c>
      <c r="M1061" t="s">
        <v>12148</v>
      </c>
      <c r="N1061" t="s">
        <v>10482</v>
      </c>
      <c r="O1061" t="s">
        <v>6327</v>
      </c>
      <c r="P1061" s="614">
        <f>COUNTIF(EducPlans_кодНАЦИД_Спец[аФакСец],EducPlans_кодНАЦИД_Спец[[#This Row],[аФакСец]])</f>
        <v>1</v>
      </c>
    </row>
    <row r="1062" spans="3:16" x14ac:dyDescent="0.25">
      <c r="C1062" s="614">
        <v>1056</v>
      </c>
      <c r="D1062" s="614">
        <v>11197</v>
      </c>
      <c r="E1062" s="64" t="s">
        <v>1683</v>
      </c>
      <c r="F1062" s="64" t="s">
        <v>6328</v>
      </c>
      <c r="G1062" s="614" t="s">
        <v>48</v>
      </c>
      <c r="H1062" s="614" t="s">
        <v>682</v>
      </c>
      <c r="I1062" s="614" t="s">
        <v>1149</v>
      </c>
      <c r="J1062" s="64" t="s">
        <v>3162</v>
      </c>
      <c r="K1062" s="1940" t="s">
        <v>6329</v>
      </c>
      <c r="L1062" s="1940" t="s">
        <v>8768</v>
      </c>
      <c r="M1062" t="s">
        <v>12149</v>
      </c>
      <c r="N1062" t="s">
        <v>10483</v>
      </c>
      <c r="O1062" t="s">
        <v>6328</v>
      </c>
      <c r="P1062" s="614">
        <f>COUNTIF(EducPlans_кодНАЦИД_Спец[аФакСец],EducPlans_кодНАЦИД_Спец[[#This Row],[аФакСец]])</f>
        <v>1</v>
      </c>
    </row>
    <row r="1063" spans="3:16" x14ac:dyDescent="0.25">
      <c r="C1063" s="614">
        <v>1057</v>
      </c>
      <c r="D1063" s="614">
        <v>282737</v>
      </c>
      <c r="E1063" s="64" t="s">
        <v>2023</v>
      </c>
      <c r="F1063" s="64" t="s">
        <v>6330</v>
      </c>
      <c r="G1063" s="614" t="s">
        <v>626</v>
      </c>
      <c r="H1063" s="614" t="s">
        <v>682</v>
      </c>
      <c r="I1063" s="614" t="s">
        <v>1149</v>
      </c>
      <c r="J1063" s="64" t="s">
        <v>3350</v>
      </c>
      <c r="K1063" s="1940" t="s">
        <v>6331</v>
      </c>
      <c r="L1063" s="1940" t="s">
        <v>8769</v>
      </c>
      <c r="M1063" t="s">
        <v>12150</v>
      </c>
      <c r="N1063" t="s">
        <v>10484</v>
      </c>
      <c r="O1063" t="s">
        <v>6330</v>
      </c>
      <c r="P1063" s="614">
        <f>COUNTIF(EducPlans_кодНАЦИД_Спец[аФакСец],EducPlans_кодНАЦИД_Спец[[#This Row],[аФакСец]])</f>
        <v>1</v>
      </c>
    </row>
    <row r="1064" spans="3:16" x14ac:dyDescent="0.25">
      <c r="C1064" s="614">
        <v>1058</v>
      </c>
      <c r="D1064" s="614">
        <v>282737</v>
      </c>
      <c r="E1064" s="64" t="s">
        <v>2023</v>
      </c>
      <c r="F1064" s="64" t="s">
        <v>6332</v>
      </c>
      <c r="G1064" s="614" t="s">
        <v>626</v>
      </c>
      <c r="H1064" s="614" t="s">
        <v>682</v>
      </c>
      <c r="I1064" s="614" t="s">
        <v>1149</v>
      </c>
      <c r="J1064" s="64" t="s">
        <v>3351</v>
      </c>
      <c r="K1064" s="1940" t="s">
        <v>6331</v>
      </c>
      <c r="L1064" s="1940" t="s">
        <v>8770</v>
      </c>
      <c r="M1064" t="s">
        <v>12151</v>
      </c>
      <c r="N1064" t="s">
        <v>10485</v>
      </c>
      <c r="O1064" t="s">
        <v>6332</v>
      </c>
      <c r="P1064" s="614">
        <f>COUNTIF(EducPlans_кодНАЦИД_Спец[аФакСец],EducPlans_кодНАЦИД_Спец[[#This Row],[аФакСец]])</f>
        <v>1</v>
      </c>
    </row>
    <row r="1065" spans="3:16" x14ac:dyDescent="0.25">
      <c r="C1065" s="614">
        <v>1059</v>
      </c>
      <c r="D1065" s="614">
        <v>282737</v>
      </c>
      <c r="E1065" s="64" t="s">
        <v>2023</v>
      </c>
      <c r="F1065" s="64" t="s">
        <v>6333</v>
      </c>
      <c r="G1065" s="614" t="s">
        <v>626</v>
      </c>
      <c r="H1065" s="614" t="s">
        <v>682</v>
      </c>
      <c r="I1065" s="614" t="s">
        <v>1149</v>
      </c>
      <c r="J1065" s="64" t="s">
        <v>3353</v>
      </c>
      <c r="K1065" s="1940" t="s">
        <v>6331</v>
      </c>
      <c r="L1065" s="1940" t="s">
        <v>8771</v>
      </c>
      <c r="M1065" t="s">
        <v>12152</v>
      </c>
      <c r="N1065" t="s">
        <v>10486</v>
      </c>
      <c r="O1065" t="s">
        <v>6333</v>
      </c>
      <c r="P1065" s="614">
        <f>COUNTIF(EducPlans_кодНАЦИД_Спец[аФакСец],EducPlans_кодНАЦИД_Спец[[#This Row],[аФакСец]])</f>
        <v>1</v>
      </c>
    </row>
    <row r="1066" spans="3:16" x14ac:dyDescent="0.25">
      <c r="C1066" s="614">
        <v>1060</v>
      </c>
      <c r="D1066" s="614">
        <v>282737</v>
      </c>
      <c r="E1066" s="64" t="s">
        <v>2023</v>
      </c>
      <c r="F1066" s="64" t="s">
        <v>6334</v>
      </c>
      <c r="G1066" s="614" t="s">
        <v>626</v>
      </c>
      <c r="H1066" s="614" t="s">
        <v>682</v>
      </c>
      <c r="I1066" s="614" t="s">
        <v>1149</v>
      </c>
      <c r="J1066" s="64" t="s">
        <v>3352</v>
      </c>
      <c r="K1066" s="1940" t="s">
        <v>6331</v>
      </c>
      <c r="L1066" s="1940" t="s">
        <v>8772</v>
      </c>
      <c r="M1066" t="s">
        <v>12153</v>
      </c>
      <c r="N1066" t="s">
        <v>10487</v>
      </c>
      <c r="O1066" t="s">
        <v>6334</v>
      </c>
      <c r="P1066" s="614">
        <f>COUNTIF(EducPlans_кодНАЦИД_Спец[аФакСец],EducPlans_кодНАЦИД_Спец[[#This Row],[аФакСец]])</f>
        <v>1</v>
      </c>
    </row>
    <row r="1067" spans="3:16" x14ac:dyDescent="0.25">
      <c r="C1067" s="614">
        <v>1061</v>
      </c>
      <c r="D1067" s="614">
        <v>12856</v>
      </c>
      <c r="E1067" s="64" t="s">
        <v>2024</v>
      </c>
      <c r="F1067" s="64" t="s">
        <v>6335</v>
      </c>
      <c r="G1067" s="614" t="s">
        <v>626</v>
      </c>
      <c r="H1067" s="614" t="s">
        <v>682</v>
      </c>
      <c r="I1067" s="614" t="s">
        <v>1153</v>
      </c>
      <c r="J1067" s="64" t="s">
        <v>3354</v>
      </c>
      <c r="K1067" s="1940" t="s">
        <v>6336</v>
      </c>
      <c r="L1067" s="1940" t="s">
        <v>8773</v>
      </c>
      <c r="M1067" t="s">
        <v>12154</v>
      </c>
      <c r="N1067" t="s">
        <v>10488</v>
      </c>
      <c r="O1067" t="s">
        <v>6335</v>
      </c>
      <c r="P1067" s="614">
        <f>COUNTIF(EducPlans_кодНАЦИД_Спец[аФакСец],EducPlans_кодНАЦИД_Спец[[#This Row],[аФакСец]])</f>
        <v>2</v>
      </c>
    </row>
    <row r="1068" spans="3:16" x14ac:dyDescent="0.25">
      <c r="C1068" s="614">
        <v>1062</v>
      </c>
      <c r="D1068" s="614">
        <v>12854</v>
      </c>
      <c r="E1068" s="64" t="s">
        <v>2025</v>
      </c>
      <c r="F1068" s="64" t="s">
        <v>6337</v>
      </c>
      <c r="G1068" s="614" t="s">
        <v>626</v>
      </c>
      <c r="H1068" s="614" t="s">
        <v>682</v>
      </c>
      <c r="I1068" s="614" t="s">
        <v>1153</v>
      </c>
      <c r="J1068" s="64" t="s">
        <v>3355</v>
      </c>
      <c r="K1068" s="1940" t="s">
        <v>6338</v>
      </c>
      <c r="L1068" s="1940" t="s">
        <v>8774</v>
      </c>
      <c r="M1068" t="s">
        <v>12155</v>
      </c>
      <c r="N1068" t="s">
        <v>10489</v>
      </c>
      <c r="O1068" t="s">
        <v>6337</v>
      </c>
      <c r="P1068" s="614">
        <f>COUNTIF(EducPlans_кодНАЦИД_Спец[аФакСец],EducPlans_кодНАЦИД_Спец[[#This Row],[аФакСец]])</f>
        <v>2</v>
      </c>
    </row>
    <row r="1069" spans="3:16" x14ac:dyDescent="0.25">
      <c r="C1069" s="614">
        <v>1063</v>
      </c>
      <c r="D1069" s="614">
        <v>12855</v>
      </c>
      <c r="E1069" s="64" t="s">
        <v>2026</v>
      </c>
      <c r="F1069" s="64" t="s">
        <v>6339</v>
      </c>
      <c r="G1069" s="614" t="s">
        <v>626</v>
      </c>
      <c r="H1069" s="614" t="s">
        <v>682</v>
      </c>
      <c r="I1069" s="614" t="s">
        <v>1153</v>
      </c>
      <c r="J1069" s="64" t="s">
        <v>3357</v>
      </c>
      <c r="K1069" s="1940" t="s">
        <v>6340</v>
      </c>
      <c r="L1069" s="1940" t="s">
        <v>8775</v>
      </c>
      <c r="M1069" t="s">
        <v>12156</v>
      </c>
      <c r="N1069" t="s">
        <v>10490</v>
      </c>
      <c r="O1069" t="s">
        <v>6339</v>
      </c>
      <c r="P1069" s="614">
        <f>COUNTIF(EducPlans_кодНАЦИД_Спец[аФакСец],EducPlans_кодНАЦИД_Спец[[#This Row],[аФакСец]])</f>
        <v>2</v>
      </c>
    </row>
    <row r="1070" spans="3:16" x14ac:dyDescent="0.25">
      <c r="C1070" s="614">
        <v>1064</v>
      </c>
      <c r="D1070" s="614">
        <v>12886</v>
      </c>
      <c r="E1070" s="64" t="s">
        <v>2027</v>
      </c>
      <c r="F1070" s="64" t="s">
        <v>6341</v>
      </c>
      <c r="G1070" s="614" t="s">
        <v>626</v>
      </c>
      <c r="H1070" s="614" t="s">
        <v>682</v>
      </c>
      <c r="I1070" s="614" t="s">
        <v>1153</v>
      </c>
      <c r="J1070" s="64" t="s">
        <v>3354</v>
      </c>
      <c r="K1070" s="1940" t="s">
        <v>6342</v>
      </c>
      <c r="L1070" s="1940" t="s">
        <v>8773</v>
      </c>
      <c r="M1070" t="s">
        <v>12157</v>
      </c>
      <c r="N1070" t="s">
        <v>10488</v>
      </c>
      <c r="O1070" t="s">
        <v>6341</v>
      </c>
      <c r="P1070" s="614">
        <f>COUNTIF(EducPlans_кодНАЦИД_Спец[аФакСец],EducPlans_кодНАЦИД_Спец[[#This Row],[аФакСец]])</f>
        <v>2</v>
      </c>
    </row>
    <row r="1071" spans="3:16" x14ac:dyDescent="0.25">
      <c r="C1071" s="614">
        <v>1065</v>
      </c>
      <c r="D1071" s="614">
        <v>12860</v>
      </c>
      <c r="E1071" s="64" t="s">
        <v>2028</v>
      </c>
      <c r="F1071" s="64" t="s">
        <v>6343</v>
      </c>
      <c r="G1071" s="614" t="s">
        <v>626</v>
      </c>
      <c r="H1071" s="614" t="s">
        <v>682</v>
      </c>
      <c r="I1071" s="614" t="s">
        <v>1153</v>
      </c>
      <c r="J1071" s="64" t="s">
        <v>3355</v>
      </c>
      <c r="K1071" s="1940" t="s">
        <v>6344</v>
      </c>
      <c r="L1071" s="1940" t="s">
        <v>8774</v>
      </c>
      <c r="M1071" t="s">
        <v>12158</v>
      </c>
      <c r="N1071" t="s">
        <v>10489</v>
      </c>
      <c r="O1071" t="s">
        <v>6343</v>
      </c>
      <c r="P1071" s="614">
        <f>COUNTIF(EducPlans_кодНАЦИД_Спец[аФакСец],EducPlans_кодНАЦИД_Спец[[#This Row],[аФакСец]])</f>
        <v>2</v>
      </c>
    </row>
    <row r="1072" spans="3:16" x14ac:dyDescent="0.25">
      <c r="C1072" s="614">
        <v>1066</v>
      </c>
      <c r="D1072" s="614">
        <v>12888</v>
      </c>
      <c r="E1072" s="64" t="s">
        <v>2029</v>
      </c>
      <c r="F1072" s="64" t="s">
        <v>6345</v>
      </c>
      <c r="G1072" s="614" t="s">
        <v>626</v>
      </c>
      <c r="H1072" s="614" t="s">
        <v>682</v>
      </c>
      <c r="I1072" s="614" t="s">
        <v>1153</v>
      </c>
      <c r="J1072" s="64" t="s">
        <v>3359</v>
      </c>
      <c r="K1072" s="1940" t="s">
        <v>6346</v>
      </c>
      <c r="L1072" s="1940" t="s">
        <v>8776</v>
      </c>
      <c r="M1072" t="s">
        <v>12159</v>
      </c>
      <c r="N1072" t="s">
        <v>10491</v>
      </c>
      <c r="O1072" t="s">
        <v>6345</v>
      </c>
      <c r="P1072" s="614">
        <f>COUNTIF(EducPlans_кодНАЦИД_Спец[аФакСец],EducPlans_кодНАЦИД_Спец[[#This Row],[аФакСец]])</f>
        <v>1</v>
      </c>
    </row>
    <row r="1073" spans="3:16" x14ac:dyDescent="0.25">
      <c r="C1073" s="614">
        <v>1067</v>
      </c>
      <c r="D1073" s="614">
        <v>12869</v>
      </c>
      <c r="E1073" s="64" t="s">
        <v>2030</v>
      </c>
      <c r="F1073" s="64" t="s">
        <v>6347</v>
      </c>
      <c r="G1073" s="614" t="s">
        <v>626</v>
      </c>
      <c r="H1073" s="614" t="s">
        <v>682</v>
      </c>
      <c r="I1073" s="614" t="s">
        <v>1153</v>
      </c>
      <c r="J1073" s="64" t="s">
        <v>3357</v>
      </c>
      <c r="K1073" s="1940" t="s">
        <v>6348</v>
      </c>
      <c r="L1073" s="1940" t="s">
        <v>8775</v>
      </c>
      <c r="M1073" t="s">
        <v>12160</v>
      </c>
      <c r="N1073" t="s">
        <v>10490</v>
      </c>
      <c r="O1073" t="s">
        <v>6347</v>
      </c>
      <c r="P1073" s="614">
        <f>COUNTIF(EducPlans_кодНАЦИД_Спец[аФакСец],EducPlans_кодНАЦИД_Спец[[#This Row],[аФакСец]])</f>
        <v>2</v>
      </c>
    </row>
    <row r="1074" spans="3:16" x14ac:dyDescent="0.25">
      <c r="C1074" s="614">
        <v>1068</v>
      </c>
      <c r="D1074" s="614">
        <v>11146</v>
      </c>
      <c r="E1074" s="64" t="s">
        <v>1575</v>
      </c>
      <c r="F1074" s="64" t="s">
        <v>6349</v>
      </c>
      <c r="G1074" s="614" t="s">
        <v>48</v>
      </c>
      <c r="H1074" s="614" t="s">
        <v>682</v>
      </c>
      <c r="I1074" s="614" t="s">
        <v>1153</v>
      </c>
      <c r="J1074" s="64" t="s">
        <v>3165</v>
      </c>
      <c r="K1074" s="1940" t="s">
        <v>6350</v>
      </c>
      <c r="L1074" s="1940" t="s">
        <v>8777</v>
      </c>
      <c r="M1074" t="s">
        <v>12161</v>
      </c>
      <c r="N1074" t="s">
        <v>10492</v>
      </c>
      <c r="O1074" t="s">
        <v>6349</v>
      </c>
      <c r="P1074" s="614">
        <f>COUNTIF(EducPlans_кодНАЦИД_Спец[аФакСец],EducPlans_кодНАЦИД_Спец[[#This Row],[аФакСец]])</f>
        <v>1</v>
      </c>
    </row>
    <row r="1075" spans="3:16" x14ac:dyDescent="0.25">
      <c r="C1075" s="614">
        <v>1069</v>
      </c>
      <c r="D1075" s="614">
        <v>11148</v>
      </c>
      <c r="E1075" s="64" t="s">
        <v>1575</v>
      </c>
      <c r="F1075" s="64" t="s">
        <v>6351</v>
      </c>
      <c r="G1075" s="614" t="s">
        <v>48</v>
      </c>
      <c r="H1075" s="614" t="s">
        <v>682</v>
      </c>
      <c r="I1075" s="614" t="s">
        <v>1149</v>
      </c>
      <c r="J1075" s="64" t="s">
        <v>3163</v>
      </c>
      <c r="K1075" s="1940" t="s">
        <v>6352</v>
      </c>
      <c r="L1075" s="1940" t="s">
        <v>8778</v>
      </c>
      <c r="M1075" t="s">
        <v>12162</v>
      </c>
      <c r="N1075" t="s">
        <v>10493</v>
      </c>
      <c r="O1075" t="s">
        <v>6351</v>
      </c>
      <c r="P1075" s="614">
        <f>COUNTIF(EducPlans_кодНАЦИД_Спец[аФакСец],EducPlans_кодНАЦИД_Спец[[#This Row],[аФакСец]])</f>
        <v>1</v>
      </c>
    </row>
    <row r="1076" spans="3:16" x14ac:dyDescent="0.25">
      <c r="C1076" s="614">
        <v>1070</v>
      </c>
      <c r="D1076" s="614">
        <v>11148</v>
      </c>
      <c r="E1076" s="64" t="s">
        <v>1575</v>
      </c>
      <c r="F1076" s="64" t="s">
        <v>6353</v>
      </c>
      <c r="G1076" s="614" t="s">
        <v>48</v>
      </c>
      <c r="H1076" s="614" t="s">
        <v>682</v>
      </c>
      <c r="I1076" s="614" t="s">
        <v>1149</v>
      </c>
      <c r="J1076" s="64" t="s">
        <v>3164</v>
      </c>
      <c r="K1076" s="1940" t="s">
        <v>6352</v>
      </c>
      <c r="L1076" s="1940" t="s">
        <v>8779</v>
      </c>
      <c r="M1076" t="s">
        <v>12163</v>
      </c>
      <c r="N1076" t="s">
        <v>10494</v>
      </c>
      <c r="O1076" t="s">
        <v>6353</v>
      </c>
      <c r="P1076" s="614">
        <f>COUNTIF(EducPlans_кодНАЦИД_Спец[аФакСец],EducPlans_кодНАЦИД_Спец[[#This Row],[аФакСец]])</f>
        <v>1</v>
      </c>
    </row>
    <row r="1077" spans="3:16" x14ac:dyDescent="0.25">
      <c r="C1077" s="614">
        <v>1071</v>
      </c>
      <c r="D1077" s="614">
        <v>11150</v>
      </c>
      <c r="E1077" s="64" t="s">
        <v>1576</v>
      </c>
      <c r="F1077" s="64" t="s">
        <v>6354</v>
      </c>
      <c r="G1077" s="614" t="s">
        <v>48</v>
      </c>
      <c r="H1077" s="614" t="s">
        <v>682</v>
      </c>
      <c r="I1077" s="614" t="s">
        <v>1153</v>
      </c>
      <c r="J1077" s="64" t="s">
        <v>3166</v>
      </c>
      <c r="K1077" s="1940" t="s">
        <v>6355</v>
      </c>
      <c r="L1077" s="1940" t="s">
        <v>8780</v>
      </c>
      <c r="M1077" t="s">
        <v>12164</v>
      </c>
      <c r="N1077" t="s">
        <v>10495</v>
      </c>
      <c r="O1077" t="s">
        <v>6354</v>
      </c>
      <c r="P1077" s="614">
        <f>COUNTIF(EducPlans_кодНАЦИД_Спец[аФакСец],EducPlans_кодНАЦИД_Спец[[#This Row],[аФакСец]])</f>
        <v>1</v>
      </c>
    </row>
    <row r="1078" spans="3:16" x14ac:dyDescent="0.25">
      <c r="C1078" s="614">
        <v>1072</v>
      </c>
      <c r="D1078" s="614">
        <v>12170</v>
      </c>
      <c r="E1078" s="64" t="s">
        <v>2228</v>
      </c>
      <c r="F1078" s="64" t="s">
        <v>6356</v>
      </c>
      <c r="G1078" s="614" t="s">
        <v>31</v>
      </c>
      <c r="H1078" s="614" t="s">
        <v>681</v>
      </c>
      <c r="I1078" s="614" t="s">
        <v>1153</v>
      </c>
      <c r="J1078" s="64" t="s">
        <v>2957</v>
      </c>
      <c r="K1078" s="1940" t="s">
        <v>6357</v>
      </c>
      <c r="L1078" s="1940" t="s">
        <v>8781</v>
      </c>
      <c r="M1078" t="s">
        <v>12165</v>
      </c>
      <c r="N1078" t="s">
        <v>10496</v>
      </c>
      <c r="O1078" t="s">
        <v>6356</v>
      </c>
      <c r="P1078" s="614">
        <f>COUNTIF(EducPlans_кодНАЦИД_Спец[аФакСец],EducPlans_кодНАЦИД_Спец[[#This Row],[аФакСец]])</f>
        <v>1</v>
      </c>
    </row>
    <row r="1079" spans="3:16" x14ac:dyDescent="0.25">
      <c r="C1079" s="614">
        <v>1073</v>
      </c>
      <c r="D1079" s="614">
        <v>278413</v>
      </c>
      <c r="E1079" s="64" t="s">
        <v>1201</v>
      </c>
      <c r="F1079" s="64" t="s">
        <v>6358</v>
      </c>
      <c r="G1079" s="614" t="s">
        <v>296</v>
      </c>
      <c r="H1079" s="614" t="s">
        <v>682</v>
      </c>
      <c r="I1079" s="614" t="s">
        <v>1149</v>
      </c>
      <c r="J1079" s="64" t="s">
        <v>3794</v>
      </c>
      <c r="K1079" s="1940" t="s">
        <v>6359</v>
      </c>
      <c r="L1079" s="1940" t="s">
        <v>8782</v>
      </c>
      <c r="M1079" t="s">
        <v>12166</v>
      </c>
      <c r="N1079" t="s">
        <v>10497</v>
      </c>
      <c r="O1079" t="s">
        <v>6358</v>
      </c>
      <c r="P1079" s="614">
        <f>COUNTIF(EducPlans_кодНАЦИД_Спец[аФакСец],EducPlans_кодНАЦИД_Спец[[#This Row],[аФакСец]])</f>
        <v>1</v>
      </c>
    </row>
    <row r="1080" spans="3:16" x14ac:dyDescent="0.25">
      <c r="C1080" s="614">
        <v>1074</v>
      </c>
      <c r="D1080" s="614">
        <v>936201</v>
      </c>
      <c r="E1080" s="64" t="s">
        <v>13636</v>
      </c>
      <c r="F1080" s="64" t="s">
        <v>13637</v>
      </c>
      <c r="G1080" s="614" t="s">
        <v>48</v>
      </c>
      <c r="H1080" s="614" t="s">
        <v>682</v>
      </c>
      <c r="I1080" s="614" t="s">
        <v>1153</v>
      </c>
      <c r="J1080" s="64" t="s">
        <v>13638</v>
      </c>
      <c r="K1080" s="1940" t="s">
        <v>13639</v>
      </c>
      <c r="L1080" s="1940" t="s">
        <v>13640</v>
      </c>
      <c r="M1080" t="s">
        <v>13641</v>
      </c>
      <c r="N1080" t="s">
        <v>13642</v>
      </c>
      <c r="O1080" t="s">
        <v>13637</v>
      </c>
      <c r="P1080" s="614">
        <f>COUNTIF(EducPlans_кодНАЦИД_Спец[аФакСец],EducPlans_кодНАЦИД_Спец[[#This Row],[аФакСец]])</f>
        <v>1</v>
      </c>
    </row>
    <row r="1081" spans="3:16" x14ac:dyDescent="0.25">
      <c r="C1081" s="614">
        <v>1075</v>
      </c>
      <c r="D1081" s="614">
        <v>936202</v>
      </c>
      <c r="E1081" s="64" t="s">
        <v>13636</v>
      </c>
      <c r="F1081" s="64" t="s">
        <v>13643</v>
      </c>
      <c r="G1081" s="614" t="s">
        <v>48</v>
      </c>
      <c r="H1081" s="614" t="s">
        <v>682</v>
      </c>
      <c r="I1081" s="614" t="s">
        <v>1149</v>
      </c>
      <c r="J1081" s="64" t="s">
        <v>13644</v>
      </c>
      <c r="K1081" s="1940" t="s">
        <v>13645</v>
      </c>
      <c r="L1081" s="1940" t="s">
        <v>13646</v>
      </c>
      <c r="M1081" t="s">
        <v>13647</v>
      </c>
      <c r="N1081" t="s">
        <v>13648</v>
      </c>
      <c r="O1081" t="s">
        <v>13643</v>
      </c>
      <c r="P1081" s="614">
        <f>COUNTIF(EducPlans_кодНАЦИД_Спец[аФакСец],EducPlans_кодНАЦИД_Спец[[#This Row],[аФакСец]])</f>
        <v>1</v>
      </c>
    </row>
    <row r="1082" spans="3:16" x14ac:dyDescent="0.25">
      <c r="C1082" s="614">
        <v>1076</v>
      </c>
      <c r="D1082" s="614">
        <v>11133</v>
      </c>
      <c r="E1082" s="64" t="s">
        <v>1578</v>
      </c>
      <c r="F1082" s="64" t="s">
        <v>6360</v>
      </c>
      <c r="G1082" s="614" t="s">
        <v>48</v>
      </c>
      <c r="H1082" s="614" t="s">
        <v>682</v>
      </c>
      <c r="I1082" s="614" t="s">
        <v>1153</v>
      </c>
      <c r="J1082" s="64" t="s">
        <v>4566</v>
      </c>
      <c r="K1082" s="1940" t="s">
        <v>6361</v>
      </c>
      <c r="L1082" s="1940" t="s">
        <v>8783</v>
      </c>
      <c r="M1082" t="s">
        <v>12167</v>
      </c>
      <c r="N1082" t="s">
        <v>10498</v>
      </c>
      <c r="O1082" t="s">
        <v>6360</v>
      </c>
      <c r="P1082" s="614">
        <f>COUNTIF(EducPlans_кодНАЦИД_Спец[аФакСец],EducPlans_кодНАЦИД_Спец[[#This Row],[аФакСец]])</f>
        <v>1</v>
      </c>
    </row>
    <row r="1083" spans="3:16" x14ac:dyDescent="0.25">
      <c r="C1083" s="614">
        <v>1077</v>
      </c>
      <c r="D1083" s="614">
        <v>11133</v>
      </c>
      <c r="E1083" s="64" t="s">
        <v>1578</v>
      </c>
      <c r="F1083" s="64" t="s">
        <v>6362</v>
      </c>
      <c r="G1083" s="614" t="s">
        <v>48</v>
      </c>
      <c r="H1083" s="614" t="s">
        <v>682</v>
      </c>
      <c r="I1083" s="614" t="s">
        <v>1153</v>
      </c>
      <c r="J1083" s="64" t="s">
        <v>3169</v>
      </c>
      <c r="K1083" s="1940" t="s">
        <v>6361</v>
      </c>
      <c r="L1083" s="1940" t="s">
        <v>8784</v>
      </c>
      <c r="M1083" t="s">
        <v>12168</v>
      </c>
      <c r="N1083" t="s">
        <v>10499</v>
      </c>
      <c r="O1083" t="s">
        <v>6362</v>
      </c>
      <c r="P1083" s="614">
        <f>COUNTIF(EducPlans_кодНАЦИД_Спец[аФакСец],EducPlans_кодНАЦИД_Спец[[#This Row],[аФакСец]])</f>
        <v>1</v>
      </c>
    </row>
    <row r="1084" spans="3:16" x14ac:dyDescent="0.25">
      <c r="C1084" s="614">
        <v>1078</v>
      </c>
      <c r="D1084" s="614">
        <v>11135</v>
      </c>
      <c r="E1084" s="64" t="s">
        <v>1578</v>
      </c>
      <c r="F1084" s="64" t="s">
        <v>6363</v>
      </c>
      <c r="G1084" s="614" t="s">
        <v>48</v>
      </c>
      <c r="H1084" s="614" t="s">
        <v>682</v>
      </c>
      <c r="I1084" s="614" t="s">
        <v>1149</v>
      </c>
      <c r="J1084" s="64" t="s">
        <v>3167</v>
      </c>
      <c r="K1084" s="1940" t="s">
        <v>6364</v>
      </c>
      <c r="L1084" s="1940" t="s">
        <v>8785</v>
      </c>
      <c r="M1084" t="s">
        <v>12169</v>
      </c>
      <c r="N1084" t="s">
        <v>10500</v>
      </c>
      <c r="O1084" t="s">
        <v>6363</v>
      </c>
      <c r="P1084" s="614">
        <f>COUNTIF(EducPlans_кодНАЦИД_Спец[аФакСец],EducPlans_кодНАЦИД_Спец[[#This Row],[аФакСец]])</f>
        <v>1</v>
      </c>
    </row>
    <row r="1085" spans="3:16" x14ac:dyDescent="0.25">
      <c r="C1085" s="614">
        <v>1079</v>
      </c>
      <c r="D1085" s="614">
        <v>11135</v>
      </c>
      <c r="E1085" s="64" t="s">
        <v>1578</v>
      </c>
      <c r="F1085" s="64" t="s">
        <v>6365</v>
      </c>
      <c r="G1085" s="614" t="s">
        <v>48</v>
      </c>
      <c r="H1085" s="614" t="s">
        <v>682</v>
      </c>
      <c r="I1085" s="614" t="s">
        <v>1149</v>
      </c>
      <c r="J1085" s="64" t="s">
        <v>3168</v>
      </c>
      <c r="K1085" s="1940" t="s">
        <v>6364</v>
      </c>
      <c r="L1085" s="1940" t="s">
        <v>8786</v>
      </c>
      <c r="M1085" t="s">
        <v>12170</v>
      </c>
      <c r="N1085" t="s">
        <v>10501</v>
      </c>
      <c r="O1085" t="s">
        <v>6365</v>
      </c>
      <c r="P1085" s="614">
        <f>COUNTIF(EducPlans_кодНАЦИД_Спец[аФакСец],EducPlans_кодНАЦИД_Спец[[#This Row],[аФакСец]])</f>
        <v>1</v>
      </c>
    </row>
    <row r="1086" spans="3:16" x14ac:dyDescent="0.25">
      <c r="C1086" s="614">
        <v>1080</v>
      </c>
      <c r="D1086" s="614">
        <v>12631</v>
      </c>
      <c r="E1086" s="64" t="s">
        <v>1307</v>
      </c>
      <c r="F1086" s="64" t="s">
        <v>6366</v>
      </c>
      <c r="G1086" s="614" t="s">
        <v>296</v>
      </c>
      <c r="H1086" s="614" t="s">
        <v>681</v>
      </c>
      <c r="I1086" s="614" t="s">
        <v>1153</v>
      </c>
      <c r="J1086" s="64" t="s">
        <v>3795</v>
      </c>
      <c r="K1086" s="1940" t="s">
        <v>6367</v>
      </c>
      <c r="L1086" s="1940" t="s">
        <v>8787</v>
      </c>
      <c r="M1086" t="s">
        <v>12171</v>
      </c>
      <c r="N1086" t="s">
        <v>10502</v>
      </c>
      <c r="O1086" t="s">
        <v>6366</v>
      </c>
      <c r="P1086" s="614">
        <f>COUNTIF(EducPlans_кодНАЦИД_Спец[аФакСец],EducPlans_кодНАЦИД_Спец[[#This Row],[аФакСец]])</f>
        <v>1</v>
      </c>
    </row>
    <row r="1087" spans="3:16" x14ac:dyDescent="0.25">
      <c r="C1087" s="614">
        <v>1081</v>
      </c>
      <c r="D1087" s="614">
        <v>12722</v>
      </c>
      <c r="E1087" s="64" t="s">
        <v>1307</v>
      </c>
      <c r="F1087" s="64" t="s">
        <v>6368</v>
      </c>
      <c r="G1087" s="614" t="s">
        <v>296</v>
      </c>
      <c r="H1087" s="614" t="s">
        <v>682</v>
      </c>
      <c r="I1087" s="614" t="s">
        <v>1153</v>
      </c>
      <c r="J1087" s="64" t="s">
        <v>3798</v>
      </c>
      <c r="K1087" s="1940" t="s">
        <v>6369</v>
      </c>
      <c r="L1087" s="1940" t="s">
        <v>8788</v>
      </c>
      <c r="M1087" t="s">
        <v>12172</v>
      </c>
      <c r="N1087" t="s">
        <v>10503</v>
      </c>
      <c r="O1087" t="s">
        <v>6368</v>
      </c>
      <c r="P1087" s="614">
        <f>COUNTIF(EducPlans_кодНАЦИД_Спец[аФакСец],EducPlans_кодНАЦИД_Спец[[#This Row],[аФакСец]])</f>
        <v>1</v>
      </c>
    </row>
    <row r="1088" spans="3:16" x14ac:dyDescent="0.25">
      <c r="C1088" s="614">
        <v>1082</v>
      </c>
      <c r="D1088" s="614">
        <v>12722</v>
      </c>
      <c r="E1088" s="64" t="s">
        <v>1307</v>
      </c>
      <c r="F1088" s="64" t="s">
        <v>6370</v>
      </c>
      <c r="G1088" s="614" t="s">
        <v>296</v>
      </c>
      <c r="H1088" s="614" t="s">
        <v>682</v>
      </c>
      <c r="I1088" s="614" t="s">
        <v>1153</v>
      </c>
      <c r="J1088" s="64" t="s">
        <v>3797</v>
      </c>
      <c r="K1088" s="1940" t="s">
        <v>6369</v>
      </c>
      <c r="L1088" s="1940" t="s">
        <v>8789</v>
      </c>
      <c r="M1088" t="s">
        <v>12173</v>
      </c>
      <c r="N1088" t="s">
        <v>10504</v>
      </c>
      <c r="O1088" t="s">
        <v>6370</v>
      </c>
      <c r="P1088" s="614">
        <f>COUNTIF(EducPlans_кодНАЦИД_Спец[аФакСец],EducPlans_кодНАЦИД_Спец[[#This Row],[аФакСец]])</f>
        <v>1</v>
      </c>
    </row>
    <row r="1089" spans="3:16" x14ac:dyDescent="0.25">
      <c r="C1089" s="614">
        <v>1083</v>
      </c>
      <c r="D1089" s="614">
        <v>12722</v>
      </c>
      <c r="E1089" s="64" t="s">
        <v>1307</v>
      </c>
      <c r="F1089" s="64" t="s">
        <v>6371</v>
      </c>
      <c r="G1089" s="614" t="s">
        <v>296</v>
      </c>
      <c r="H1089" s="614" t="s">
        <v>682</v>
      </c>
      <c r="I1089" s="614" t="s">
        <v>1153</v>
      </c>
      <c r="J1089" s="64" t="s">
        <v>3796</v>
      </c>
      <c r="K1089" s="1940" t="s">
        <v>6369</v>
      </c>
      <c r="L1089" s="1940" t="s">
        <v>8790</v>
      </c>
      <c r="M1089" t="s">
        <v>12174</v>
      </c>
      <c r="N1089" t="s">
        <v>10505</v>
      </c>
      <c r="O1089" t="s">
        <v>6371</v>
      </c>
      <c r="P1089" s="614">
        <f>COUNTIF(EducPlans_кодНАЦИД_Спец[аФакСец],EducPlans_кодНАЦИД_Спец[[#This Row],[аФакСец]])</f>
        <v>1</v>
      </c>
    </row>
    <row r="1090" spans="3:16" x14ac:dyDescent="0.25">
      <c r="C1090" s="614">
        <v>1084</v>
      </c>
      <c r="D1090" s="614">
        <v>724810</v>
      </c>
      <c r="E1090" s="64" t="s">
        <v>2679</v>
      </c>
      <c r="F1090" s="64" t="s">
        <v>13010</v>
      </c>
      <c r="G1090" s="614" t="s">
        <v>12921</v>
      </c>
      <c r="H1090" s="614" t="s">
        <v>682</v>
      </c>
      <c r="I1090" s="614" t="s">
        <v>1153</v>
      </c>
      <c r="J1090" s="64" t="s">
        <v>13011</v>
      </c>
      <c r="K1090" s="1940" t="s">
        <v>13012</v>
      </c>
      <c r="L1090" s="1940" t="s">
        <v>13013</v>
      </c>
      <c r="M1090" t="s">
        <v>13014</v>
      </c>
      <c r="N1090" t="s">
        <v>13015</v>
      </c>
      <c r="O1090" t="s">
        <v>13010</v>
      </c>
      <c r="P1090" s="614">
        <f>COUNTIF(EducPlans_кодНАЦИД_Спец[аФакСец],EducPlans_кодНАЦИД_Спец[[#This Row],[аФакСец]])</f>
        <v>1</v>
      </c>
    </row>
    <row r="1091" spans="3:16" x14ac:dyDescent="0.25">
      <c r="C1091" s="614">
        <v>1085</v>
      </c>
      <c r="D1091" s="614">
        <v>288563</v>
      </c>
      <c r="E1091" s="64" t="s">
        <v>2679</v>
      </c>
      <c r="F1091" s="64" t="s">
        <v>6372</v>
      </c>
      <c r="G1091" s="614" t="s">
        <v>296</v>
      </c>
      <c r="H1091" s="614" t="s">
        <v>682</v>
      </c>
      <c r="I1091" s="614" t="s">
        <v>1153</v>
      </c>
      <c r="J1091" s="64" t="s">
        <v>3799</v>
      </c>
      <c r="K1091" s="1940" t="s">
        <v>6373</v>
      </c>
      <c r="L1091" s="1940" t="s">
        <v>8791</v>
      </c>
      <c r="M1091" t="s">
        <v>12175</v>
      </c>
      <c r="N1091" t="s">
        <v>10506</v>
      </c>
      <c r="O1091" t="s">
        <v>6372</v>
      </c>
      <c r="P1091" s="614">
        <f>COUNTIF(EducPlans_кодНАЦИД_Спец[аФакСец],EducPlans_кодНАЦИД_Спец[[#This Row],[аФакСец]])</f>
        <v>1</v>
      </c>
    </row>
    <row r="1092" spans="3:16" x14ac:dyDescent="0.25">
      <c r="C1092" s="614">
        <v>1086</v>
      </c>
      <c r="D1092" s="614">
        <v>549417</v>
      </c>
      <c r="E1092" s="64" t="s">
        <v>13649</v>
      </c>
      <c r="F1092" s="64" t="s">
        <v>6375</v>
      </c>
      <c r="G1092" s="614" t="s">
        <v>296</v>
      </c>
      <c r="H1092" s="614" t="s">
        <v>682</v>
      </c>
      <c r="I1092" s="614" t="s">
        <v>1153</v>
      </c>
      <c r="J1092" s="64" t="s">
        <v>6376</v>
      </c>
      <c r="K1092" s="1940" t="s">
        <v>6377</v>
      </c>
      <c r="L1092" s="1940" t="s">
        <v>8792</v>
      </c>
      <c r="M1092" t="s">
        <v>13650</v>
      </c>
      <c r="N1092" t="s">
        <v>10507</v>
      </c>
      <c r="O1092" t="s">
        <v>6375</v>
      </c>
      <c r="P1092" s="614">
        <f>COUNTIF(EducPlans_кодНАЦИД_Спец[аФакСец],EducPlans_кодНАЦИД_Спец[[#This Row],[аФакСец]])</f>
        <v>1</v>
      </c>
    </row>
    <row r="1093" spans="3:16" x14ac:dyDescent="0.25">
      <c r="C1093" s="614">
        <v>1087</v>
      </c>
      <c r="D1093" s="614">
        <v>549417</v>
      </c>
      <c r="E1093" s="64" t="s">
        <v>13649</v>
      </c>
      <c r="F1093" s="64" t="s">
        <v>13651</v>
      </c>
      <c r="G1093" s="614" t="s">
        <v>296</v>
      </c>
      <c r="H1093" s="614" t="s">
        <v>682</v>
      </c>
      <c r="I1093" s="614" t="s">
        <v>1153</v>
      </c>
      <c r="J1093" s="64" t="s">
        <v>13652</v>
      </c>
      <c r="K1093" s="1940" t="s">
        <v>6377</v>
      </c>
      <c r="L1093" s="1940" t="s">
        <v>13653</v>
      </c>
      <c r="M1093" t="s">
        <v>13654</v>
      </c>
      <c r="N1093" t="s">
        <v>13655</v>
      </c>
      <c r="O1093" t="s">
        <v>13651</v>
      </c>
      <c r="P1093" s="614">
        <f>COUNTIF(EducPlans_кодНАЦИД_Спец[аФакСец],EducPlans_кодНАЦИД_Спец[[#This Row],[аФакСец]])</f>
        <v>1</v>
      </c>
    </row>
    <row r="1094" spans="3:16" x14ac:dyDescent="0.25">
      <c r="C1094" s="614">
        <v>1088</v>
      </c>
      <c r="D1094" s="614">
        <v>556242</v>
      </c>
      <c r="E1094" s="64" t="s">
        <v>13649</v>
      </c>
      <c r="F1094" s="64" t="s">
        <v>13656</v>
      </c>
      <c r="G1094" s="614" t="s">
        <v>296</v>
      </c>
      <c r="H1094" s="614" t="s">
        <v>682</v>
      </c>
      <c r="I1094" s="614" t="s">
        <v>1153</v>
      </c>
      <c r="J1094" s="64" t="s">
        <v>13657</v>
      </c>
      <c r="K1094" s="1940" t="s">
        <v>6377</v>
      </c>
      <c r="L1094" s="1940" t="s">
        <v>13658</v>
      </c>
      <c r="M1094" t="s">
        <v>13659</v>
      </c>
      <c r="N1094" t="s">
        <v>13660</v>
      </c>
      <c r="O1094" t="s">
        <v>13656</v>
      </c>
      <c r="P1094" s="614">
        <f>COUNTIF(EducPlans_кодНАЦИД_Спец[аФакСец],EducPlans_кодНАЦИД_Спец[[#This Row],[аФакСец]])</f>
        <v>1</v>
      </c>
    </row>
    <row r="1095" spans="3:16" x14ac:dyDescent="0.25">
      <c r="C1095" s="614">
        <v>1089</v>
      </c>
      <c r="D1095" s="614">
        <v>927676</v>
      </c>
      <c r="E1095" s="64" t="s">
        <v>13661</v>
      </c>
      <c r="F1095" s="64" t="s">
        <v>13662</v>
      </c>
      <c r="G1095" s="614" t="s">
        <v>296</v>
      </c>
      <c r="H1095" s="614" t="s">
        <v>682</v>
      </c>
      <c r="I1095" s="614" t="s">
        <v>1153</v>
      </c>
      <c r="J1095" s="64" t="s">
        <v>13663</v>
      </c>
      <c r="K1095" s="1940" t="s">
        <v>13664</v>
      </c>
      <c r="L1095" s="1940" t="s">
        <v>13665</v>
      </c>
      <c r="M1095" t="s">
        <v>13666</v>
      </c>
      <c r="N1095" t="s">
        <v>13667</v>
      </c>
      <c r="O1095" t="s">
        <v>13662</v>
      </c>
      <c r="P1095" s="614">
        <f>COUNTIF(EducPlans_кодНАЦИД_Спец[аФакСец],EducPlans_кодНАЦИД_Спец[[#This Row],[аФакСец]])</f>
        <v>1</v>
      </c>
    </row>
    <row r="1096" spans="3:16" x14ac:dyDescent="0.25">
      <c r="C1096" s="614">
        <v>1090</v>
      </c>
      <c r="D1096" s="614">
        <v>12729</v>
      </c>
      <c r="E1096" s="64" t="s">
        <v>1309</v>
      </c>
      <c r="F1096" s="64" t="s">
        <v>6378</v>
      </c>
      <c r="G1096" s="614" t="s">
        <v>296</v>
      </c>
      <c r="H1096" s="614" t="s">
        <v>682</v>
      </c>
      <c r="I1096" s="614" t="s">
        <v>1153</v>
      </c>
      <c r="J1096" s="64" t="s">
        <v>3801</v>
      </c>
      <c r="K1096" s="1940" t="s">
        <v>6379</v>
      </c>
      <c r="L1096" s="1940" t="s">
        <v>8793</v>
      </c>
      <c r="M1096" t="s">
        <v>12176</v>
      </c>
      <c r="N1096" t="s">
        <v>10508</v>
      </c>
      <c r="O1096" t="s">
        <v>6378</v>
      </c>
      <c r="P1096" s="614">
        <f>COUNTIF(EducPlans_кодНАЦИД_Спец[аФакСец],EducPlans_кодНАЦИД_Спец[[#This Row],[аФакСец]])</f>
        <v>1</v>
      </c>
    </row>
    <row r="1097" spans="3:16" x14ac:dyDescent="0.25">
      <c r="C1097" s="614">
        <v>1091</v>
      </c>
      <c r="D1097" s="614">
        <v>12730</v>
      </c>
      <c r="E1097" s="64" t="s">
        <v>1309</v>
      </c>
      <c r="F1097" s="64" t="s">
        <v>6380</v>
      </c>
      <c r="G1097" s="614" t="s">
        <v>296</v>
      </c>
      <c r="H1097" s="614" t="s">
        <v>682</v>
      </c>
      <c r="I1097" s="614" t="s">
        <v>1149</v>
      </c>
      <c r="J1097" s="64" t="s">
        <v>3800</v>
      </c>
      <c r="K1097" s="1940" t="s">
        <v>6381</v>
      </c>
      <c r="L1097" s="1940" t="s">
        <v>8794</v>
      </c>
      <c r="M1097" t="s">
        <v>12177</v>
      </c>
      <c r="N1097" t="s">
        <v>10509</v>
      </c>
      <c r="O1097" t="s">
        <v>6380</v>
      </c>
      <c r="P1097" s="614">
        <f>COUNTIF(EducPlans_кодНАЦИД_Спец[аФакСец],EducPlans_кодНАЦИД_Спец[[#This Row],[аФакСец]])</f>
        <v>1</v>
      </c>
    </row>
    <row r="1098" spans="3:16" x14ac:dyDescent="0.25">
      <c r="C1098" s="614">
        <v>1092</v>
      </c>
      <c r="D1098" s="614">
        <v>12726</v>
      </c>
      <c r="E1098" s="64" t="s">
        <v>1310</v>
      </c>
      <c r="F1098" s="64" t="s">
        <v>6382</v>
      </c>
      <c r="G1098" s="614" t="s">
        <v>296</v>
      </c>
      <c r="H1098" s="614" t="s">
        <v>682</v>
      </c>
      <c r="I1098" s="614" t="s">
        <v>1153</v>
      </c>
      <c r="J1098" s="64" t="s">
        <v>3803</v>
      </c>
      <c r="K1098" s="1940" t="s">
        <v>6383</v>
      </c>
      <c r="L1098" s="1940" t="s">
        <v>8795</v>
      </c>
      <c r="M1098" t="s">
        <v>12178</v>
      </c>
      <c r="N1098" t="s">
        <v>10510</v>
      </c>
      <c r="O1098" t="s">
        <v>6382</v>
      </c>
      <c r="P1098" s="614">
        <f>COUNTIF(EducPlans_кодНАЦИД_Спец[аФакСец],EducPlans_кодНАЦИД_Спец[[#This Row],[аФакСец]])</f>
        <v>1</v>
      </c>
    </row>
    <row r="1099" spans="3:16" x14ac:dyDescent="0.25">
      <c r="C1099" s="614">
        <v>1093</v>
      </c>
      <c r="D1099" s="614">
        <v>12727</v>
      </c>
      <c r="E1099" s="64" t="s">
        <v>1310</v>
      </c>
      <c r="F1099" s="64" t="s">
        <v>6384</v>
      </c>
      <c r="G1099" s="614" t="s">
        <v>296</v>
      </c>
      <c r="H1099" s="614" t="s">
        <v>682</v>
      </c>
      <c r="I1099" s="614" t="s">
        <v>1149</v>
      </c>
      <c r="J1099" s="64" t="s">
        <v>3802</v>
      </c>
      <c r="K1099" s="1940" t="s">
        <v>6385</v>
      </c>
      <c r="L1099" s="1940" t="s">
        <v>8796</v>
      </c>
      <c r="M1099" t="s">
        <v>12179</v>
      </c>
      <c r="N1099" t="s">
        <v>10511</v>
      </c>
      <c r="O1099" t="s">
        <v>6384</v>
      </c>
      <c r="P1099" s="614">
        <f>COUNTIF(EducPlans_кодНАЦИД_Спец[аФакСец],EducPlans_кодНАЦИД_Спец[[#This Row],[аФакСец]])</f>
        <v>1</v>
      </c>
    </row>
    <row r="1100" spans="3:16" x14ac:dyDescent="0.25">
      <c r="C1100" s="614">
        <v>1094</v>
      </c>
      <c r="D1100" s="614">
        <v>12724</v>
      </c>
      <c r="E1100" s="64" t="s">
        <v>1311</v>
      </c>
      <c r="F1100" s="64" t="s">
        <v>6386</v>
      </c>
      <c r="G1100" s="614" t="s">
        <v>296</v>
      </c>
      <c r="H1100" s="614" t="s">
        <v>682</v>
      </c>
      <c r="I1100" s="614" t="s">
        <v>1153</v>
      </c>
      <c r="J1100" s="64" t="s">
        <v>6387</v>
      </c>
      <c r="K1100" s="1940" t="s">
        <v>6388</v>
      </c>
      <c r="L1100" s="1940" t="s">
        <v>8797</v>
      </c>
      <c r="M1100" t="s">
        <v>12180</v>
      </c>
      <c r="N1100" t="s">
        <v>10512</v>
      </c>
      <c r="O1100" t="s">
        <v>6386</v>
      </c>
      <c r="P1100" s="614">
        <f>COUNTIF(EducPlans_кодНАЦИД_Спец[аФакСец],EducPlans_кодНАЦИД_Спец[[#This Row],[аФакСец]])</f>
        <v>1</v>
      </c>
    </row>
    <row r="1101" spans="3:16" x14ac:dyDescent="0.25">
      <c r="C1101" s="614">
        <v>1095</v>
      </c>
      <c r="D1101" s="614">
        <v>12731</v>
      </c>
      <c r="E1101" s="64" t="s">
        <v>1312</v>
      </c>
      <c r="F1101" s="64" t="s">
        <v>6389</v>
      </c>
      <c r="G1101" s="614" t="s">
        <v>296</v>
      </c>
      <c r="H1101" s="614" t="s">
        <v>682</v>
      </c>
      <c r="I1101" s="614" t="s">
        <v>1153</v>
      </c>
      <c r="J1101" s="64" t="s">
        <v>3804</v>
      </c>
      <c r="K1101" s="1940" t="s">
        <v>6390</v>
      </c>
      <c r="L1101" s="1940" t="s">
        <v>8798</v>
      </c>
      <c r="M1101" t="s">
        <v>12181</v>
      </c>
      <c r="N1101" t="s">
        <v>10513</v>
      </c>
      <c r="O1101" t="s">
        <v>6389</v>
      </c>
      <c r="P1101" s="614">
        <f>COUNTIF(EducPlans_кодНАЦИД_Спец[аФакСец],EducPlans_кодНАЦИД_Спец[[#This Row],[аФакСец]])</f>
        <v>1</v>
      </c>
    </row>
    <row r="1102" spans="3:16" x14ac:dyDescent="0.25">
      <c r="C1102" s="614">
        <v>1096</v>
      </c>
      <c r="D1102" s="614">
        <v>713782</v>
      </c>
      <c r="E1102" s="64" t="s">
        <v>2681</v>
      </c>
      <c r="F1102" s="64" t="s">
        <v>13016</v>
      </c>
      <c r="G1102" s="614" t="s">
        <v>12921</v>
      </c>
      <c r="H1102" s="614" t="s">
        <v>681</v>
      </c>
      <c r="I1102" s="614" t="s">
        <v>1153</v>
      </c>
      <c r="J1102" s="64" t="s">
        <v>3805</v>
      </c>
      <c r="K1102" s="1940" t="s">
        <v>13017</v>
      </c>
      <c r="L1102" s="1940" t="s">
        <v>13018</v>
      </c>
      <c r="M1102" t="s">
        <v>13019</v>
      </c>
      <c r="N1102" t="s">
        <v>13020</v>
      </c>
      <c r="O1102" t="s">
        <v>13016</v>
      </c>
      <c r="P1102" s="614">
        <f>COUNTIF(EducPlans_кодНАЦИД_Спец[аФакСец],EducPlans_кодНАЦИД_Спец[[#This Row],[аФакСец]])</f>
        <v>1</v>
      </c>
    </row>
    <row r="1103" spans="3:16" x14ac:dyDescent="0.25">
      <c r="C1103" s="614">
        <v>1097</v>
      </c>
      <c r="D1103" s="614">
        <v>12657</v>
      </c>
      <c r="E1103" s="64" t="s">
        <v>2681</v>
      </c>
      <c r="F1103" s="64" t="s">
        <v>6391</v>
      </c>
      <c r="G1103" s="614" t="s">
        <v>296</v>
      </c>
      <c r="H1103" s="614" t="s">
        <v>681</v>
      </c>
      <c r="I1103" s="614" t="s">
        <v>1153</v>
      </c>
      <c r="J1103" s="64" t="s">
        <v>3805</v>
      </c>
      <c r="K1103" s="1940" t="s">
        <v>6392</v>
      </c>
      <c r="L1103" s="1940" t="s">
        <v>8799</v>
      </c>
      <c r="M1103" t="s">
        <v>12182</v>
      </c>
      <c r="N1103" t="s">
        <v>10514</v>
      </c>
      <c r="O1103" t="s">
        <v>6391</v>
      </c>
      <c r="P1103" s="614">
        <f>COUNTIF(EducPlans_кодНАЦИД_Спец[аФакСец],EducPlans_кодНАЦИД_Спец[[#This Row],[аФакСец]])</f>
        <v>1</v>
      </c>
    </row>
    <row r="1104" spans="3:16" x14ac:dyDescent="0.25">
      <c r="C1104" s="614">
        <v>1098</v>
      </c>
      <c r="D1104" s="614">
        <v>11839</v>
      </c>
      <c r="E1104" s="64" t="s">
        <v>2131</v>
      </c>
      <c r="F1104" s="64" t="s">
        <v>6393</v>
      </c>
      <c r="G1104" s="614" t="s">
        <v>26</v>
      </c>
      <c r="H1104" s="614" t="s">
        <v>682</v>
      </c>
      <c r="I1104" s="614" t="s">
        <v>1153</v>
      </c>
      <c r="J1104" s="64" t="s">
        <v>6394</v>
      </c>
      <c r="K1104" s="1940" t="s">
        <v>6395</v>
      </c>
      <c r="L1104" s="1940" t="s">
        <v>8800</v>
      </c>
      <c r="M1104" t="s">
        <v>12183</v>
      </c>
      <c r="N1104" t="s">
        <v>10515</v>
      </c>
      <c r="O1104" t="s">
        <v>6393</v>
      </c>
      <c r="P1104" s="614">
        <f>COUNTIF(EducPlans_кодНАЦИД_Спец[аФакСец],EducPlans_кодНАЦИД_Спец[[#This Row],[аФакСец]])</f>
        <v>1</v>
      </c>
    </row>
    <row r="1105" spans="3:16" x14ac:dyDescent="0.25">
      <c r="C1105" s="614">
        <v>1099</v>
      </c>
      <c r="D1105" s="614">
        <v>12668</v>
      </c>
      <c r="E1105" s="64" t="s">
        <v>1202</v>
      </c>
      <c r="F1105" s="64" t="s">
        <v>6396</v>
      </c>
      <c r="G1105" s="614" t="s">
        <v>296</v>
      </c>
      <c r="H1105" s="614" t="s">
        <v>682</v>
      </c>
      <c r="I1105" s="614" t="s">
        <v>1153</v>
      </c>
      <c r="J1105" s="64" t="s">
        <v>3807</v>
      </c>
      <c r="K1105" s="1940" t="s">
        <v>6397</v>
      </c>
      <c r="L1105" s="1940" t="s">
        <v>8801</v>
      </c>
      <c r="M1105" t="s">
        <v>12184</v>
      </c>
      <c r="N1105" t="s">
        <v>10516</v>
      </c>
      <c r="O1105" t="s">
        <v>6396</v>
      </c>
      <c r="P1105" s="614">
        <f>COUNTIF(EducPlans_кодНАЦИД_Спец[аФакСец],EducPlans_кодНАЦИД_Спец[[#This Row],[аФакСец]])</f>
        <v>1</v>
      </c>
    </row>
    <row r="1106" spans="3:16" x14ac:dyDescent="0.25">
      <c r="C1106" s="614">
        <v>1100</v>
      </c>
      <c r="D1106" s="614">
        <v>12669</v>
      </c>
      <c r="E1106" s="64" t="s">
        <v>1202</v>
      </c>
      <c r="F1106" s="64" t="s">
        <v>6398</v>
      </c>
      <c r="G1106" s="614" t="s">
        <v>296</v>
      </c>
      <c r="H1106" s="614" t="s">
        <v>682</v>
      </c>
      <c r="I1106" s="614" t="s">
        <v>1149</v>
      </c>
      <c r="J1106" s="64" t="s">
        <v>3806</v>
      </c>
      <c r="K1106" s="1940" t="s">
        <v>6399</v>
      </c>
      <c r="L1106" s="1940" t="s">
        <v>8802</v>
      </c>
      <c r="M1106" t="s">
        <v>12185</v>
      </c>
      <c r="N1106" t="s">
        <v>10517</v>
      </c>
      <c r="O1106" t="s">
        <v>6398</v>
      </c>
      <c r="P1106" s="614">
        <f>COUNTIF(EducPlans_кодНАЦИД_Спец[аФакСец],EducPlans_кодНАЦИД_Спец[[#This Row],[аФакСец]])</f>
        <v>1</v>
      </c>
    </row>
    <row r="1107" spans="3:16" x14ac:dyDescent="0.25">
      <c r="C1107" s="614">
        <v>1101</v>
      </c>
      <c r="D1107" s="614">
        <v>12666</v>
      </c>
      <c r="E1107" s="64" t="s">
        <v>1203</v>
      </c>
      <c r="F1107" s="64" t="s">
        <v>6400</v>
      </c>
      <c r="G1107" s="614" t="s">
        <v>296</v>
      </c>
      <c r="H1107" s="614" t="s">
        <v>682</v>
      </c>
      <c r="I1107" s="614" t="s">
        <v>1149</v>
      </c>
      <c r="J1107" s="64" t="s">
        <v>3809</v>
      </c>
      <c r="K1107" s="1940" t="s">
        <v>6401</v>
      </c>
      <c r="L1107" s="1940" t="s">
        <v>8803</v>
      </c>
      <c r="M1107" t="s">
        <v>12186</v>
      </c>
      <c r="N1107" t="s">
        <v>10518</v>
      </c>
      <c r="O1107" t="s">
        <v>6400</v>
      </c>
      <c r="P1107" s="614">
        <f>COUNTIF(EducPlans_кодНАЦИД_Спец[аФакСец],EducPlans_кодНАЦИД_Спец[[#This Row],[аФакСец]])</f>
        <v>1</v>
      </c>
    </row>
    <row r="1108" spans="3:16" x14ac:dyDescent="0.25">
      <c r="C1108" s="614">
        <v>1102</v>
      </c>
      <c r="D1108" s="614">
        <v>12666</v>
      </c>
      <c r="E1108" s="64" t="s">
        <v>1203</v>
      </c>
      <c r="F1108" s="64" t="s">
        <v>6402</v>
      </c>
      <c r="G1108" s="614" t="s">
        <v>296</v>
      </c>
      <c r="H1108" s="614" t="s">
        <v>682</v>
      </c>
      <c r="I1108" s="614" t="s">
        <v>1149</v>
      </c>
      <c r="J1108" s="64" t="s">
        <v>3808</v>
      </c>
      <c r="K1108" s="1940" t="s">
        <v>6401</v>
      </c>
      <c r="L1108" s="1940" t="s">
        <v>8804</v>
      </c>
      <c r="M1108" t="s">
        <v>12187</v>
      </c>
      <c r="N1108" t="s">
        <v>10519</v>
      </c>
      <c r="O1108" t="s">
        <v>6402</v>
      </c>
      <c r="P1108" s="614">
        <f>COUNTIF(EducPlans_кодНАЦИД_Спец[аФакСец],EducPlans_кодНАЦИД_Спец[[#This Row],[аФакСец]])</f>
        <v>1</v>
      </c>
    </row>
    <row r="1109" spans="3:16" x14ac:dyDescent="0.25">
      <c r="C1109" s="614">
        <v>1103</v>
      </c>
      <c r="D1109" s="614">
        <v>12666</v>
      </c>
      <c r="E1109" s="64" t="s">
        <v>1203</v>
      </c>
      <c r="F1109" s="64" t="s">
        <v>6403</v>
      </c>
      <c r="G1109" s="614" t="s">
        <v>296</v>
      </c>
      <c r="H1109" s="614" t="s">
        <v>682</v>
      </c>
      <c r="I1109" s="614" t="s">
        <v>1149</v>
      </c>
      <c r="J1109" s="64" t="s">
        <v>3810</v>
      </c>
      <c r="K1109" s="1940" t="s">
        <v>6401</v>
      </c>
      <c r="L1109" s="1940" t="s">
        <v>8805</v>
      </c>
      <c r="M1109" t="s">
        <v>12188</v>
      </c>
      <c r="N1109" t="s">
        <v>10520</v>
      </c>
      <c r="O1109" t="s">
        <v>6403</v>
      </c>
      <c r="P1109" s="614">
        <f>COUNTIF(EducPlans_кодНАЦИД_Спец[аФакСец],EducPlans_кодНАЦИД_Спец[[#This Row],[аФакСец]])</f>
        <v>1</v>
      </c>
    </row>
    <row r="1110" spans="3:16" x14ac:dyDescent="0.25">
      <c r="C1110" s="614">
        <v>1104</v>
      </c>
      <c r="D1110" s="614">
        <v>12567</v>
      </c>
      <c r="E1110" s="64" t="s">
        <v>1206</v>
      </c>
      <c r="F1110" s="64" t="s">
        <v>6404</v>
      </c>
      <c r="G1110" s="614" t="s">
        <v>296</v>
      </c>
      <c r="H1110" s="614" t="s">
        <v>681</v>
      </c>
      <c r="I1110" s="614" t="s">
        <v>1153</v>
      </c>
      <c r="J1110" s="64" t="s">
        <v>3811</v>
      </c>
      <c r="K1110" s="1940" t="s">
        <v>6405</v>
      </c>
      <c r="L1110" s="1940" t="s">
        <v>8806</v>
      </c>
      <c r="M1110" t="s">
        <v>12189</v>
      </c>
      <c r="N1110" t="s">
        <v>10521</v>
      </c>
      <c r="O1110" t="s">
        <v>6404</v>
      </c>
      <c r="P1110" s="614">
        <f>COUNTIF(EducPlans_кодНАЦИД_Спец[аФакСец],EducPlans_кодНАЦИД_Спец[[#This Row],[аФакСец]])</f>
        <v>1</v>
      </c>
    </row>
    <row r="1111" spans="3:16" x14ac:dyDescent="0.25">
      <c r="C1111" s="614">
        <v>1105</v>
      </c>
      <c r="D1111" s="614">
        <v>11508</v>
      </c>
      <c r="E1111" s="64" t="s">
        <v>1423</v>
      </c>
      <c r="F1111" s="64" t="s">
        <v>6406</v>
      </c>
      <c r="G1111" s="614" t="s">
        <v>33</v>
      </c>
      <c r="H1111" s="614" t="s">
        <v>681</v>
      </c>
      <c r="I1111" s="614" t="s">
        <v>1153</v>
      </c>
      <c r="J1111" s="64" t="s">
        <v>3592</v>
      </c>
      <c r="K1111" s="1940" t="s">
        <v>6407</v>
      </c>
      <c r="L1111" s="1940" t="s">
        <v>8807</v>
      </c>
      <c r="M1111" t="s">
        <v>12190</v>
      </c>
      <c r="N1111" t="s">
        <v>10522</v>
      </c>
      <c r="O1111" t="s">
        <v>6406</v>
      </c>
      <c r="P1111" s="614">
        <f>COUNTIF(EducPlans_кодНАЦИД_Спец[аФакСец],EducPlans_кодНАЦИД_Спец[[#This Row],[аФакСец]])</f>
        <v>1</v>
      </c>
    </row>
    <row r="1112" spans="3:16" x14ac:dyDescent="0.25">
      <c r="C1112" s="614">
        <v>1106</v>
      </c>
      <c r="D1112" s="614">
        <v>11508</v>
      </c>
      <c r="E1112" s="64" t="s">
        <v>1423</v>
      </c>
      <c r="F1112" s="64" t="s">
        <v>6408</v>
      </c>
      <c r="G1112" s="614" t="s">
        <v>33</v>
      </c>
      <c r="H1112" s="614" t="s">
        <v>681</v>
      </c>
      <c r="I1112" s="614" t="s">
        <v>1153</v>
      </c>
      <c r="J1112" s="64" t="s">
        <v>3591</v>
      </c>
      <c r="K1112" s="1940" t="s">
        <v>6407</v>
      </c>
      <c r="L1112" s="1940" t="s">
        <v>8808</v>
      </c>
      <c r="M1112" t="s">
        <v>12191</v>
      </c>
      <c r="N1112" t="s">
        <v>10523</v>
      </c>
      <c r="O1112" t="s">
        <v>6408</v>
      </c>
      <c r="P1112" s="614">
        <f>COUNTIF(EducPlans_кодНАЦИД_Спец[аФакСец],EducPlans_кодНАЦИД_Спец[[#This Row],[аФакСец]])</f>
        <v>1</v>
      </c>
    </row>
    <row r="1113" spans="3:16" x14ac:dyDescent="0.25">
      <c r="C1113" s="614">
        <v>1107</v>
      </c>
      <c r="D1113" s="614">
        <v>11580</v>
      </c>
      <c r="E1113" s="64" t="s">
        <v>1424</v>
      </c>
      <c r="F1113" s="64" t="s">
        <v>6409</v>
      </c>
      <c r="G1113" s="614" t="s">
        <v>33</v>
      </c>
      <c r="H1113" s="614" t="s">
        <v>681</v>
      </c>
      <c r="I1113" s="614" t="s">
        <v>1153</v>
      </c>
      <c r="J1113" s="64" t="s">
        <v>3593</v>
      </c>
      <c r="K1113" s="1940" t="s">
        <v>6410</v>
      </c>
      <c r="L1113" s="1940" t="s">
        <v>8809</v>
      </c>
      <c r="M1113" t="s">
        <v>12192</v>
      </c>
      <c r="N1113" t="s">
        <v>10524</v>
      </c>
      <c r="O1113" t="s">
        <v>6409</v>
      </c>
      <c r="P1113" s="614">
        <f>COUNTIF(EducPlans_кодНАЦИД_Спец[аФакСец],EducPlans_кодНАЦИД_Спец[[#This Row],[аФакСец]])</f>
        <v>1</v>
      </c>
    </row>
    <row r="1114" spans="3:16" x14ac:dyDescent="0.25">
      <c r="C1114" s="614">
        <v>1108</v>
      </c>
      <c r="D1114" s="614">
        <v>12140</v>
      </c>
      <c r="E1114" s="64" t="s">
        <v>2184</v>
      </c>
      <c r="F1114" s="64" t="s">
        <v>6411</v>
      </c>
      <c r="G1114" s="614" t="s">
        <v>29</v>
      </c>
      <c r="H1114" s="614" t="s">
        <v>682</v>
      </c>
      <c r="I1114" s="614" t="s">
        <v>1153</v>
      </c>
      <c r="J1114" s="64" t="s">
        <v>4165</v>
      </c>
      <c r="K1114" s="1940" t="s">
        <v>6412</v>
      </c>
      <c r="L1114" s="1940" t="s">
        <v>8810</v>
      </c>
      <c r="M1114" t="s">
        <v>12193</v>
      </c>
      <c r="N1114" t="s">
        <v>10525</v>
      </c>
      <c r="O1114" t="s">
        <v>6411</v>
      </c>
      <c r="P1114" s="614">
        <f>COUNTIF(EducPlans_кодНАЦИД_Спец[аФакСец],EducPlans_кодНАЦИД_Спец[[#This Row],[аФакСец]])</f>
        <v>1</v>
      </c>
    </row>
    <row r="1115" spans="3:16" x14ac:dyDescent="0.25">
      <c r="C1115" s="614">
        <v>1109</v>
      </c>
      <c r="D1115" s="614">
        <v>11211</v>
      </c>
      <c r="E1115" s="64" t="s">
        <v>1207</v>
      </c>
      <c r="F1115" s="64" t="s">
        <v>6413</v>
      </c>
      <c r="G1115" s="614" t="s">
        <v>39</v>
      </c>
      <c r="H1115" s="614" t="s">
        <v>681</v>
      </c>
      <c r="I1115" s="614" t="s">
        <v>1153</v>
      </c>
      <c r="J1115" s="64" t="s">
        <v>3886</v>
      </c>
      <c r="K1115" s="1940" t="s">
        <v>6414</v>
      </c>
      <c r="L1115" s="1940" t="s">
        <v>8811</v>
      </c>
      <c r="M1115" t="s">
        <v>12194</v>
      </c>
      <c r="N1115" t="s">
        <v>10526</v>
      </c>
      <c r="O1115" t="s">
        <v>6413</v>
      </c>
      <c r="P1115" s="614">
        <f>COUNTIF(EducPlans_кодНАЦИД_Спец[аФакСец],EducPlans_кодНАЦИД_Спец[[#This Row],[аФакСец]])</f>
        <v>1</v>
      </c>
    </row>
    <row r="1116" spans="3:16" x14ac:dyDescent="0.25">
      <c r="C1116" s="614">
        <v>1110</v>
      </c>
      <c r="D1116" s="614">
        <v>11213</v>
      </c>
      <c r="E1116" s="64" t="s">
        <v>1207</v>
      </c>
      <c r="F1116" s="64" t="s">
        <v>6415</v>
      </c>
      <c r="G1116" s="614" t="s">
        <v>39</v>
      </c>
      <c r="H1116" s="614" t="s">
        <v>681</v>
      </c>
      <c r="I1116" s="614" t="s">
        <v>1149</v>
      </c>
      <c r="J1116" s="64" t="s">
        <v>3885</v>
      </c>
      <c r="K1116" s="1940" t="s">
        <v>6416</v>
      </c>
      <c r="L1116" s="1940" t="s">
        <v>8812</v>
      </c>
      <c r="M1116" t="s">
        <v>12195</v>
      </c>
      <c r="N1116" t="s">
        <v>10527</v>
      </c>
      <c r="O1116" t="s">
        <v>6415</v>
      </c>
      <c r="P1116" s="614">
        <f>COUNTIF(EducPlans_кодНАЦИД_Спец[аФакСец],EducPlans_кодНАЦИД_Спец[[#This Row],[аФакСец]])</f>
        <v>1</v>
      </c>
    </row>
    <row r="1117" spans="3:16" x14ac:dyDescent="0.25">
      <c r="C1117" s="614">
        <v>1111</v>
      </c>
      <c r="D1117" s="614">
        <v>11104</v>
      </c>
      <c r="E1117" s="64" t="s">
        <v>1580</v>
      </c>
      <c r="F1117" s="64" t="s">
        <v>6417</v>
      </c>
      <c r="G1117" s="614" t="s">
        <v>48</v>
      </c>
      <c r="H1117" s="614" t="s">
        <v>682</v>
      </c>
      <c r="I1117" s="614" t="s">
        <v>1153</v>
      </c>
      <c r="J1117" s="64" t="s">
        <v>3173</v>
      </c>
      <c r="K1117" s="1940" t="s">
        <v>6418</v>
      </c>
      <c r="L1117" s="1940" t="s">
        <v>8813</v>
      </c>
      <c r="M1117" t="s">
        <v>12196</v>
      </c>
      <c r="N1117" t="s">
        <v>10528</v>
      </c>
      <c r="O1117" t="s">
        <v>6417</v>
      </c>
      <c r="P1117" s="614">
        <f>COUNTIF(EducPlans_кодНАЦИД_Спец[аФакСец],EducPlans_кодНАЦИД_Спец[[#This Row],[аФакСец]])</f>
        <v>1</v>
      </c>
    </row>
    <row r="1118" spans="3:16" x14ac:dyDescent="0.25">
      <c r="C1118" s="614">
        <v>1112</v>
      </c>
      <c r="D1118" s="614">
        <v>11104</v>
      </c>
      <c r="E1118" s="64" t="s">
        <v>1580</v>
      </c>
      <c r="F1118" s="64" t="s">
        <v>6419</v>
      </c>
      <c r="G1118" s="614" t="s">
        <v>48</v>
      </c>
      <c r="H1118" s="614" t="s">
        <v>682</v>
      </c>
      <c r="I1118" s="614" t="s">
        <v>1153</v>
      </c>
      <c r="J1118" s="64" t="s">
        <v>3172</v>
      </c>
      <c r="K1118" s="1940" t="s">
        <v>6418</v>
      </c>
      <c r="L1118" s="1940" t="s">
        <v>8814</v>
      </c>
      <c r="M1118" t="s">
        <v>12197</v>
      </c>
      <c r="N1118" t="s">
        <v>10529</v>
      </c>
      <c r="O1118" t="s">
        <v>6419</v>
      </c>
      <c r="P1118" s="614">
        <f>COUNTIF(EducPlans_кодНАЦИД_Спец[аФакСец],EducPlans_кодНАЦИД_Спец[[#This Row],[аФакСец]])</f>
        <v>1</v>
      </c>
    </row>
    <row r="1119" spans="3:16" x14ac:dyDescent="0.25">
      <c r="C1119" s="614">
        <v>1113</v>
      </c>
      <c r="D1119" s="614">
        <v>11105</v>
      </c>
      <c r="E1119" s="64" t="s">
        <v>1580</v>
      </c>
      <c r="F1119" s="64" t="s">
        <v>6420</v>
      </c>
      <c r="G1119" s="614" t="s">
        <v>48</v>
      </c>
      <c r="H1119" s="614" t="s">
        <v>682</v>
      </c>
      <c r="I1119" s="614" t="s">
        <v>1149</v>
      </c>
      <c r="J1119" s="64" t="s">
        <v>3170</v>
      </c>
      <c r="K1119" s="1940" t="s">
        <v>6421</v>
      </c>
      <c r="L1119" s="1940" t="s">
        <v>8815</v>
      </c>
      <c r="M1119" t="s">
        <v>12198</v>
      </c>
      <c r="N1119" t="s">
        <v>10530</v>
      </c>
      <c r="O1119" t="s">
        <v>6420</v>
      </c>
      <c r="P1119" s="614">
        <f>COUNTIF(EducPlans_кодНАЦИД_Спец[аФакСец],EducPlans_кодНАЦИД_Спец[[#This Row],[аФакСец]])</f>
        <v>1</v>
      </c>
    </row>
    <row r="1120" spans="3:16" x14ac:dyDescent="0.25">
      <c r="C1120" s="614">
        <v>1114</v>
      </c>
      <c r="D1120" s="614">
        <v>11105</v>
      </c>
      <c r="E1120" s="64" t="s">
        <v>1580</v>
      </c>
      <c r="F1120" s="64" t="s">
        <v>6422</v>
      </c>
      <c r="G1120" s="614" t="s">
        <v>48</v>
      </c>
      <c r="H1120" s="614" t="s">
        <v>682</v>
      </c>
      <c r="I1120" s="614" t="s">
        <v>1149</v>
      </c>
      <c r="J1120" s="64" t="s">
        <v>3171</v>
      </c>
      <c r="K1120" s="1940" t="s">
        <v>6421</v>
      </c>
      <c r="L1120" s="1940" t="s">
        <v>8816</v>
      </c>
      <c r="M1120" t="s">
        <v>12199</v>
      </c>
      <c r="N1120" t="s">
        <v>10531</v>
      </c>
      <c r="O1120" t="s">
        <v>6422</v>
      </c>
      <c r="P1120" s="614">
        <f>COUNTIF(EducPlans_кодНАЦИД_Спец[аФакСец],EducPlans_кодНАЦИД_Спец[[#This Row],[аФакСец]])</f>
        <v>1</v>
      </c>
    </row>
    <row r="1121" spans="3:16" x14ac:dyDescent="0.25">
      <c r="C1121" s="614">
        <v>1115</v>
      </c>
      <c r="D1121" s="614">
        <v>11528</v>
      </c>
      <c r="E1121" s="64" t="s">
        <v>913</v>
      </c>
      <c r="F1121" s="64" t="s">
        <v>6423</v>
      </c>
      <c r="G1121" s="614" t="s">
        <v>33</v>
      </c>
      <c r="H1121" s="614" t="s">
        <v>681</v>
      </c>
      <c r="I1121" s="614" t="s">
        <v>1153</v>
      </c>
      <c r="J1121" s="64" t="s">
        <v>914</v>
      </c>
      <c r="K1121" s="1940" t="s">
        <v>6424</v>
      </c>
      <c r="L1121" s="1940" t="s">
        <v>8817</v>
      </c>
      <c r="M1121" t="s">
        <v>12200</v>
      </c>
      <c r="N1121" t="s">
        <v>10532</v>
      </c>
      <c r="O1121" t="s">
        <v>6423</v>
      </c>
      <c r="P1121" s="614">
        <f>COUNTIF(EducPlans_кодНАЦИД_Спец[аФакСец],EducPlans_кодНАЦИД_Спец[[#This Row],[аФакСец]])</f>
        <v>1</v>
      </c>
    </row>
    <row r="1122" spans="3:16" x14ac:dyDescent="0.25">
      <c r="C1122" s="614">
        <v>1116</v>
      </c>
      <c r="D1122" s="614">
        <v>11661</v>
      </c>
      <c r="E1122" s="64" t="s">
        <v>913</v>
      </c>
      <c r="F1122" s="64" t="s">
        <v>6425</v>
      </c>
      <c r="G1122" s="614" t="s">
        <v>33</v>
      </c>
      <c r="H1122" s="614" t="s">
        <v>682</v>
      </c>
      <c r="I1122" s="614" t="s">
        <v>1153</v>
      </c>
      <c r="J1122" s="64" t="s">
        <v>2774</v>
      </c>
      <c r="K1122" s="1940" t="s">
        <v>6426</v>
      </c>
      <c r="L1122" s="1940" t="s">
        <v>8818</v>
      </c>
      <c r="M1122" t="s">
        <v>12201</v>
      </c>
      <c r="N1122" t="s">
        <v>10533</v>
      </c>
      <c r="O1122" t="s">
        <v>6425</v>
      </c>
      <c r="P1122" s="614">
        <f>COUNTIF(EducPlans_кодНАЦИД_Спец[аФакСец],EducPlans_кодНАЦИД_Спец[[#This Row],[аФакСец]])</f>
        <v>1</v>
      </c>
    </row>
    <row r="1123" spans="3:16" x14ac:dyDescent="0.25">
      <c r="C1123" s="614">
        <v>1117</v>
      </c>
      <c r="D1123" s="614">
        <v>1113247</v>
      </c>
      <c r="E1123" s="64" t="s">
        <v>13668</v>
      </c>
      <c r="F1123" s="64" t="s">
        <v>13669</v>
      </c>
      <c r="G1123" s="614" t="s">
        <v>33</v>
      </c>
      <c r="H1123" s="614" t="s">
        <v>682</v>
      </c>
      <c r="I1123" s="614" t="s">
        <v>1153</v>
      </c>
      <c r="J1123" s="64" t="s">
        <v>13670</v>
      </c>
      <c r="K1123" s="1940" t="s">
        <v>13671</v>
      </c>
      <c r="L1123" s="1940" t="s">
        <v>13672</v>
      </c>
      <c r="M1123" t="s">
        <v>13673</v>
      </c>
      <c r="N1123" t="s">
        <v>13674</v>
      </c>
      <c r="O1123" t="s">
        <v>13669</v>
      </c>
      <c r="P1123" s="614">
        <f>COUNTIF(EducPlans_кодНАЦИД_Спец[аФакСец],EducPlans_кодНАЦИД_Спец[[#This Row],[аФакСец]])</f>
        <v>1</v>
      </c>
    </row>
    <row r="1124" spans="3:16" x14ac:dyDescent="0.25">
      <c r="C1124" s="614">
        <v>1118</v>
      </c>
      <c r="D1124" s="614">
        <v>1113248</v>
      </c>
      <c r="E1124" s="64" t="s">
        <v>13668</v>
      </c>
      <c r="F1124" s="64" t="s">
        <v>13675</v>
      </c>
      <c r="G1124" s="614" t="s">
        <v>33</v>
      </c>
      <c r="H1124" s="614" t="s">
        <v>682</v>
      </c>
      <c r="I1124" s="614" t="s">
        <v>1153</v>
      </c>
      <c r="J1124" s="64" t="s">
        <v>13676</v>
      </c>
      <c r="K1124" s="1940" t="s">
        <v>13671</v>
      </c>
      <c r="L1124" s="1940" t="s">
        <v>13677</v>
      </c>
      <c r="M1124" t="s">
        <v>13678</v>
      </c>
      <c r="N1124" t="s">
        <v>13679</v>
      </c>
      <c r="O1124" t="s">
        <v>13675</v>
      </c>
      <c r="P1124" s="614">
        <f>COUNTIF(EducPlans_кодНАЦИД_Спец[аФакСец],EducPlans_кодНАЦИД_Спец[[#This Row],[аФакСец]])</f>
        <v>1</v>
      </c>
    </row>
    <row r="1125" spans="3:16" x14ac:dyDescent="0.25">
      <c r="C1125" s="614">
        <v>1119</v>
      </c>
      <c r="D1125" s="614">
        <v>11673</v>
      </c>
      <c r="E1125" s="64" t="s">
        <v>1427</v>
      </c>
      <c r="F1125" s="64" t="s">
        <v>6427</v>
      </c>
      <c r="G1125" s="614" t="s">
        <v>33</v>
      </c>
      <c r="H1125" s="614" t="s">
        <v>682</v>
      </c>
      <c r="I1125" s="614" t="s">
        <v>1153</v>
      </c>
      <c r="J1125" s="64" t="s">
        <v>3595</v>
      </c>
      <c r="K1125" s="1940" t="s">
        <v>6428</v>
      </c>
      <c r="L1125" s="1940" t="s">
        <v>8819</v>
      </c>
      <c r="M1125" t="s">
        <v>12202</v>
      </c>
      <c r="N1125" t="s">
        <v>10534</v>
      </c>
      <c r="O1125" t="s">
        <v>6427</v>
      </c>
      <c r="P1125" s="614">
        <f>COUNTIF(EducPlans_кодНАЦИД_Спец[аФакСец],EducPlans_кодНАЦИД_Спец[[#This Row],[аФакСец]])</f>
        <v>1</v>
      </c>
    </row>
    <row r="1126" spans="3:16" x14ac:dyDescent="0.25">
      <c r="C1126" s="614">
        <v>1120</v>
      </c>
      <c r="D1126" s="614">
        <v>11673</v>
      </c>
      <c r="E1126" s="64" t="s">
        <v>1427</v>
      </c>
      <c r="F1126" s="64" t="s">
        <v>6429</v>
      </c>
      <c r="G1126" s="614" t="s">
        <v>33</v>
      </c>
      <c r="H1126" s="614" t="s">
        <v>682</v>
      </c>
      <c r="I1126" s="614" t="s">
        <v>1153</v>
      </c>
      <c r="J1126" s="64" t="s">
        <v>3594</v>
      </c>
      <c r="K1126" s="1940" t="s">
        <v>6428</v>
      </c>
      <c r="L1126" s="1940" t="s">
        <v>8820</v>
      </c>
      <c r="M1126" t="s">
        <v>12203</v>
      </c>
      <c r="N1126" t="s">
        <v>10535</v>
      </c>
      <c r="O1126" t="s">
        <v>6429</v>
      </c>
      <c r="P1126" s="614">
        <f>COUNTIF(EducPlans_кодНАЦИД_Спец[аФакСец],EducPlans_кодНАЦИД_Спец[[#This Row],[аФакСец]])</f>
        <v>1</v>
      </c>
    </row>
    <row r="1127" spans="3:16" x14ac:dyDescent="0.25">
      <c r="C1127" s="614">
        <v>1121</v>
      </c>
      <c r="D1127" s="614">
        <v>11386</v>
      </c>
      <c r="E1127" s="64" t="s">
        <v>1428</v>
      </c>
      <c r="F1127" s="64" t="s">
        <v>6430</v>
      </c>
      <c r="G1127" s="614" t="s">
        <v>647</v>
      </c>
      <c r="H1127" s="614" t="s">
        <v>682</v>
      </c>
      <c r="I1127" s="614" t="s">
        <v>1153</v>
      </c>
      <c r="J1127" s="64" t="s">
        <v>3937</v>
      </c>
      <c r="K1127" s="1940" t="s">
        <v>6431</v>
      </c>
      <c r="L1127" s="1940" t="s">
        <v>8821</v>
      </c>
      <c r="M1127" t="s">
        <v>12204</v>
      </c>
      <c r="N1127" t="s">
        <v>10536</v>
      </c>
      <c r="O1127" t="s">
        <v>6430</v>
      </c>
      <c r="P1127" s="614">
        <f>COUNTIF(EducPlans_кодНАЦИД_Спец[аФакСец],EducPlans_кодНАЦИД_Спец[[#This Row],[аФакСец]])</f>
        <v>1</v>
      </c>
    </row>
    <row r="1128" spans="3:16" x14ac:dyDescent="0.25">
      <c r="C1128" s="614">
        <v>1122</v>
      </c>
      <c r="D1128" s="614">
        <v>11394</v>
      </c>
      <c r="E1128" s="64" t="s">
        <v>1428</v>
      </c>
      <c r="F1128" s="64" t="s">
        <v>6432</v>
      </c>
      <c r="G1128" s="614" t="s">
        <v>647</v>
      </c>
      <c r="H1128" s="614" t="s">
        <v>682</v>
      </c>
      <c r="I1128" s="614" t="s">
        <v>1153</v>
      </c>
      <c r="J1128" s="64" t="s">
        <v>3936</v>
      </c>
      <c r="K1128" s="1940" t="s">
        <v>6433</v>
      </c>
      <c r="L1128" s="1940" t="s">
        <v>8822</v>
      </c>
      <c r="M1128" t="s">
        <v>12205</v>
      </c>
      <c r="N1128" t="s">
        <v>10537</v>
      </c>
      <c r="O1128" t="s">
        <v>6432</v>
      </c>
      <c r="P1128" s="614">
        <f>COUNTIF(EducPlans_кодНАЦИД_Спец[аФакСец],EducPlans_кодНАЦИД_Спец[[#This Row],[аФакСец]])</f>
        <v>1</v>
      </c>
    </row>
    <row r="1129" spans="3:16" x14ac:dyDescent="0.25">
      <c r="C1129" s="614">
        <v>1123</v>
      </c>
      <c r="D1129" s="614">
        <v>11388</v>
      </c>
      <c r="E1129" s="64" t="s">
        <v>1428</v>
      </c>
      <c r="F1129" s="64" t="s">
        <v>6434</v>
      </c>
      <c r="G1129" s="614" t="s">
        <v>647</v>
      </c>
      <c r="H1129" s="614" t="s">
        <v>682</v>
      </c>
      <c r="I1129" s="614" t="s">
        <v>1149</v>
      </c>
      <c r="J1129" s="64" t="s">
        <v>3934</v>
      </c>
      <c r="K1129" s="1940" t="s">
        <v>6435</v>
      </c>
      <c r="L1129" s="1940" t="s">
        <v>8823</v>
      </c>
      <c r="M1129" t="s">
        <v>12206</v>
      </c>
      <c r="N1129" t="s">
        <v>10538</v>
      </c>
      <c r="O1129" t="s">
        <v>6434</v>
      </c>
      <c r="P1129" s="614">
        <f>COUNTIF(EducPlans_кодНАЦИД_Спец[аФакСец],EducPlans_кодНАЦИД_Спец[[#This Row],[аФакСец]])</f>
        <v>1</v>
      </c>
    </row>
    <row r="1130" spans="3:16" x14ac:dyDescent="0.25">
      <c r="C1130" s="614">
        <v>1124</v>
      </c>
      <c r="D1130" s="614">
        <v>11396</v>
      </c>
      <c r="E1130" s="64" t="s">
        <v>1428</v>
      </c>
      <c r="F1130" s="64" t="s">
        <v>6436</v>
      </c>
      <c r="G1130" s="614" t="s">
        <v>647</v>
      </c>
      <c r="H1130" s="614" t="s">
        <v>682</v>
      </c>
      <c r="I1130" s="614" t="s">
        <v>1149</v>
      </c>
      <c r="J1130" s="64" t="s">
        <v>3935</v>
      </c>
      <c r="K1130" s="1940" t="s">
        <v>6437</v>
      </c>
      <c r="L1130" s="1940" t="s">
        <v>8824</v>
      </c>
      <c r="M1130" t="s">
        <v>12207</v>
      </c>
      <c r="N1130" t="s">
        <v>10539</v>
      </c>
      <c r="O1130" t="s">
        <v>6436</v>
      </c>
      <c r="P1130" s="614">
        <f>COUNTIF(EducPlans_кодНАЦИД_Спец[аФакСец],EducPlans_кодНАЦИД_Спец[[#This Row],[аФакСец]])</f>
        <v>1</v>
      </c>
    </row>
    <row r="1131" spans="3:16" x14ac:dyDescent="0.25">
      <c r="C1131" s="614">
        <v>1125</v>
      </c>
      <c r="D1131" s="614">
        <v>11130</v>
      </c>
      <c r="E1131" s="64" t="s">
        <v>1583</v>
      </c>
      <c r="F1131" s="64" t="s">
        <v>6438</v>
      </c>
      <c r="G1131" s="614" t="s">
        <v>48</v>
      </c>
      <c r="H1131" s="614" t="s">
        <v>682</v>
      </c>
      <c r="I1131" s="614" t="s">
        <v>1153</v>
      </c>
      <c r="J1131" s="64" t="s">
        <v>6439</v>
      </c>
      <c r="K1131" s="1940" t="s">
        <v>6440</v>
      </c>
      <c r="L1131" s="1940" t="s">
        <v>8825</v>
      </c>
      <c r="M1131" t="s">
        <v>12208</v>
      </c>
      <c r="N1131" t="s">
        <v>10540</v>
      </c>
      <c r="O1131" t="s">
        <v>6438</v>
      </c>
      <c r="P1131" s="614">
        <f>COUNTIF(EducPlans_кодНАЦИД_Спец[аФакСец],EducPlans_кодНАЦИД_Спец[[#This Row],[аФакСец]])</f>
        <v>2</v>
      </c>
    </row>
    <row r="1132" spans="3:16" x14ac:dyDescent="0.25">
      <c r="C1132" s="614">
        <v>1126</v>
      </c>
      <c r="D1132" s="614">
        <v>11130</v>
      </c>
      <c r="E1132" s="64" t="s">
        <v>1583</v>
      </c>
      <c r="F1132" s="64" t="s">
        <v>6441</v>
      </c>
      <c r="G1132" s="614" t="s">
        <v>48</v>
      </c>
      <c r="H1132" s="614" t="s">
        <v>682</v>
      </c>
      <c r="I1132" s="614" t="s">
        <v>1153</v>
      </c>
      <c r="J1132" s="64" t="s">
        <v>6442</v>
      </c>
      <c r="K1132" s="1940" t="s">
        <v>6440</v>
      </c>
      <c r="L1132" s="1940" t="s">
        <v>8826</v>
      </c>
      <c r="M1132" t="s">
        <v>12209</v>
      </c>
      <c r="N1132" t="s">
        <v>10541</v>
      </c>
      <c r="O1132" t="s">
        <v>6441</v>
      </c>
      <c r="P1132" s="614">
        <f>COUNTIF(EducPlans_кодНАЦИД_Спец[аФакСец],EducPlans_кодНАЦИД_Спец[[#This Row],[аФакСец]])</f>
        <v>1</v>
      </c>
    </row>
    <row r="1133" spans="3:16" x14ac:dyDescent="0.25">
      <c r="C1133" s="614">
        <v>1127</v>
      </c>
      <c r="D1133" s="614">
        <v>562042</v>
      </c>
      <c r="E1133" s="64" t="s">
        <v>1583</v>
      </c>
      <c r="F1133" s="64" t="s">
        <v>6443</v>
      </c>
      <c r="G1133" s="614" t="s">
        <v>48</v>
      </c>
      <c r="H1133" s="614" t="s">
        <v>682</v>
      </c>
      <c r="I1133" s="614" t="s">
        <v>1153</v>
      </c>
      <c r="J1133" s="64" t="s">
        <v>6439</v>
      </c>
      <c r="K1133" s="1940" t="s">
        <v>6444</v>
      </c>
      <c r="L1133" s="1940" t="s">
        <v>8825</v>
      </c>
      <c r="M1133" t="s">
        <v>12208</v>
      </c>
      <c r="N1133" t="s">
        <v>10540</v>
      </c>
      <c r="O1133" t="s">
        <v>6443</v>
      </c>
      <c r="P1133" s="614">
        <f>COUNTIF(EducPlans_кодНАЦИД_Спец[аФакСец],EducPlans_кодНАЦИД_Спец[[#This Row],[аФакСец]])</f>
        <v>2</v>
      </c>
    </row>
    <row r="1134" spans="3:16" x14ac:dyDescent="0.25">
      <c r="C1134" s="614">
        <v>1128</v>
      </c>
      <c r="D1134" s="614">
        <v>11131</v>
      </c>
      <c r="E1134" s="64" t="s">
        <v>1583</v>
      </c>
      <c r="F1134" s="64" t="s">
        <v>6445</v>
      </c>
      <c r="G1134" s="614" t="s">
        <v>48</v>
      </c>
      <c r="H1134" s="614" t="s">
        <v>682</v>
      </c>
      <c r="I1134" s="614" t="s">
        <v>1149</v>
      </c>
      <c r="J1134" s="64" t="s">
        <v>3174</v>
      </c>
      <c r="K1134" s="1940" t="s">
        <v>6446</v>
      </c>
      <c r="L1134" s="1940" t="s">
        <v>8827</v>
      </c>
      <c r="M1134" t="s">
        <v>12210</v>
      </c>
      <c r="N1134" t="s">
        <v>10542</v>
      </c>
      <c r="O1134" t="s">
        <v>6445</v>
      </c>
      <c r="P1134" s="614">
        <f>COUNTIF(EducPlans_кодНАЦИД_Спец[аФакСец],EducPlans_кодНАЦИД_Спец[[#This Row],[аФакСец]])</f>
        <v>1</v>
      </c>
    </row>
    <row r="1135" spans="3:16" x14ac:dyDescent="0.25">
      <c r="C1135" s="614">
        <v>1129</v>
      </c>
      <c r="D1135" s="614">
        <v>556577</v>
      </c>
      <c r="E1135" s="64" t="s">
        <v>1583</v>
      </c>
      <c r="F1135" s="64" t="s">
        <v>6447</v>
      </c>
      <c r="G1135" s="614" t="s">
        <v>48</v>
      </c>
      <c r="H1135" s="614" t="s">
        <v>682</v>
      </c>
      <c r="I1135" s="614" t="s">
        <v>1149</v>
      </c>
      <c r="J1135" s="64" t="s">
        <v>6448</v>
      </c>
      <c r="K1135" s="1940" t="s">
        <v>6449</v>
      </c>
      <c r="L1135" s="1940" t="s">
        <v>8828</v>
      </c>
      <c r="M1135" t="s">
        <v>12211</v>
      </c>
      <c r="N1135" t="s">
        <v>10543</v>
      </c>
      <c r="O1135" t="s">
        <v>6447</v>
      </c>
      <c r="P1135" s="614">
        <f>COUNTIF(EducPlans_кодНАЦИД_Спец[аФакСец],EducPlans_кодНАЦИД_Спец[[#This Row],[аФакСец]])</f>
        <v>1</v>
      </c>
    </row>
    <row r="1136" spans="3:16" x14ac:dyDescent="0.25">
      <c r="C1136" s="614">
        <v>1130</v>
      </c>
      <c r="D1136" s="614">
        <v>11178</v>
      </c>
      <c r="E1136" s="64" t="s">
        <v>1584</v>
      </c>
      <c r="F1136" s="64" t="s">
        <v>6450</v>
      </c>
      <c r="G1136" s="614" t="s">
        <v>48</v>
      </c>
      <c r="H1136" s="614" t="s">
        <v>682</v>
      </c>
      <c r="I1136" s="614" t="s">
        <v>1153</v>
      </c>
      <c r="J1136" s="64" t="s">
        <v>3176</v>
      </c>
      <c r="K1136" s="1940" t="s">
        <v>6451</v>
      </c>
      <c r="L1136" s="1940" t="s">
        <v>8829</v>
      </c>
      <c r="M1136" t="s">
        <v>12212</v>
      </c>
      <c r="N1136" t="s">
        <v>10544</v>
      </c>
      <c r="O1136" t="s">
        <v>6450</v>
      </c>
      <c r="P1136" s="614">
        <f>COUNTIF(EducPlans_кодНАЦИД_Спец[аФакСец],EducPlans_кодНАЦИД_Спец[[#This Row],[аФакСец]])</f>
        <v>1</v>
      </c>
    </row>
    <row r="1137" spans="3:16" x14ac:dyDescent="0.25">
      <c r="C1137" s="614">
        <v>1131</v>
      </c>
      <c r="D1137" s="614">
        <v>11180</v>
      </c>
      <c r="E1137" s="64" t="s">
        <v>1584</v>
      </c>
      <c r="F1137" s="64" t="s">
        <v>6452</v>
      </c>
      <c r="G1137" s="614" t="s">
        <v>48</v>
      </c>
      <c r="H1137" s="614" t="s">
        <v>682</v>
      </c>
      <c r="I1137" s="614" t="s">
        <v>1149</v>
      </c>
      <c r="J1137" s="64" t="s">
        <v>3175</v>
      </c>
      <c r="K1137" s="1940" t="s">
        <v>6453</v>
      </c>
      <c r="L1137" s="1940" t="s">
        <v>8830</v>
      </c>
      <c r="M1137" t="s">
        <v>12213</v>
      </c>
      <c r="N1137" t="s">
        <v>10545</v>
      </c>
      <c r="O1137" t="s">
        <v>6452</v>
      </c>
      <c r="P1137" s="614">
        <f>COUNTIF(EducPlans_кодНАЦИД_Спец[аФакСец],EducPlans_кодНАЦИД_Спец[[#This Row],[аФакСец]])</f>
        <v>1</v>
      </c>
    </row>
    <row r="1138" spans="3:16" x14ac:dyDescent="0.25">
      <c r="C1138" s="614">
        <v>1132</v>
      </c>
      <c r="D1138" s="614">
        <v>11162</v>
      </c>
      <c r="E1138" s="64" t="s">
        <v>1585</v>
      </c>
      <c r="F1138" s="64" t="s">
        <v>6454</v>
      </c>
      <c r="G1138" s="614" t="s">
        <v>48</v>
      </c>
      <c r="H1138" s="614" t="s">
        <v>682</v>
      </c>
      <c r="I1138" s="614" t="s">
        <v>1149</v>
      </c>
      <c r="J1138" s="64" t="s">
        <v>3177</v>
      </c>
      <c r="K1138" s="1940" t="s">
        <v>6455</v>
      </c>
      <c r="L1138" s="1940" t="s">
        <v>8831</v>
      </c>
      <c r="M1138" t="s">
        <v>12214</v>
      </c>
      <c r="N1138" t="s">
        <v>10546</v>
      </c>
      <c r="O1138" t="s">
        <v>6454</v>
      </c>
      <c r="P1138" s="614">
        <f>COUNTIF(EducPlans_кодНАЦИД_Спец[аФакСец],EducPlans_кодНАЦИД_Спец[[#This Row],[аФакСец]])</f>
        <v>1</v>
      </c>
    </row>
    <row r="1139" spans="3:16" x14ac:dyDescent="0.25">
      <c r="C1139" s="614">
        <v>1133</v>
      </c>
      <c r="D1139" s="614">
        <v>11164</v>
      </c>
      <c r="E1139" s="64" t="s">
        <v>1586</v>
      </c>
      <c r="F1139" s="64" t="s">
        <v>6456</v>
      </c>
      <c r="G1139" s="614" t="s">
        <v>48</v>
      </c>
      <c r="H1139" s="614" t="s">
        <v>682</v>
      </c>
      <c r="I1139" s="614" t="s">
        <v>1153</v>
      </c>
      <c r="J1139" s="64" t="s">
        <v>3181</v>
      </c>
      <c r="K1139" s="1940" t="s">
        <v>6457</v>
      </c>
      <c r="L1139" s="1940" t="s">
        <v>8832</v>
      </c>
      <c r="M1139" t="s">
        <v>12215</v>
      </c>
      <c r="N1139" t="s">
        <v>10547</v>
      </c>
      <c r="O1139" t="s">
        <v>6456</v>
      </c>
      <c r="P1139" s="614">
        <f>COUNTIF(EducPlans_кодНАЦИД_Спец[аФакСец],EducPlans_кодНАЦИД_Спец[[#This Row],[аФакСец]])</f>
        <v>1</v>
      </c>
    </row>
    <row r="1140" spans="3:16" x14ac:dyDescent="0.25">
      <c r="C1140" s="614">
        <v>1134</v>
      </c>
      <c r="D1140" s="614">
        <v>11164</v>
      </c>
      <c r="E1140" s="64" t="s">
        <v>1586</v>
      </c>
      <c r="F1140" s="64" t="s">
        <v>6458</v>
      </c>
      <c r="G1140" s="614" t="s">
        <v>48</v>
      </c>
      <c r="H1140" s="614" t="s">
        <v>682</v>
      </c>
      <c r="I1140" s="614" t="s">
        <v>1153</v>
      </c>
      <c r="J1140" s="64" t="s">
        <v>3180</v>
      </c>
      <c r="K1140" s="1940" t="s">
        <v>6457</v>
      </c>
      <c r="L1140" s="1940" t="s">
        <v>8833</v>
      </c>
      <c r="M1140" t="s">
        <v>12216</v>
      </c>
      <c r="N1140" t="s">
        <v>10548</v>
      </c>
      <c r="O1140" t="s">
        <v>6458</v>
      </c>
      <c r="P1140" s="614">
        <f>COUNTIF(EducPlans_кодНАЦИД_Спец[аФакСец],EducPlans_кодНАЦИД_Спец[[#This Row],[аФакСец]])</f>
        <v>1</v>
      </c>
    </row>
    <row r="1141" spans="3:16" x14ac:dyDescent="0.25">
      <c r="C1141" s="614">
        <v>1135</v>
      </c>
      <c r="D1141" s="614">
        <v>11166</v>
      </c>
      <c r="E1141" s="64" t="s">
        <v>1586</v>
      </c>
      <c r="F1141" s="64" t="s">
        <v>6459</v>
      </c>
      <c r="G1141" s="614" t="s">
        <v>48</v>
      </c>
      <c r="H1141" s="614" t="s">
        <v>682</v>
      </c>
      <c r="I1141" s="614" t="s">
        <v>1149</v>
      </c>
      <c r="J1141" s="64" t="s">
        <v>3178</v>
      </c>
      <c r="K1141" s="1940" t="s">
        <v>6460</v>
      </c>
      <c r="L1141" s="1940" t="s">
        <v>8834</v>
      </c>
      <c r="M1141" t="s">
        <v>12217</v>
      </c>
      <c r="N1141" t="s">
        <v>10549</v>
      </c>
      <c r="O1141" t="s">
        <v>6459</v>
      </c>
      <c r="P1141" s="614">
        <f>COUNTIF(EducPlans_кодНАЦИД_Спец[аФакСец],EducPlans_кодНАЦИД_Спец[[#This Row],[аФакСец]])</f>
        <v>1</v>
      </c>
    </row>
    <row r="1142" spans="3:16" x14ac:dyDescent="0.25">
      <c r="C1142" s="614">
        <v>1136</v>
      </c>
      <c r="D1142" s="614">
        <v>11166</v>
      </c>
      <c r="E1142" s="64" t="s">
        <v>1586</v>
      </c>
      <c r="F1142" s="64" t="s">
        <v>6461</v>
      </c>
      <c r="G1142" s="614" t="s">
        <v>48</v>
      </c>
      <c r="H1142" s="614" t="s">
        <v>682</v>
      </c>
      <c r="I1142" s="614" t="s">
        <v>1149</v>
      </c>
      <c r="J1142" s="64" t="s">
        <v>3179</v>
      </c>
      <c r="K1142" s="1940" t="s">
        <v>6460</v>
      </c>
      <c r="L1142" s="1940" t="s">
        <v>8835</v>
      </c>
      <c r="M1142" t="s">
        <v>12218</v>
      </c>
      <c r="N1142" t="s">
        <v>10550</v>
      </c>
      <c r="O1142" t="s">
        <v>6461</v>
      </c>
      <c r="P1142" s="614">
        <f>COUNTIF(EducPlans_кодНАЦИД_Спец[аФакСец],EducPlans_кодНАЦИД_Спец[[#This Row],[аФакСец]])</f>
        <v>1</v>
      </c>
    </row>
    <row r="1143" spans="3:16" x14ac:dyDescent="0.25">
      <c r="C1143" s="614">
        <v>1137</v>
      </c>
      <c r="D1143" s="614">
        <v>11237</v>
      </c>
      <c r="E1143" s="64" t="s">
        <v>1151</v>
      </c>
      <c r="F1143" s="64" t="s">
        <v>13680</v>
      </c>
      <c r="G1143" s="614" t="s">
        <v>39</v>
      </c>
      <c r="H1143" s="614" t="s">
        <v>682</v>
      </c>
      <c r="I1143" s="614" t="s">
        <v>1153</v>
      </c>
      <c r="J1143" s="64" t="s">
        <v>3888</v>
      </c>
      <c r="K1143" s="1940" t="s">
        <v>13681</v>
      </c>
      <c r="L1143" s="1940" t="s">
        <v>8836</v>
      </c>
      <c r="M1143" t="s">
        <v>12219</v>
      </c>
      <c r="N1143" t="s">
        <v>10551</v>
      </c>
      <c r="O1143" t="s">
        <v>13680</v>
      </c>
      <c r="P1143" s="614">
        <f>COUNTIF(EducPlans_кодНАЦИД_Спец[аФакСец],EducPlans_кодНАЦИД_Спец[[#This Row],[аФакСец]])</f>
        <v>1</v>
      </c>
    </row>
    <row r="1144" spans="3:16" x14ac:dyDescent="0.25">
      <c r="C1144" s="614">
        <v>1138</v>
      </c>
      <c r="D1144" s="614">
        <v>11246</v>
      </c>
      <c r="E1144" s="64" t="s">
        <v>1151</v>
      </c>
      <c r="F1144" s="64" t="s">
        <v>6462</v>
      </c>
      <c r="G1144" s="614" t="s">
        <v>39</v>
      </c>
      <c r="H1144" s="614" t="s">
        <v>682</v>
      </c>
      <c r="I1144" s="614" t="s">
        <v>1153</v>
      </c>
      <c r="J1144" s="64" t="s">
        <v>6463</v>
      </c>
      <c r="K1144" s="1940" t="s">
        <v>6464</v>
      </c>
      <c r="L1144" s="1940" t="s">
        <v>8837</v>
      </c>
      <c r="M1144" t="s">
        <v>12220</v>
      </c>
      <c r="N1144" t="s">
        <v>10552</v>
      </c>
      <c r="O1144" t="s">
        <v>6462</v>
      </c>
      <c r="P1144" s="614">
        <f>COUNTIF(EducPlans_кодНАЦИД_Спец[аФакСец],EducPlans_кодНАЦИД_Спец[[#This Row],[аФакСец]])</f>
        <v>1</v>
      </c>
    </row>
    <row r="1145" spans="3:16" x14ac:dyDescent="0.25">
      <c r="C1145" s="614">
        <v>1139</v>
      </c>
      <c r="D1145" s="614">
        <v>11256</v>
      </c>
      <c r="E1145" s="64" t="s">
        <v>1151</v>
      </c>
      <c r="F1145" s="64" t="s">
        <v>6465</v>
      </c>
      <c r="G1145" s="614" t="s">
        <v>39</v>
      </c>
      <c r="H1145" s="614" t="s">
        <v>682</v>
      </c>
      <c r="I1145" s="614" t="s">
        <v>1153</v>
      </c>
      <c r="J1145" s="64" t="s">
        <v>6466</v>
      </c>
      <c r="K1145" s="1940" t="s">
        <v>6467</v>
      </c>
      <c r="L1145" s="1940" t="s">
        <v>8838</v>
      </c>
      <c r="M1145" t="s">
        <v>12221</v>
      </c>
      <c r="N1145" t="s">
        <v>10553</v>
      </c>
      <c r="O1145" t="s">
        <v>6465</v>
      </c>
      <c r="P1145" s="614">
        <f>COUNTIF(EducPlans_кодНАЦИД_Спец[аФакСец],EducPlans_кодНАЦИД_Спец[[#This Row],[аФакСец]])</f>
        <v>1</v>
      </c>
    </row>
    <row r="1146" spans="3:16" x14ac:dyDescent="0.25">
      <c r="C1146" s="614">
        <v>1140</v>
      </c>
      <c r="D1146" s="614">
        <v>187549</v>
      </c>
      <c r="E1146" s="64" t="s">
        <v>1151</v>
      </c>
      <c r="F1146" s="64" t="s">
        <v>13682</v>
      </c>
      <c r="G1146" s="614" t="s">
        <v>39</v>
      </c>
      <c r="H1146" s="614" t="s">
        <v>682</v>
      </c>
      <c r="I1146" s="614" t="s">
        <v>1153</v>
      </c>
      <c r="J1146" s="64" t="s">
        <v>3890</v>
      </c>
      <c r="K1146" s="1940" t="s">
        <v>13681</v>
      </c>
      <c r="L1146" s="1940" t="s">
        <v>8844</v>
      </c>
      <c r="M1146" t="s">
        <v>13683</v>
      </c>
      <c r="N1146" t="s">
        <v>10559</v>
      </c>
      <c r="O1146" t="s">
        <v>13682</v>
      </c>
      <c r="P1146" s="614">
        <f>COUNTIF(EducPlans_кодНАЦИД_Спец[аФакСец],EducPlans_кодНАЦИД_Спец[[#This Row],[аФакСец]])</f>
        <v>1</v>
      </c>
    </row>
    <row r="1147" spans="3:16" x14ac:dyDescent="0.25">
      <c r="C1147" s="614">
        <v>1141</v>
      </c>
      <c r="D1147" s="614">
        <v>11240</v>
      </c>
      <c r="E1147" s="64" t="s">
        <v>1151</v>
      </c>
      <c r="F1147" s="64" t="s">
        <v>13684</v>
      </c>
      <c r="G1147" s="614" t="s">
        <v>39</v>
      </c>
      <c r="H1147" s="614" t="s">
        <v>682</v>
      </c>
      <c r="I1147" s="614" t="s">
        <v>1149</v>
      </c>
      <c r="J1147" s="64" t="s">
        <v>3887</v>
      </c>
      <c r="K1147" s="1940" t="s">
        <v>13685</v>
      </c>
      <c r="L1147" s="1940" t="s">
        <v>8839</v>
      </c>
      <c r="M1147" t="s">
        <v>12222</v>
      </c>
      <c r="N1147" t="s">
        <v>10554</v>
      </c>
      <c r="O1147" t="s">
        <v>13684</v>
      </c>
      <c r="P1147" s="614">
        <f>COUNTIF(EducPlans_кодНАЦИД_Спец[аФакСец],EducPlans_кодНАЦИД_Спец[[#This Row],[аФакСец]])</f>
        <v>2</v>
      </c>
    </row>
    <row r="1148" spans="3:16" x14ac:dyDescent="0.25">
      <c r="C1148" s="614">
        <v>1142</v>
      </c>
      <c r="D1148" s="614">
        <v>11247</v>
      </c>
      <c r="E1148" s="64" t="s">
        <v>1151</v>
      </c>
      <c r="F1148" s="64" t="s">
        <v>6468</v>
      </c>
      <c r="G1148" s="614" t="s">
        <v>39</v>
      </c>
      <c r="H1148" s="614" t="s">
        <v>682</v>
      </c>
      <c r="I1148" s="614" t="s">
        <v>1149</v>
      </c>
      <c r="J1148" s="64" t="s">
        <v>6469</v>
      </c>
      <c r="K1148" s="1940" t="s">
        <v>6470</v>
      </c>
      <c r="L1148" s="1940" t="s">
        <v>8840</v>
      </c>
      <c r="M1148" t="s">
        <v>12223</v>
      </c>
      <c r="N1148" t="s">
        <v>10555</v>
      </c>
      <c r="O1148" t="s">
        <v>6468</v>
      </c>
      <c r="P1148" s="614">
        <f>COUNTIF(EducPlans_кодНАЦИД_Спец[аФакСец],EducPlans_кодНАЦИД_Спец[[#This Row],[аФакСец]])</f>
        <v>1</v>
      </c>
    </row>
    <row r="1149" spans="3:16" x14ac:dyDescent="0.25">
      <c r="C1149" s="614">
        <v>1143</v>
      </c>
      <c r="D1149" s="614">
        <v>11257</v>
      </c>
      <c r="E1149" s="64" t="s">
        <v>1151</v>
      </c>
      <c r="F1149" s="64" t="s">
        <v>6471</v>
      </c>
      <c r="G1149" s="614" t="s">
        <v>39</v>
      </c>
      <c r="H1149" s="614" t="s">
        <v>682</v>
      </c>
      <c r="I1149" s="614" t="s">
        <v>1149</v>
      </c>
      <c r="J1149" s="64" t="s">
        <v>6472</v>
      </c>
      <c r="K1149" s="1940" t="s">
        <v>6473</v>
      </c>
      <c r="L1149" s="1940" t="s">
        <v>8841</v>
      </c>
      <c r="M1149" t="s">
        <v>12224</v>
      </c>
      <c r="N1149" t="s">
        <v>10556</v>
      </c>
      <c r="O1149" t="s">
        <v>6471</v>
      </c>
      <c r="P1149" s="614">
        <f>COUNTIF(EducPlans_кодНАЦИД_Спец[аФакСец],EducPlans_кодНАЦИД_Спец[[#This Row],[аФакСец]])</f>
        <v>1</v>
      </c>
    </row>
    <row r="1150" spans="3:16" x14ac:dyDescent="0.25">
      <c r="C1150" s="614">
        <v>1144</v>
      </c>
      <c r="D1150" s="614">
        <v>664992</v>
      </c>
      <c r="E1150" s="64" t="s">
        <v>1151</v>
      </c>
      <c r="F1150" s="64" t="s">
        <v>13686</v>
      </c>
      <c r="G1150" s="614" t="s">
        <v>39</v>
      </c>
      <c r="H1150" s="614" t="s">
        <v>682</v>
      </c>
      <c r="I1150" s="614" t="s">
        <v>1149</v>
      </c>
      <c r="J1150" s="64" t="s">
        <v>6481</v>
      </c>
      <c r="K1150" s="1940" t="s">
        <v>13685</v>
      </c>
      <c r="L1150" s="1940" t="s">
        <v>8845</v>
      </c>
      <c r="M1150" t="s">
        <v>13687</v>
      </c>
      <c r="N1150" t="s">
        <v>10560</v>
      </c>
      <c r="O1150" t="s">
        <v>13686</v>
      </c>
      <c r="P1150" s="614">
        <f>COUNTIF(EducPlans_кодНАЦИД_Спец[аФакСец],EducPlans_кодНАЦИД_Спец[[#This Row],[аФакСец]])</f>
        <v>1</v>
      </c>
    </row>
    <row r="1151" spans="3:16" x14ac:dyDescent="0.25">
      <c r="C1151" s="614">
        <v>1145</v>
      </c>
      <c r="D1151" s="614">
        <v>11270</v>
      </c>
      <c r="E1151" s="64" t="s">
        <v>1208</v>
      </c>
      <c r="F1151" s="64" t="s">
        <v>6474</v>
      </c>
      <c r="G1151" s="614" t="s">
        <v>39</v>
      </c>
      <c r="H1151" s="614" t="s">
        <v>682</v>
      </c>
      <c r="I1151" s="614" t="s">
        <v>1153</v>
      </c>
      <c r="J1151" s="64" t="s">
        <v>6475</v>
      </c>
      <c r="K1151" s="1940" t="s">
        <v>6476</v>
      </c>
      <c r="L1151" s="1940" t="s">
        <v>8842</v>
      </c>
      <c r="M1151" t="s">
        <v>12225</v>
      </c>
      <c r="N1151" t="s">
        <v>10557</v>
      </c>
      <c r="O1151" t="s">
        <v>6474</v>
      </c>
      <c r="P1151" s="614">
        <f>COUNTIF(EducPlans_кодНАЦИД_Спец[аФакСец],EducPlans_кодНАЦИД_Спец[[#This Row],[аФакСец]])</f>
        <v>1</v>
      </c>
    </row>
    <row r="1152" spans="3:16" x14ac:dyDescent="0.25">
      <c r="C1152" s="614">
        <v>1146</v>
      </c>
      <c r="D1152" s="614">
        <v>11271</v>
      </c>
      <c r="E1152" s="64" t="s">
        <v>1208</v>
      </c>
      <c r="F1152" s="64" t="s">
        <v>6477</v>
      </c>
      <c r="G1152" s="614" t="s">
        <v>39</v>
      </c>
      <c r="H1152" s="614" t="s">
        <v>682</v>
      </c>
      <c r="I1152" s="614" t="s">
        <v>1149</v>
      </c>
      <c r="J1152" s="64" t="s">
        <v>3887</v>
      </c>
      <c r="K1152" s="1940" t="s">
        <v>6478</v>
      </c>
      <c r="L1152" s="1940" t="s">
        <v>8839</v>
      </c>
      <c r="M1152" t="s">
        <v>12226</v>
      </c>
      <c r="N1152" t="s">
        <v>10554</v>
      </c>
      <c r="O1152" t="s">
        <v>6477</v>
      </c>
      <c r="P1152" s="614">
        <f>COUNTIF(EducPlans_кодНАЦИД_Спец[аФакСец],EducPlans_кодНАЦИД_Спец[[#This Row],[аФакСец]])</f>
        <v>2</v>
      </c>
    </row>
    <row r="1153" spans="3:16" x14ac:dyDescent="0.25">
      <c r="C1153" s="614">
        <v>1147</v>
      </c>
      <c r="D1153" s="614">
        <v>11271</v>
      </c>
      <c r="E1153" s="64" t="s">
        <v>1208</v>
      </c>
      <c r="F1153" s="64" t="s">
        <v>6479</v>
      </c>
      <c r="G1153" s="614" t="s">
        <v>39</v>
      </c>
      <c r="H1153" s="614" t="s">
        <v>682</v>
      </c>
      <c r="I1153" s="614" t="s">
        <v>1149</v>
      </c>
      <c r="J1153" s="64" t="s">
        <v>6480</v>
      </c>
      <c r="K1153" s="1940" t="s">
        <v>6478</v>
      </c>
      <c r="L1153" s="1940" t="s">
        <v>8843</v>
      </c>
      <c r="M1153" t="s">
        <v>12227</v>
      </c>
      <c r="N1153" t="s">
        <v>10558</v>
      </c>
      <c r="O1153" t="s">
        <v>6479</v>
      </c>
      <c r="P1153" s="614">
        <f>COUNTIF(EducPlans_кодНАЦИД_Спец[аФакСец],EducPlans_кодНАЦИД_Спец[[#This Row],[аФакСец]])</f>
        <v>1</v>
      </c>
    </row>
    <row r="1154" spans="3:16" x14ac:dyDescent="0.25">
      <c r="C1154" s="614">
        <v>1148</v>
      </c>
      <c r="D1154" s="614">
        <v>12679</v>
      </c>
      <c r="E1154" s="64" t="s">
        <v>1209</v>
      </c>
      <c r="F1154" s="64" t="s">
        <v>6482</v>
      </c>
      <c r="G1154" s="614" t="s">
        <v>296</v>
      </c>
      <c r="H1154" s="614" t="s">
        <v>682</v>
      </c>
      <c r="I1154" s="614" t="s">
        <v>1153</v>
      </c>
      <c r="J1154" s="64" t="s">
        <v>3813</v>
      </c>
      <c r="K1154" s="1940" t="s">
        <v>6483</v>
      </c>
      <c r="L1154" s="1940" t="s">
        <v>8846</v>
      </c>
      <c r="M1154" t="s">
        <v>12228</v>
      </c>
      <c r="N1154" t="s">
        <v>10561</v>
      </c>
      <c r="O1154" t="s">
        <v>6482</v>
      </c>
      <c r="P1154" s="614">
        <f>COUNTIF(EducPlans_кодНАЦИД_Спец[аФакСец],EducPlans_кодНАЦИД_Спец[[#This Row],[аФакСец]])</f>
        <v>1</v>
      </c>
    </row>
    <row r="1155" spans="3:16" x14ac:dyDescent="0.25">
      <c r="C1155" s="614">
        <v>1149</v>
      </c>
      <c r="D1155" s="614">
        <v>12679</v>
      </c>
      <c r="E1155" s="64" t="s">
        <v>1209</v>
      </c>
      <c r="F1155" s="64" t="s">
        <v>6484</v>
      </c>
      <c r="G1155" s="614" t="s">
        <v>296</v>
      </c>
      <c r="H1155" s="614" t="s">
        <v>682</v>
      </c>
      <c r="I1155" s="614" t="s">
        <v>1153</v>
      </c>
      <c r="J1155" s="64" t="s">
        <v>3812</v>
      </c>
      <c r="K1155" s="1940" t="s">
        <v>6483</v>
      </c>
      <c r="L1155" s="1940" t="s">
        <v>8847</v>
      </c>
      <c r="M1155" t="s">
        <v>12229</v>
      </c>
      <c r="N1155" t="s">
        <v>10562</v>
      </c>
      <c r="O1155" t="s">
        <v>6484</v>
      </c>
      <c r="P1155" s="614">
        <f>COUNTIF(EducPlans_кодНАЦИД_Спец[аФакСец],EducPlans_кодНАЦИД_Спец[[#This Row],[аФакСец]])</f>
        <v>1</v>
      </c>
    </row>
    <row r="1156" spans="3:16" x14ac:dyDescent="0.25">
      <c r="C1156" s="614">
        <v>1150</v>
      </c>
      <c r="D1156" s="614">
        <v>12679</v>
      </c>
      <c r="E1156" s="64" t="s">
        <v>1209</v>
      </c>
      <c r="F1156" s="64" t="s">
        <v>6485</v>
      </c>
      <c r="G1156" s="614" t="s">
        <v>296</v>
      </c>
      <c r="H1156" s="614" t="s">
        <v>682</v>
      </c>
      <c r="I1156" s="614" t="s">
        <v>1153</v>
      </c>
      <c r="J1156" s="64" t="s">
        <v>3815</v>
      </c>
      <c r="K1156" s="1940" t="s">
        <v>6483</v>
      </c>
      <c r="L1156" s="1940" t="s">
        <v>8848</v>
      </c>
      <c r="M1156" t="s">
        <v>12230</v>
      </c>
      <c r="N1156" t="s">
        <v>10563</v>
      </c>
      <c r="O1156" t="s">
        <v>6485</v>
      </c>
      <c r="P1156" s="614">
        <f>COUNTIF(EducPlans_кодНАЦИД_Спец[аФакСец],EducPlans_кодНАЦИД_Спец[[#This Row],[аФакСец]])</f>
        <v>1</v>
      </c>
    </row>
    <row r="1157" spans="3:16" x14ac:dyDescent="0.25">
      <c r="C1157" s="614">
        <v>1151</v>
      </c>
      <c r="D1157" s="614">
        <v>12679</v>
      </c>
      <c r="E1157" s="64" t="s">
        <v>1209</v>
      </c>
      <c r="F1157" s="64" t="s">
        <v>6486</v>
      </c>
      <c r="G1157" s="614" t="s">
        <v>296</v>
      </c>
      <c r="H1157" s="614" t="s">
        <v>682</v>
      </c>
      <c r="I1157" s="614" t="s">
        <v>1153</v>
      </c>
      <c r="J1157" s="64" t="s">
        <v>3814</v>
      </c>
      <c r="K1157" s="1940" t="s">
        <v>6483</v>
      </c>
      <c r="L1157" s="1940" t="s">
        <v>8849</v>
      </c>
      <c r="M1157" t="s">
        <v>12231</v>
      </c>
      <c r="N1157" t="s">
        <v>10564</v>
      </c>
      <c r="O1157" t="s">
        <v>6486</v>
      </c>
      <c r="P1157" s="614">
        <f>COUNTIF(EducPlans_кодНАЦИД_Спец[аФакСец],EducPlans_кодНАЦИД_Спец[[#This Row],[аФакСец]])</f>
        <v>1</v>
      </c>
    </row>
    <row r="1158" spans="3:16" x14ac:dyDescent="0.25">
      <c r="C1158" s="614">
        <v>1152</v>
      </c>
      <c r="D1158" s="614">
        <v>549617</v>
      </c>
      <c r="E1158" s="64" t="s">
        <v>13688</v>
      </c>
      <c r="F1158" s="64" t="s">
        <v>6488</v>
      </c>
      <c r="G1158" s="614" t="s">
        <v>48</v>
      </c>
      <c r="H1158" s="614" t="s">
        <v>682</v>
      </c>
      <c r="I1158" s="614" t="s">
        <v>1153</v>
      </c>
      <c r="J1158" s="64" t="s">
        <v>6489</v>
      </c>
      <c r="K1158" s="1940" t="s">
        <v>6490</v>
      </c>
      <c r="L1158" s="1940" t="s">
        <v>8850</v>
      </c>
      <c r="M1158" t="s">
        <v>13689</v>
      </c>
      <c r="N1158" t="s">
        <v>10565</v>
      </c>
      <c r="O1158" t="s">
        <v>6488</v>
      </c>
      <c r="P1158" s="614">
        <f>COUNTIF(EducPlans_кодНАЦИД_Спец[аФакСец],EducPlans_кодНАЦИД_Спец[[#This Row],[аФакСец]])</f>
        <v>1</v>
      </c>
    </row>
    <row r="1159" spans="3:16" x14ac:dyDescent="0.25">
      <c r="C1159" s="614">
        <v>1153</v>
      </c>
      <c r="D1159" s="614">
        <v>549617</v>
      </c>
      <c r="E1159" s="64" t="s">
        <v>13688</v>
      </c>
      <c r="F1159" s="64" t="s">
        <v>13690</v>
      </c>
      <c r="G1159" s="614" t="s">
        <v>48</v>
      </c>
      <c r="H1159" s="614" t="s">
        <v>682</v>
      </c>
      <c r="I1159" s="614" t="s">
        <v>1153</v>
      </c>
      <c r="J1159" s="64" t="s">
        <v>13691</v>
      </c>
      <c r="K1159" s="1940" t="s">
        <v>6490</v>
      </c>
      <c r="L1159" s="1940" t="s">
        <v>13692</v>
      </c>
      <c r="M1159" t="s">
        <v>13693</v>
      </c>
      <c r="N1159" t="s">
        <v>13694</v>
      </c>
      <c r="O1159" t="s">
        <v>13690</v>
      </c>
      <c r="P1159" s="614">
        <f>COUNTIF(EducPlans_кодНАЦИД_Спец[аФакСец],EducPlans_кодНАЦИД_Спец[[#This Row],[аФакСец]])</f>
        <v>1</v>
      </c>
    </row>
    <row r="1160" spans="3:16" x14ac:dyDescent="0.25">
      <c r="C1160" s="614">
        <v>1154</v>
      </c>
      <c r="D1160" s="614">
        <v>960212</v>
      </c>
      <c r="E1160" s="64" t="s">
        <v>13688</v>
      </c>
      <c r="F1160" s="64" t="s">
        <v>13695</v>
      </c>
      <c r="G1160" s="614" t="s">
        <v>48</v>
      </c>
      <c r="H1160" s="614" t="s">
        <v>682</v>
      </c>
      <c r="I1160" s="614" t="s">
        <v>1153</v>
      </c>
      <c r="J1160" s="64" t="s">
        <v>13696</v>
      </c>
      <c r="K1160" s="1940" t="s">
        <v>6490</v>
      </c>
      <c r="L1160" s="1940" t="s">
        <v>13697</v>
      </c>
      <c r="M1160" t="s">
        <v>13698</v>
      </c>
      <c r="N1160" t="s">
        <v>13699</v>
      </c>
      <c r="O1160" t="s">
        <v>13695</v>
      </c>
      <c r="P1160" s="614">
        <f>COUNTIF(EducPlans_кодНАЦИД_Спец[аФакСец],EducPlans_кодНАЦИД_Спец[[#This Row],[аФакСец]])</f>
        <v>1</v>
      </c>
    </row>
    <row r="1161" spans="3:16" x14ac:dyDescent="0.25">
      <c r="C1161" s="614">
        <v>1155</v>
      </c>
      <c r="D1161" s="614">
        <v>12242</v>
      </c>
      <c r="E1161" s="64" t="s">
        <v>2230</v>
      </c>
      <c r="F1161" s="64" t="s">
        <v>6491</v>
      </c>
      <c r="G1161" s="614" t="s">
        <v>31</v>
      </c>
      <c r="H1161" s="614" t="s">
        <v>682</v>
      </c>
      <c r="I1161" s="614" t="s">
        <v>1153</v>
      </c>
      <c r="J1161" s="64" t="s">
        <v>2958</v>
      </c>
      <c r="K1161" s="1940" t="s">
        <v>6492</v>
      </c>
      <c r="L1161" s="1940" t="s">
        <v>8851</v>
      </c>
      <c r="M1161" t="s">
        <v>12232</v>
      </c>
      <c r="N1161" t="s">
        <v>10566</v>
      </c>
      <c r="O1161" t="s">
        <v>6491</v>
      </c>
      <c r="P1161" s="614">
        <f>COUNTIF(EducPlans_кодНАЦИД_Спец[аФакСец],EducPlans_кодНАЦИД_Спец[[#This Row],[аФакСец]])</f>
        <v>1</v>
      </c>
    </row>
    <row r="1162" spans="3:16" x14ac:dyDescent="0.25">
      <c r="C1162" s="614">
        <v>1156</v>
      </c>
      <c r="D1162" s="614">
        <v>12256</v>
      </c>
      <c r="E1162" s="64" t="s">
        <v>2230</v>
      </c>
      <c r="F1162" s="64" t="s">
        <v>6493</v>
      </c>
      <c r="G1162" s="614" t="s">
        <v>31</v>
      </c>
      <c r="H1162" s="614" t="s">
        <v>682</v>
      </c>
      <c r="I1162" s="614" t="s">
        <v>1153</v>
      </c>
      <c r="J1162" s="64" t="s">
        <v>2959</v>
      </c>
      <c r="K1162" s="1940" t="s">
        <v>6494</v>
      </c>
      <c r="L1162" s="1940" t="s">
        <v>8852</v>
      </c>
      <c r="M1162" t="s">
        <v>12233</v>
      </c>
      <c r="N1162" t="s">
        <v>10567</v>
      </c>
      <c r="O1162" t="s">
        <v>6493</v>
      </c>
      <c r="P1162" s="614">
        <f>COUNTIF(EducPlans_кодНАЦИД_Спец[аФакСец],EducPlans_кодНАЦИД_Спец[[#This Row],[аФакСец]])</f>
        <v>1</v>
      </c>
    </row>
    <row r="1163" spans="3:16" x14ac:dyDescent="0.25">
      <c r="C1163" s="614">
        <v>1157</v>
      </c>
      <c r="D1163" s="614">
        <v>10942</v>
      </c>
      <c r="E1163" s="64" t="s">
        <v>1702</v>
      </c>
      <c r="F1163" s="64" t="s">
        <v>6495</v>
      </c>
      <c r="G1163" s="614" t="s">
        <v>35</v>
      </c>
      <c r="H1163" s="614" t="s">
        <v>682</v>
      </c>
      <c r="I1163" s="614" t="s">
        <v>1149</v>
      </c>
      <c r="J1163" s="64" t="s">
        <v>4043</v>
      </c>
      <c r="K1163" s="1940" t="s">
        <v>6496</v>
      </c>
      <c r="L1163" s="1940" t="s">
        <v>8853</v>
      </c>
      <c r="M1163" t="s">
        <v>12234</v>
      </c>
      <c r="N1163" t="s">
        <v>10568</v>
      </c>
      <c r="O1163" t="s">
        <v>6495</v>
      </c>
      <c r="P1163" s="614">
        <f>COUNTIF(EducPlans_кодНАЦИД_Спец[аФакСец],EducPlans_кодНАЦИД_Спец[[#This Row],[аФакСец]])</f>
        <v>1</v>
      </c>
    </row>
    <row r="1164" spans="3:16" x14ac:dyDescent="0.25">
      <c r="C1164" s="614">
        <v>1158</v>
      </c>
      <c r="D1164" s="614">
        <v>10942</v>
      </c>
      <c r="E1164" s="64" t="s">
        <v>1702</v>
      </c>
      <c r="F1164" s="64" t="s">
        <v>6497</v>
      </c>
      <c r="G1164" s="614" t="s">
        <v>35</v>
      </c>
      <c r="H1164" s="614" t="s">
        <v>682</v>
      </c>
      <c r="I1164" s="614" t="s">
        <v>1149</v>
      </c>
      <c r="J1164" s="64" t="s">
        <v>4042</v>
      </c>
      <c r="K1164" s="1940" t="s">
        <v>6496</v>
      </c>
      <c r="L1164" s="1940" t="s">
        <v>8854</v>
      </c>
      <c r="M1164" t="s">
        <v>12235</v>
      </c>
      <c r="N1164" t="s">
        <v>10569</v>
      </c>
      <c r="O1164" t="s">
        <v>6497</v>
      </c>
      <c r="P1164" s="614">
        <f>COUNTIF(EducPlans_кодНАЦИД_Спец[аФакСец],EducPlans_кодНАЦИД_Спец[[#This Row],[аФакСец]])</f>
        <v>1</v>
      </c>
    </row>
    <row r="1165" spans="3:16" x14ac:dyDescent="0.25">
      <c r="C1165" s="614">
        <v>1159</v>
      </c>
      <c r="D1165" s="614">
        <v>11659</v>
      </c>
      <c r="E1165" s="64" t="s">
        <v>1429</v>
      </c>
      <c r="F1165" s="64" t="s">
        <v>6498</v>
      </c>
      <c r="G1165" s="614" t="s">
        <v>33</v>
      </c>
      <c r="H1165" s="614" t="s">
        <v>682</v>
      </c>
      <c r="I1165" s="614" t="s">
        <v>1153</v>
      </c>
      <c r="J1165" s="64" t="s">
        <v>3596</v>
      </c>
      <c r="K1165" s="1940" t="s">
        <v>6499</v>
      </c>
      <c r="L1165" s="1940" t="s">
        <v>8855</v>
      </c>
      <c r="M1165" t="s">
        <v>12236</v>
      </c>
      <c r="N1165" t="s">
        <v>10570</v>
      </c>
      <c r="O1165" t="s">
        <v>6498</v>
      </c>
      <c r="P1165" s="614">
        <f>COUNTIF(EducPlans_кодНАЦИД_Спец[аФакСец],EducPlans_кодНАЦИД_Спец[[#This Row],[аФакСец]])</f>
        <v>1</v>
      </c>
    </row>
    <row r="1166" spans="3:16" x14ac:dyDescent="0.25">
      <c r="C1166" s="614">
        <v>1160</v>
      </c>
      <c r="D1166" s="614">
        <v>783609</v>
      </c>
      <c r="E1166" s="64" t="s">
        <v>1429</v>
      </c>
      <c r="F1166" s="64" t="s">
        <v>13700</v>
      </c>
      <c r="G1166" s="614" t="s">
        <v>33</v>
      </c>
      <c r="H1166" s="614" t="s">
        <v>682</v>
      </c>
      <c r="I1166" s="614" t="s">
        <v>1153</v>
      </c>
      <c r="J1166" s="64" t="s">
        <v>13701</v>
      </c>
      <c r="K1166" s="1940" t="s">
        <v>6499</v>
      </c>
      <c r="L1166" s="1940" t="s">
        <v>13702</v>
      </c>
      <c r="M1166" t="s">
        <v>13703</v>
      </c>
      <c r="N1166" t="s">
        <v>13704</v>
      </c>
      <c r="O1166" t="s">
        <v>13700</v>
      </c>
      <c r="P1166" s="614">
        <f>COUNTIF(EducPlans_кодНАЦИД_Спец[аФакСец],EducPlans_кодНАЦИД_Спец[[#This Row],[аФакСец]])</f>
        <v>1</v>
      </c>
    </row>
    <row r="1167" spans="3:16" x14ac:dyDescent="0.25">
      <c r="C1167" s="614">
        <v>1161</v>
      </c>
      <c r="D1167" s="614">
        <v>11626</v>
      </c>
      <c r="E1167" s="64" t="s">
        <v>1430</v>
      </c>
      <c r="F1167" s="64" t="s">
        <v>6500</v>
      </c>
      <c r="G1167" s="614" t="s">
        <v>33</v>
      </c>
      <c r="H1167" s="614" t="s">
        <v>682</v>
      </c>
      <c r="I1167" s="614" t="s">
        <v>1153</v>
      </c>
      <c r="J1167" s="64" t="s">
        <v>3597</v>
      </c>
      <c r="K1167" s="1940" t="s">
        <v>6501</v>
      </c>
      <c r="L1167" s="1940" t="s">
        <v>8856</v>
      </c>
      <c r="M1167" t="s">
        <v>12237</v>
      </c>
      <c r="N1167" t="s">
        <v>10571</v>
      </c>
      <c r="O1167" t="s">
        <v>6500</v>
      </c>
      <c r="P1167" s="614">
        <f>COUNTIF(EducPlans_кодНАЦИД_Спец[аФакСец],EducPlans_кодНАЦИД_Спец[[#This Row],[аФакСец]])</f>
        <v>1</v>
      </c>
    </row>
    <row r="1168" spans="3:16" x14ac:dyDescent="0.25">
      <c r="C1168" s="614">
        <v>1162</v>
      </c>
      <c r="D1168" s="614">
        <v>10907</v>
      </c>
      <c r="E1168" s="64" t="s">
        <v>1684</v>
      </c>
      <c r="F1168" s="64" t="s">
        <v>6502</v>
      </c>
      <c r="G1168" s="614" t="s">
        <v>35</v>
      </c>
      <c r="H1168" s="614" t="s">
        <v>682</v>
      </c>
      <c r="I1168" s="614" t="s">
        <v>1153</v>
      </c>
      <c r="J1168" s="64" t="s">
        <v>6503</v>
      </c>
      <c r="K1168" s="1940" t="s">
        <v>6504</v>
      </c>
      <c r="L1168" s="1940" t="s">
        <v>8857</v>
      </c>
      <c r="M1168" t="s">
        <v>12238</v>
      </c>
      <c r="N1168" t="s">
        <v>10572</v>
      </c>
      <c r="O1168" t="s">
        <v>6502</v>
      </c>
      <c r="P1168" s="614">
        <f>COUNTIF(EducPlans_кодНАЦИД_Спец[аФакСец],EducPlans_кодНАЦИД_Спец[[#This Row],[аФакСец]])</f>
        <v>1</v>
      </c>
    </row>
    <row r="1169" spans="3:16" x14ac:dyDescent="0.25">
      <c r="C1169" s="614">
        <v>1163</v>
      </c>
      <c r="D1169" s="614">
        <v>12945</v>
      </c>
      <c r="E1169" s="64" t="s">
        <v>1825</v>
      </c>
      <c r="F1169" s="64" t="s">
        <v>6505</v>
      </c>
      <c r="G1169" s="614" t="s">
        <v>42</v>
      </c>
      <c r="H1169" s="614" t="s">
        <v>682</v>
      </c>
      <c r="I1169" s="614" t="s">
        <v>1149</v>
      </c>
      <c r="J1169" s="64" t="s">
        <v>3490</v>
      </c>
      <c r="K1169" s="1940" t="s">
        <v>6506</v>
      </c>
      <c r="L1169" s="1940" t="s">
        <v>8858</v>
      </c>
      <c r="M1169" t="s">
        <v>12239</v>
      </c>
      <c r="N1169" t="s">
        <v>10573</v>
      </c>
      <c r="O1169" t="s">
        <v>6505</v>
      </c>
      <c r="P1169" s="614">
        <f>COUNTIF(EducPlans_кодНАЦИД_Спец[аФакСец],EducPlans_кодНАЦИД_Спец[[#This Row],[аФакСец]])</f>
        <v>1</v>
      </c>
    </row>
    <row r="1170" spans="3:16" x14ac:dyDescent="0.25">
      <c r="C1170" s="614">
        <v>1164</v>
      </c>
      <c r="D1170" s="614">
        <v>583766</v>
      </c>
      <c r="E1170" s="64" t="s">
        <v>1431</v>
      </c>
      <c r="F1170" s="64" t="s">
        <v>6507</v>
      </c>
      <c r="G1170" s="614" t="s">
        <v>647</v>
      </c>
      <c r="H1170" s="614" t="s">
        <v>682</v>
      </c>
      <c r="I1170" s="614" t="s">
        <v>1153</v>
      </c>
      <c r="J1170" s="64" t="s">
        <v>6508</v>
      </c>
      <c r="K1170" s="1940" t="s">
        <v>6509</v>
      </c>
      <c r="L1170" s="1940" t="s">
        <v>8859</v>
      </c>
      <c r="M1170" t="s">
        <v>12240</v>
      </c>
      <c r="N1170" t="s">
        <v>10574</v>
      </c>
      <c r="O1170" t="s">
        <v>6507</v>
      </c>
      <c r="P1170" s="614">
        <f>COUNTIF(EducPlans_кодНАЦИД_Спец[аФакСец],EducPlans_кодНАЦИД_Спец[[#This Row],[аФакСец]])</f>
        <v>1</v>
      </c>
    </row>
    <row r="1171" spans="3:16" x14ac:dyDescent="0.25">
      <c r="C1171" s="614">
        <v>1165</v>
      </c>
      <c r="D1171" s="614">
        <v>11415</v>
      </c>
      <c r="E1171" s="64" t="s">
        <v>1433</v>
      </c>
      <c r="F1171" s="64" t="s">
        <v>6510</v>
      </c>
      <c r="G1171" s="614" t="s">
        <v>647</v>
      </c>
      <c r="H1171" s="614" t="s">
        <v>682</v>
      </c>
      <c r="I1171" s="614" t="s">
        <v>1153</v>
      </c>
      <c r="J1171" s="64" t="s">
        <v>3942</v>
      </c>
      <c r="K1171" s="1940" t="s">
        <v>6511</v>
      </c>
      <c r="L1171" s="1940" t="s">
        <v>8860</v>
      </c>
      <c r="M1171" t="s">
        <v>12241</v>
      </c>
      <c r="N1171" t="s">
        <v>10575</v>
      </c>
      <c r="O1171" t="s">
        <v>6510</v>
      </c>
      <c r="P1171" s="614">
        <f>COUNTIF(EducPlans_кодНАЦИД_Спец[аФакСец],EducPlans_кодНАЦИД_Спец[[#This Row],[аФакСец]])</f>
        <v>2</v>
      </c>
    </row>
    <row r="1172" spans="3:16" x14ac:dyDescent="0.25">
      <c r="C1172" s="614">
        <v>1166</v>
      </c>
      <c r="D1172" s="614">
        <v>11415</v>
      </c>
      <c r="E1172" s="64" t="s">
        <v>1433</v>
      </c>
      <c r="F1172" s="64" t="s">
        <v>6512</v>
      </c>
      <c r="G1172" s="614" t="s">
        <v>647</v>
      </c>
      <c r="H1172" s="614" t="s">
        <v>682</v>
      </c>
      <c r="I1172" s="614" t="s">
        <v>1153</v>
      </c>
      <c r="J1172" s="64" t="s">
        <v>3940</v>
      </c>
      <c r="K1172" s="1940" t="s">
        <v>6511</v>
      </c>
      <c r="L1172" s="1940" t="s">
        <v>8861</v>
      </c>
      <c r="M1172" t="s">
        <v>12242</v>
      </c>
      <c r="N1172" t="s">
        <v>10576</v>
      </c>
      <c r="O1172" t="s">
        <v>6512</v>
      </c>
      <c r="P1172" s="614">
        <f>COUNTIF(EducPlans_кодНАЦИД_Спец[аФакСец],EducPlans_кодНАЦИД_Спец[[#This Row],[аФакСец]])</f>
        <v>1</v>
      </c>
    </row>
    <row r="1173" spans="3:16" x14ac:dyDescent="0.25">
      <c r="C1173" s="614">
        <v>1167</v>
      </c>
      <c r="D1173" s="614">
        <v>11415</v>
      </c>
      <c r="E1173" s="64" t="s">
        <v>1433</v>
      </c>
      <c r="F1173" s="64" t="s">
        <v>6513</v>
      </c>
      <c r="G1173" s="614" t="s">
        <v>647</v>
      </c>
      <c r="H1173" s="614" t="s">
        <v>682</v>
      </c>
      <c r="I1173" s="614" t="s">
        <v>1153</v>
      </c>
      <c r="J1173" s="64" t="s">
        <v>3941</v>
      </c>
      <c r="K1173" s="1940" t="s">
        <v>6511</v>
      </c>
      <c r="L1173" s="1940" t="s">
        <v>8862</v>
      </c>
      <c r="M1173" t="s">
        <v>12243</v>
      </c>
      <c r="N1173" t="s">
        <v>10577</v>
      </c>
      <c r="O1173" t="s">
        <v>6513</v>
      </c>
      <c r="P1173" s="614">
        <f>COUNTIF(EducPlans_кодНАЦИД_Спец[аФакСец],EducPlans_кодНАЦИД_Спец[[#This Row],[аФакСец]])</f>
        <v>1</v>
      </c>
    </row>
    <row r="1174" spans="3:16" x14ac:dyDescent="0.25">
      <c r="C1174" s="614">
        <v>1168</v>
      </c>
      <c r="D1174" s="614">
        <v>11417</v>
      </c>
      <c r="E1174" s="64" t="s">
        <v>1433</v>
      </c>
      <c r="F1174" s="64" t="s">
        <v>6514</v>
      </c>
      <c r="G1174" s="614" t="s">
        <v>647</v>
      </c>
      <c r="H1174" s="614" t="s">
        <v>682</v>
      </c>
      <c r="I1174" s="614" t="s">
        <v>1149</v>
      </c>
      <c r="J1174" s="64" t="s">
        <v>3938</v>
      </c>
      <c r="K1174" s="1940" t="s">
        <v>6515</v>
      </c>
      <c r="L1174" s="1940" t="s">
        <v>8863</v>
      </c>
      <c r="M1174" t="s">
        <v>12244</v>
      </c>
      <c r="N1174" t="s">
        <v>10578</v>
      </c>
      <c r="O1174" t="s">
        <v>6514</v>
      </c>
      <c r="P1174" s="614">
        <f>COUNTIF(EducPlans_кодНАЦИД_Спец[аФакСец],EducPlans_кодНАЦИД_Спец[[#This Row],[аФакСец]])</f>
        <v>1</v>
      </c>
    </row>
    <row r="1175" spans="3:16" x14ac:dyDescent="0.25">
      <c r="C1175" s="614">
        <v>1169</v>
      </c>
      <c r="D1175" s="614">
        <v>11417</v>
      </c>
      <c r="E1175" s="64" t="s">
        <v>1433</v>
      </c>
      <c r="F1175" s="64" t="s">
        <v>6516</v>
      </c>
      <c r="G1175" s="614" t="s">
        <v>647</v>
      </c>
      <c r="H1175" s="614" t="s">
        <v>682</v>
      </c>
      <c r="I1175" s="614" t="s">
        <v>1149</v>
      </c>
      <c r="J1175" s="64" t="s">
        <v>3939</v>
      </c>
      <c r="K1175" s="1940" t="s">
        <v>6515</v>
      </c>
      <c r="L1175" s="1940" t="s">
        <v>8864</v>
      </c>
      <c r="M1175" t="s">
        <v>12245</v>
      </c>
      <c r="N1175" t="s">
        <v>10579</v>
      </c>
      <c r="O1175" t="s">
        <v>6516</v>
      </c>
      <c r="P1175" s="614">
        <f>COUNTIF(EducPlans_кодНАЦИД_Спец[аФакСец],EducPlans_кодНАЦИД_Спец[[#This Row],[аФакСец]])</f>
        <v>1</v>
      </c>
    </row>
    <row r="1176" spans="3:16" x14ac:dyDescent="0.25">
      <c r="C1176" s="614">
        <v>1170</v>
      </c>
      <c r="D1176" s="614">
        <v>11418</v>
      </c>
      <c r="E1176" s="64" t="s">
        <v>1434</v>
      </c>
      <c r="F1176" s="64" t="s">
        <v>6517</v>
      </c>
      <c r="G1176" s="614" t="s">
        <v>647</v>
      </c>
      <c r="H1176" s="614" t="s">
        <v>682</v>
      </c>
      <c r="I1176" s="614" t="s">
        <v>1153</v>
      </c>
      <c r="J1176" s="64" t="s">
        <v>3942</v>
      </c>
      <c r="K1176" s="1940" t="s">
        <v>6518</v>
      </c>
      <c r="L1176" s="1940" t="s">
        <v>8860</v>
      </c>
      <c r="M1176" t="s">
        <v>12246</v>
      </c>
      <c r="N1176" t="s">
        <v>10575</v>
      </c>
      <c r="O1176" t="s">
        <v>6517</v>
      </c>
      <c r="P1176" s="614">
        <f>COUNTIF(EducPlans_кодНАЦИД_Спец[аФакСец],EducPlans_кодНАЦИД_Спец[[#This Row],[аФакСец]])</f>
        <v>2</v>
      </c>
    </row>
    <row r="1177" spans="3:16" x14ac:dyDescent="0.25">
      <c r="C1177" s="614">
        <v>1171</v>
      </c>
      <c r="D1177" s="614">
        <v>11418</v>
      </c>
      <c r="E1177" s="64" t="s">
        <v>1434</v>
      </c>
      <c r="F1177" s="64" t="s">
        <v>6519</v>
      </c>
      <c r="G1177" s="614" t="s">
        <v>647</v>
      </c>
      <c r="H1177" s="614" t="s">
        <v>682</v>
      </c>
      <c r="I1177" s="614" t="s">
        <v>1153</v>
      </c>
      <c r="J1177" s="64" t="s">
        <v>3944</v>
      </c>
      <c r="K1177" s="1940" t="s">
        <v>6518</v>
      </c>
      <c r="L1177" s="1940" t="s">
        <v>8865</v>
      </c>
      <c r="M1177" t="s">
        <v>12247</v>
      </c>
      <c r="N1177" t="s">
        <v>10580</v>
      </c>
      <c r="O1177" t="s">
        <v>6519</v>
      </c>
      <c r="P1177" s="614">
        <f>COUNTIF(EducPlans_кодНАЦИД_Спец[аФакСец],EducPlans_кодНАЦИД_Спец[[#This Row],[аФакСец]])</f>
        <v>1</v>
      </c>
    </row>
    <row r="1178" spans="3:16" x14ac:dyDescent="0.25">
      <c r="C1178" s="614">
        <v>1172</v>
      </c>
      <c r="D1178" s="614">
        <v>11418</v>
      </c>
      <c r="E1178" s="64" t="s">
        <v>1434</v>
      </c>
      <c r="F1178" s="64" t="s">
        <v>6520</v>
      </c>
      <c r="G1178" s="614" t="s">
        <v>647</v>
      </c>
      <c r="H1178" s="614" t="s">
        <v>682</v>
      </c>
      <c r="I1178" s="614" t="s">
        <v>1153</v>
      </c>
      <c r="J1178" s="64" t="s">
        <v>3943</v>
      </c>
      <c r="K1178" s="1940" t="s">
        <v>6518</v>
      </c>
      <c r="L1178" s="1940" t="s">
        <v>8866</v>
      </c>
      <c r="M1178" t="s">
        <v>12248</v>
      </c>
      <c r="N1178" t="s">
        <v>10581</v>
      </c>
      <c r="O1178" t="s">
        <v>6520</v>
      </c>
      <c r="P1178" s="614">
        <f>COUNTIF(EducPlans_кодНАЦИД_Спец[аФакСец],EducPlans_кодНАЦИД_Спец[[#This Row],[аФакСец]])</f>
        <v>1</v>
      </c>
    </row>
    <row r="1179" spans="3:16" x14ac:dyDescent="0.25">
      <c r="C1179" s="614">
        <v>1173</v>
      </c>
      <c r="D1179" s="614">
        <v>12262</v>
      </c>
      <c r="E1179" s="64" t="s">
        <v>2231</v>
      </c>
      <c r="F1179" s="64" t="s">
        <v>6521</v>
      </c>
      <c r="G1179" s="614" t="s">
        <v>31</v>
      </c>
      <c r="H1179" s="614" t="s">
        <v>682</v>
      </c>
      <c r="I1179" s="614" t="s">
        <v>1153</v>
      </c>
      <c r="J1179" s="64" t="s">
        <v>2960</v>
      </c>
      <c r="K1179" s="1940" t="s">
        <v>6522</v>
      </c>
      <c r="L1179" s="1940" t="s">
        <v>8867</v>
      </c>
      <c r="M1179" t="s">
        <v>12249</v>
      </c>
      <c r="N1179" t="s">
        <v>10582</v>
      </c>
      <c r="O1179" t="s">
        <v>6521</v>
      </c>
      <c r="P1179" s="614">
        <f>COUNTIF(EducPlans_кодНАЦИД_Спец[аФакСец],EducPlans_кодНАЦИД_Спец[[#This Row],[аФакСец]])</f>
        <v>1</v>
      </c>
    </row>
    <row r="1180" spans="3:16" x14ac:dyDescent="0.25">
      <c r="C1180" s="614">
        <v>1174</v>
      </c>
      <c r="D1180" s="614">
        <v>12264</v>
      </c>
      <c r="E1180" s="64" t="s">
        <v>2232</v>
      </c>
      <c r="F1180" s="64" t="s">
        <v>6523</v>
      </c>
      <c r="G1180" s="614" t="s">
        <v>31</v>
      </c>
      <c r="H1180" s="614" t="s">
        <v>682</v>
      </c>
      <c r="I1180" s="614" t="s">
        <v>1153</v>
      </c>
      <c r="J1180" s="64" t="s">
        <v>2962</v>
      </c>
      <c r="K1180" s="1940" t="s">
        <v>6524</v>
      </c>
      <c r="L1180" s="1940" t="s">
        <v>8868</v>
      </c>
      <c r="M1180" t="s">
        <v>12250</v>
      </c>
      <c r="N1180" t="s">
        <v>10583</v>
      </c>
      <c r="O1180" t="s">
        <v>6523</v>
      </c>
      <c r="P1180" s="614">
        <f>COUNTIF(EducPlans_кодНАЦИД_Спец[аФакСец],EducPlans_кодНАЦИД_Спец[[#This Row],[аФакСец]])</f>
        <v>1</v>
      </c>
    </row>
    <row r="1181" spans="3:16" x14ac:dyDescent="0.25">
      <c r="C1181" s="614">
        <v>1175</v>
      </c>
      <c r="D1181" s="614">
        <v>12260</v>
      </c>
      <c r="E1181" s="64" t="s">
        <v>2233</v>
      </c>
      <c r="F1181" s="64" t="s">
        <v>6525</v>
      </c>
      <c r="G1181" s="614" t="s">
        <v>31</v>
      </c>
      <c r="H1181" s="614" t="s">
        <v>682</v>
      </c>
      <c r="I1181" s="614" t="s">
        <v>1153</v>
      </c>
      <c r="J1181" s="64" t="s">
        <v>2963</v>
      </c>
      <c r="K1181" s="1940" t="s">
        <v>6526</v>
      </c>
      <c r="L1181" s="1940" t="s">
        <v>8869</v>
      </c>
      <c r="M1181" t="s">
        <v>12251</v>
      </c>
      <c r="N1181" t="s">
        <v>10584</v>
      </c>
      <c r="O1181" t="s">
        <v>6525</v>
      </c>
      <c r="P1181" s="614">
        <f>COUNTIF(EducPlans_кодНАЦИД_Спец[аФакСец],EducPlans_кодНАЦИД_Спец[[#This Row],[аФакСец]])</f>
        <v>1</v>
      </c>
    </row>
    <row r="1182" spans="3:16" x14ac:dyDescent="0.25">
      <c r="C1182" s="614">
        <v>1176</v>
      </c>
      <c r="D1182" s="614">
        <v>11977</v>
      </c>
      <c r="E1182" s="64" t="s">
        <v>2133</v>
      </c>
      <c r="F1182" s="64" t="s">
        <v>6527</v>
      </c>
      <c r="G1182" s="614" t="s">
        <v>628</v>
      </c>
      <c r="H1182" s="614" t="s">
        <v>682</v>
      </c>
      <c r="I1182" s="614" t="s">
        <v>1153</v>
      </c>
      <c r="J1182" s="64" t="s">
        <v>4244</v>
      </c>
      <c r="K1182" s="1940" t="s">
        <v>6528</v>
      </c>
      <c r="L1182" s="1940" t="s">
        <v>8870</v>
      </c>
      <c r="M1182" t="s">
        <v>12252</v>
      </c>
      <c r="N1182" t="s">
        <v>10585</v>
      </c>
      <c r="O1182" t="s">
        <v>6527</v>
      </c>
      <c r="P1182" s="614">
        <f>COUNTIF(EducPlans_кодНАЦИД_Спец[аФакСец],EducPlans_кодНАЦИД_Спец[[#This Row],[аФакСец]])</f>
        <v>1</v>
      </c>
    </row>
    <row r="1183" spans="3:16" x14ac:dyDescent="0.25">
      <c r="C1183" s="614">
        <v>1177</v>
      </c>
      <c r="D1183" s="614">
        <v>11977</v>
      </c>
      <c r="E1183" s="64" t="s">
        <v>2133</v>
      </c>
      <c r="F1183" s="64" t="s">
        <v>6529</v>
      </c>
      <c r="G1183" s="614" t="s">
        <v>628</v>
      </c>
      <c r="H1183" s="614" t="s">
        <v>682</v>
      </c>
      <c r="I1183" s="614" t="s">
        <v>1153</v>
      </c>
      <c r="J1183" s="64" t="s">
        <v>4243</v>
      </c>
      <c r="K1183" s="1940" t="s">
        <v>6528</v>
      </c>
      <c r="L1183" s="1940" t="s">
        <v>8871</v>
      </c>
      <c r="M1183" t="s">
        <v>12253</v>
      </c>
      <c r="N1183" t="s">
        <v>10586</v>
      </c>
      <c r="O1183" t="s">
        <v>6529</v>
      </c>
      <c r="P1183" s="614">
        <f>COUNTIF(EducPlans_кодНАЦИД_Спец[аФакСец],EducPlans_кодНАЦИД_Спец[[#This Row],[аФакСец]])</f>
        <v>1</v>
      </c>
    </row>
    <row r="1184" spans="3:16" x14ac:dyDescent="0.25">
      <c r="C1184" s="614">
        <v>1178</v>
      </c>
      <c r="D1184" s="614">
        <v>11805</v>
      </c>
      <c r="E1184" s="64" t="s">
        <v>2309</v>
      </c>
      <c r="F1184" s="64" t="s">
        <v>6530</v>
      </c>
      <c r="G1184" s="614" t="s">
        <v>26</v>
      </c>
      <c r="H1184" s="614" t="s">
        <v>682</v>
      </c>
      <c r="I1184" s="614" t="s">
        <v>1153</v>
      </c>
      <c r="J1184" s="64" t="s">
        <v>3738</v>
      </c>
      <c r="K1184" s="1940" t="s">
        <v>6531</v>
      </c>
      <c r="L1184" s="1940" t="s">
        <v>8872</v>
      </c>
      <c r="M1184" t="s">
        <v>12254</v>
      </c>
      <c r="N1184" t="s">
        <v>10587</v>
      </c>
      <c r="O1184" t="s">
        <v>6530</v>
      </c>
      <c r="P1184" s="614">
        <f>COUNTIF(EducPlans_кодНАЦИД_Спец[аФакСец],EducPlans_кодНАЦИД_Спец[[#This Row],[аФакСец]])</f>
        <v>1</v>
      </c>
    </row>
    <row r="1185" spans="3:16" x14ac:dyDescent="0.25">
      <c r="C1185" s="614">
        <v>1179</v>
      </c>
      <c r="D1185" s="614">
        <v>11927</v>
      </c>
      <c r="E1185" s="64" t="s">
        <v>2134</v>
      </c>
      <c r="F1185" s="64" t="s">
        <v>6532</v>
      </c>
      <c r="G1185" s="614" t="s">
        <v>628</v>
      </c>
      <c r="H1185" s="614" t="s">
        <v>681</v>
      </c>
      <c r="I1185" s="614" t="s">
        <v>1153</v>
      </c>
      <c r="J1185" s="64" t="s">
        <v>4246</v>
      </c>
      <c r="K1185" s="1940" t="s">
        <v>6533</v>
      </c>
      <c r="L1185" s="1940" t="s">
        <v>8873</v>
      </c>
      <c r="M1185" t="s">
        <v>12255</v>
      </c>
      <c r="N1185" t="s">
        <v>10588</v>
      </c>
      <c r="O1185" t="s">
        <v>6532</v>
      </c>
      <c r="P1185" s="614">
        <f>COUNTIF(EducPlans_кодНАЦИД_Спец[аФакСец],EducPlans_кодНАЦИД_Спец[[#This Row],[аФакСец]])</f>
        <v>1</v>
      </c>
    </row>
    <row r="1186" spans="3:16" x14ac:dyDescent="0.25">
      <c r="C1186" s="614">
        <v>1180</v>
      </c>
      <c r="D1186" s="614">
        <v>11929</v>
      </c>
      <c r="E1186" s="64" t="s">
        <v>2134</v>
      </c>
      <c r="F1186" s="64" t="s">
        <v>6534</v>
      </c>
      <c r="G1186" s="614" t="s">
        <v>628</v>
      </c>
      <c r="H1186" s="614" t="s">
        <v>681</v>
      </c>
      <c r="I1186" s="614" t="s">
        <v>1149</v>
      </c>
      <c r="J1186" s="64" t="s">
        <v>4245</v>
      </c>
      <c r="K1186" s="1940" t="s">
        <v>6535</v>
      </c>
      <c r="L1186" s="1940" t="s">
        <v>8874</v>
      </c>
      <c r="M1186" t="s">
        <v>12256</v>
      </c>
      <c r="N1186" t="s">
        <v>10589</v>
      </c>
      <c r="O1186" t="s">
        <v>6534</v>
      </c>
      <c r="P1186" s="614">
        <f>COUNTIF(EducPlans_кодНАЦИД_Спец[аФакСец],EducPlans_кодНАЦИД_Спец[[#This Row],[аФакСец]])</f>
        <v>1</v>
      </c>
    </row>
    <row r="1187" spans="3:16" x14ac:dyDescent="0.25">
      <c r="C1187" s="614">
        <v>1181</v>
      </c>
      <c r="D1187" s="614">
        <v>12029</v>
      </c>
      <c r="E1187" s="64" t="s">
        <v>2134</v>
      </c>
      <c r="F1187" s="64" t="s">
        <v>6536</v>
      </c>
      <c r="G1187" s="614" t="s">
        <v>628</v>
      </c>
      <c r="H1187" s="614" t="s">
        <v>682</v>
      </c>
      <c r="I1187" s="614" t="s">
        <v>1153</v>
      </c>
      <c r="J1187" s="64" t="s">
        <v>4247</v>
      </c>
      <c r="K1187" s="1940" t="s">
        <v>6537</v>
      </c>
      <c r="L1187" s="1940" t="s">
        <v>8875</v>
      </c>
      <c r="M1187" t="s">
        <v>12257</v>
      </c>
      <c r="N1187" t="s">
        <v>10590</v>
      </c>
      <c r="O1187" t="s">
        <v>6536</v>
      </c>
      <c r="P1187" s="614">
        <f>COUNTIF(EducPlans_кодНАЦИД_Спец[аФакСец],EducPlans_кодНАЦИД_Спец[[#This Row],[аФакСец]])</f>
        <v>1</v>
      </c>
    </row>
    <row r="1188" spans="3:16" x14ac:dyDescent="0.25">
      <c r="C1188" s="614">
        <v>1182</v>
      </c>
      <c r="D1188" s="614">
        <v>12024</v>
      </c>
      <c r="E1188" s="64" t="s">
        <v>2135</v>
      </c>
      <c r="F1188" s="64" t="s">
        <v>6538</v>
      </c>
      <c r="G1188" s="614" t="s">
        <v>628</v>
      </c>
      <c r="H1188" s="614" t="s">
        <v>682</v>
      </c>
      <c r="I1188" s="614" t="s">
        <v>1153</v>
      </c>
      <c r="J1188" s="64" t="s">
        <v>4248</v>
      </c>
      <c r="K1188" s="1940" t="s">
        <v>6539</v>
      </c>
      <c r="L1188" s="1940" t="s">
        <v>8876</v>
      </c>
      <c r="M1188" t="s">
        <v>12258</v>
      </c>
      <c r="N1188" t="s">
        <v>10591</v>
      </c>
      <c r="O1188" t="s">
        <v>6538</v>
      </c>
      <c r="P1188" s="614">
        <f>COUNTIF(EducPlans_кодНАЦИД_Спец[аФакСец],EducPlans_кодНАЦИД_Спец[[#This Row],[аФакСец]])</f>
        <v>1</v>
      </c>
    </row>
    <row r="1189" spans="3:16" x14ac:dyDescent="0.25">
      <c r="C1189" s="614">
        <v>1183</v>
      </c>
      <c r="D1189" s="614">
        <v>12025</v>
      </c>
      <c r="E1189" s="64" t="s">
        <v>2136</v>
      </c>
      <c r="F1189" s="64" t="s">
        <v>6540</v>
      </c>
      <c r="G1189" s="614" t="s">
        <v>628</v>
      </c>
      <c r="H1189" s="614" t="s">
        <v>682</v>
      </c>
      <c r="I1189" s="614" t="s">
        <v>1153</v>
      </c>
      <c r="J1189" s="64" t="s">
        <v>4249</v>
      </c>
      <c r="K1189" s="1940" t="s">
        <v>6541</v>
      </c>
      <c r="L1189" s="1940" t="s">
        <v>8877</v>
      </c>
      <c r="M1189" t="s">
        <v>12259</v>
      </c>
      <c r="N1189" t="s">
        <v>10592</v>
      </c>
      <c r="O1189" t="s">
        <v>6540</v>
      </c>
      <c r="P1189" s="614">
        <f>COUNTIF(EducPlans_кодНАЦИД_Спец[аФакСец],EducPlans_кодНАЦИД_Спец[[#This Row],[аФакСец]])</f>
        <v>1</v>
      </c>
    </row>
    <row r="1190" spans="3:16" x14ac:dyDescent="0.25">
      <c r="C1190" s="614">
        <v>1184</v>
      </c>
      <c r="D1190" s="614">
        <v>12027</v>
      </c>
      <c r="E1190" s="64" t="s">
        <v>2137</v>
      </c>
      <c r="F1190" s="64" t="s">
        <v>6542</v>
      </c>
      <c r="G1190" s="614" t="s">
        <v>628</v>
      </c>
      <c r="H1190" s="614" t="s">
        <v>682</v>
      </c>
      <c r="I1190" s="614" t="s">
        <v>1149</v>
      </c>
      <c r="J1190" s="64" t="s">
        <v>4250</v>
      </c>
      <c r="K1190" s="1940" t="s">
        <v>6543</v>
      </c>
      <c r="L1190" s="1940" t="s">
        <v>8878</v>
      </c>
      <c r="M1190" t="s">
        <v>12260</v>
      </c>
      <c r="N1190" t="s">
        <v>10593</v>
      </c>
      <c r="O1190" t="s">
        <v>6542</v>
      </c>
      <c r="P1190" s="614">
        <f>COUNTIF(EducPlans_кодНАЦИД_Спец[аФакСец],EducPlans_кодНАЦИД_Спец[[#This Row],[аФакСец]])</f>
        <v>1</v>
      </c>
    </row>
    <row r="1191" spans="3:16" x14ac:dyDescent="0.25">
      <c r="C1191" s="614">
        <v>1185</v>
      </c>
      <c r="D1191" s="614">
        <v>557882</v>
      </c>
      <c r="E1191" s="64" t="s">
        <v>6544</v>
      </c>
      <c r="F1191" s="64" t="s">
        <v>6545</v>
      </c>
      <c r="G1191" s="614" t="s">
        <v>35</v>
      </c>
      <c r="H1191" s="614" t="s">
        <v>682</v>
      </c>
      <c r="I1191" s="614" t="s">
        <v>1149</v>
      </c>
      <c r="J1191" s="64" t="s">
        <v>6546</v>
      </c>
      <c r="K1191" s="1940" t="s">
        <v>6547</v>
      </c>
      <c r="L1191" s="1940" t="s">
        <v>8879</v>
      </c>
      <c r="M1191" t="s">
        <v>12261</v>
      </c>
      <c r="N1191" t="s">
        <v>10594</v>
      </c>
      <c r="O1191" t="s">
        <v>6545</v>
      </c>
      <c r="P1191" s="614">
        <f>COUNTIF(EducPlans_кодНАЦИД_Спец[аФакСец],EducPlans_кодНАЦИД_Спец[[#This Row],[аФакСец]])</f>
        <v>1</v>
      </c>
    </row>
    <row r="1192" spans="3:16" x14ac:dyDescent="0.25">
      <c r="C1192" s="614">
        <v>1186</v>
      </c>
      <c r="D1192" s="614">
        <v>10945</v>
      </c>
      <c r="E1192" s="64" t="s">
        <v>1704</v>
      </c>
      <c r="F1192" s="64" t="s">
        <v>6548</v>
      </c>
      <c r="G1192" s="614" t="s">
        <v>35</v>
      </c>
      <c r="H1192" s="614" t="s">
        <v>682</v>
      </c>
      <c r="I1192" s="614" t="s">
        <v>1149</v>
      </c>
      <c r="J1192" s="64" t="s">
        <v>4044</v>
      </c>
      <c r="K1192" s="1940" t="s">
        <v>6549</v>
      </c>
      <c r="L1192" s="1940" t="s">
        <v>8880</v>
      </c>
      <c r="M1192" t="s">
        <v>12262</v>
      </c>
      <c r="N1192" t="s">
        <v>10595</v>
      </c>
      <c r="O1192" t="s">
        <v>6548</v>
      </c>
      <c r="P1192" s="614">
        <f>COUNTIF(EducPlans_кодНАЦИД_Спец[аФакСец],EducPlans_кодНАЦИД_Спец[[#This Row],[аФакСец]])</f>
        <v>1</v>
      </c>
    </row>
    <row r="1193" spans="3:16" x14ac:dyDescent="0.25">
      <c r="C1193" s="614">
        <v>1187</v>
      </c>
      <c r="D1193" s="614">
        <v>10945</v>
      </c>
      <c r="E1193" s="64" t="s">
        <v>1704</v>
      </c>
      <c r="F1193" s="64" t="s">
        <v>6550</v>
      </c>
      <c r="G1193" s="614" t="s">
        <v>35</v>
      </c>
      <c r="H1193" s="614" t="s">
        <v>682</v>
      </c>
      <c r="I1193" s="614" t="s">
        <v>1149</v>
      </c>
      <c r="J1193" s="64" t="s">
        <v>4045</v>
      </c>
      <c r="K1193" s="1940" t="s">
        <v>6549</v>
      </c>
      <c r="L1193" s="1940" t="s">
        <v>8881</v>
      </c>
      <c r="M1193" t="s">
        <v>12263</v>
      </c>
      <c r="N1193" t="s">
        <v>10596</v>
      </c>
      <c r="O1193" t="s">
        <v>6550</v>
      </c>
      <c r="P1193" s="614">
        <f>COUNTIF(EducPlans_кодНАЦИД_Спец[аФакСец],EducPlans_кодНАЦИД_Спец[[#This Row],[аФакСец]])</f>
        <v>1</v>
      </c>
    </row>
    <row r="1194" spans="3:16" x14ac:dyDescent="0.25">
      <c r="C1194" s="614">
        <v>1188</v>
      </c>
      <c r="D1194" s="614">
        <v>10953</v>
      </c>
      <c r="E1194" s="64" t="s">
        <v>1705</v>
      </c>
      <c r="F1194" s="64" t="s">
        <v>6551</v>
      </c>
      <c r="G1194" s="614" t="s">
        <v>35</v>
      </c>
      <c r="H1194" s="614" t="s">
        <v>682</v>
      </c>
      <c r="I1194" s="614" t="s">
        <v>1153</v>
      </c>
      <c r="J1194" s="64" t="s">
        <v>4047</v>
      </c>
      <c r="K1194" s="1940" t="s">
        <v>6552</v>
      </c>
      <c r="L1194" s="1940" t="s">
        <v>8882</v>
      </c>
      <c r="M1194" t="s">
        <v>12264</v>
      </c>
      <c r="N1194" t="s">
        <v>10597</v>
      </c>
      <c r="O1194" t="s">
        <v>6551</v>
      </c>
      <c r="P1194" s="614">
        <f>COUNTIF(EducPlans_кодНАЦИД_Спец[аФакСец],EducPlans_кодНАЦИД_Спец[[#This Row],[аФакСец]])</f>
        <v>2</v>
      </c>
    </row>
    <row r="1195" spans="3:16" x14ac:dyDescent="0.25">
      <c r="C1195" s="614">
        <v>1189</v>
      </c>
      <c r="D1195" s="614">
        <v>10953</v>
      </c>
      <c r="E1195" s="64" t="s">
        <v>1705</v>
      </c>
      <c r="F1195" s="64" t="s">
        <v>6553</v>
      </c>
      <c r="G1195" s="614" t="s">
        <v>35</v>
      </c>
      <c r="H1195" s="614" t="s">
        <v>682</v>
      </c>
      <c r="I1195" s="614" t="s">
        <v>1153</v>
      </c>
      <c r="J1195" s="64" t="s">
        <v>4046</v>
      </c>
      <c r="K1195" s="1940" t="s">
        <v>6552</v>
      </c>
      <c r="L1195" s="1940" t="s">
        <v>8883</v>
      </c>
      <c r="M1195" t="s">
        <v>12265</v>
      </c>
      <c r="N1195" t="s">
        <v>10598</v>
      </c>
      <c r="O1195" t="s">
        <v>6553</v>
      </c>
      <c r="P1195" s="614">
        <f>COUNTIF(EducPlans_кодНАЦИД_Спец[аФакСец],EducPlans_кодНАЦИД_Спец[[#This Row],[аФакСец]])</f>
        <v>2</v>
      </c>
    </row>
    <row r="1196" spans="3:16" x14ac:dyDescent="0.25">
      <c r="C1196" s="614">
        <v>1190</v>
      </c>
      <c r="D1196" s="614">
        <v>10931</v>
      </c>
      <c r="E1196" s="64" t="s">
        <v>1706</v>
      </c>
      <c r="F1196" s="64" t="s">
        <v>6554</v>
      </c>
      <c r="G1196" s="614" t="s">
        <v>35</v>
      </c>
      <c r="H1196" s="614" t="s">
        <v>682</v>
      </c>
      <c r="I1196" s="614" t="s">
        <v>1153</v>
      </c>
      <c r="J1196" s="64" t="s">
        <v>4050</v>
      </c>
      <c r="K1196" s="1940" t="s">
        <v>6555</v>
      </c>
      <c r="L1196" s="1940" t="s">
        <v>8884</v>
      </c>
      <c r="M1196" t="s">
        <v>12266</v>
      </c>
      <c r="N1196" t="s">
        <v>10599</v>
      </c>
      <c r="O1196" t="s">
        <v>6554</v>
      </c>
      <c r="P1196" s="614">
        <f>COUNTIF(EducPlans_кодНАЦИД_Спец[аФакСец],EducPlans_кодНАЦИД_Спец[[#This Row],[аФакСец]])</f>
        <v>1</v>
      </c>
    </row>
    <row r="1197" spans="3:16" x14ac:dyDescent="0.25">
      <c r="C1197" s="614">
        <v>1191</v>
      </c>
      <c r="D1197" s="614">
        <v>10931</v>
      </c>
      <c r="E1197" s="64" t="s">
        <v>1706</v>
      </c>
      <c r="F1197" s="64" t="s">
        <v>6556</v>
      </c>
      <c r="G1197" s="614" t="s">
        <v>35</v>
      </c>
      <c r="H1197" s="614" t="s">
        <v>682</v>
      </c>
      <c r="I1197" s="614" t="s">
        <v>1153</v>
      </c>
      <c r="J1197" s="64" t="s">
        <v>4048</v>
      </c>
      <c r="K1197" s="1940" t="s">
        <v>6555</v>
      </c>
      <c r="L1197" s="1940" t="s">
        <v>8885</v>
      </c>
      <c r="M1197" t="s">
        <v>12267</v>
      </c>
      <c r="N1197" t="s">
        <v>10600</v>
      </c>
      <c r="O1197" t="s">
        <v>6556</v>
      </c>
      <c r="P1197" s="614">
        <f>COUNTIF(EducPlans_кодНАЦИД_Спец[аФакСец],EducPlans_кодНАЦИД_Спец[[#This Row],[аФакСец]])</f>
        <v>1</v>
      </c>
    </row>
    <row r="1198" spans="3:16" x14ac:dyDescent="0.25">
      <c r="C1198" s="614">
        <v>1192</v>
      </c>
      <c r="D1198" s="614">
        <v>10931</v>
      </c>
      <c r="E1198" s="64" t="s">
        <v>1706</v>
      </c>
      <c r="F1198" s="64" t="s">
        <v>6557</v>
      </c>
      <c r="G1198" s="614" t="s">
        <v>35</v>
      </c>
      <c r="H1198" s="614" t="s">
        <v>682</v>
      </c>
      <c r="I1198" s="614" t="s">
        <v>1153</v>
      </c>
      <c r="J1198" s="64" t="s">
        <v>4049</v>
      </c>
      <c r="K1198" s="1940" t="s">
        <v>6555</v>
      </c>
      <c r="L1198" s="1940" t="s">
        <v>8886</v>
      </c>
      <c r="M1198" t="s">
        <v>12268</v>
      </c>
      <c r="N1198" t="s">
        <v>10601</v>
      </c>
      <c r="O1198" t="s">
        <v>6557</v>
      </c>
      <c r="P1198" s="614">
        <f>COUNTIF(EducPlans_кодНАЦИД_Спец[аФакСец],EducPlans_кодНАЦИД_Спец[[#This Row],[аФакСец]])</f>
        <v>1</v>
      </c>
    </row>
    <row r="1199" spans="3:16" x14ac:dyDescent="0.25">
      <c r="C1199" s="614">
        <v>1193</v>
      </c>
      <c r="D1199" s="614">
        <v>12788</v>
      </c>
      <c r="E1199" s="64" t="s">
        <v>1897</v>
      </c>
      <c r="F1199" s="64" t="s">
        <v>6558</v>
      </c>
      <c r="G1199" s="614" t="s">
        <v>626</v>
      </c>
      <c r="H1199" s="614" t="s">
        <v>682</v>
      </c>
      <c r="I1199" s="614" t="s">
        <v>1153</v>
      </c>
      <c r="J1199" s="64" t="s">
        <v>6559</v>
      </c>
      <c r="K1199" s="1940" t="s">
        <v>6560</v>
      </c>
      <c r="L1199" s="1940" t="s">
        <v>8887</v>
      </c>
      <c r="M1199" t="s">
        <v>12269</v>
      </c>
      <c r="N1199" t="s">
        <v>10602</v>
      </c>
      <c r="O1199" t="s">
        <v>6558</v>
      </c>
      <c r="P1199" s="614">
        <f>COUNTIF(EducPlans_кодНАЦИД_Спец[аФакСец],EducPlans_кодНАЦИД_Спец[[#This Row],[аФакСец]])</f>
        <v>1</v>
      </c>
    </row>
    <row r="1200" spans="3:16" x14ac:dyDescent="0.25">
      <c r="C1200" s="614">
        <v>1194</v>
      </c>
      <c r="D1200" s="614">
        <v>1053049</v>
      </c>
      <c r="E1200" s="64" t="s">
        <v>13705</v>
      </c>
      <c r="F1200" s="64" t="s">
        <v>13706</v>
      </c>
      <c r="G1200" s="614" t="s">
        <v>48</v>
      </c>
      <c r="H1200" s="614" t="s">
        <v>682</v>
      </c>
      <c r="I1200" s="614" t="s">
        <v>1153</v>
      </c>
      <c r="J1200" s="64" t="s">
        <v>13707</v>
      </c>
      <c r="K1200" s="1940" t="s">
        <v>13708</v>
      </c>
      <c r="L1200" s="1940" t="s">
        <v>13709</v>
      </c>
      <c r="M1200" t="s">
        <v>13710</v>
      </c>
      <c r="N1200" t="s">
        <v>13711</v>
      </c>
      <c r="O1200" t="s">
        <v>13706</v>
      </c>
      <c r="P1200" s="614">
        <f>COUNTIF(EducPlans_кодНАЦИД_Спец[аФакСец],EducPlans_кодНАЦИД_Спец[[#This Row],[аФакСец]])</f>
        <v>1</v>
      </c>
    </row>
    <row r="1201" spans="3:16" x14ac:dyDescent="0.25">
      <c r="C1201" s="614">
        <v>1195</v>
      </c>
      <c r="D1201" s="614">
        <v>1053049</v>
      </c>
      <c r="E1201" s="64" t="s">
        <v>13705</v>
      </c>
      <c r="F1201" s="64" t="s">
        <v>13712</v>
      </c>
      <c r="G1201" s="614" t="s">
        <v>48</v>
      </c>
      <c r="H1201" s="614" t="s">
        <v>682</v>
      </c>
      <c r="I1201" s="614" t="s">
        <v>1153</v>
      </c>
      <c r="J1201" s="64" t="s">
        <v>13713</v>
      </c>
      <c r="K1201" s="1940" t="s">
        <v>13708</v>
      </c>
      <c r="L1201" s="1940" t="s">
        <v>13714</v>
      </c>
      <c r="M1201" t="s">
        <v>13715</v>
      </c>
      <c r="N1201" t="s">
        <v>13716</v>
      </c>
      <c r="O1201" t="s">
        <v>13712</v>
      </c>
      <c r="P1201" s="614">
        <f>COUNTIF(EducPlans_кодНАЦИД_Спец[аФакСец],EducPlans_кодНАЦИД_Спец[[#This Row],[аФакСец]])</f>
        <v>1</v>
      </c>
    </row>
    <row r="1202" spans="3:16" x14ac:dyDescent="0.25">
      <c r="C1202" s="614">
        <v>1196</v>
      </c>
      <c r="D1202" s="614">
        <v>1053050</v>
      </c>
      <c r="E1202" s="64" t="s">
        <v>13705</v>
      </c>
      <c r="F1202" s="64" t="s">
        <v>13717</v>
      </c>
      <c r="G1202" s="614" t="s">
        <v>48</v>
      </c>
      <c r="H1202" s="614" t="s">
        <v>682</v>
      </c>
      <c r="I1202" s="614" t="s">
        <v>1149</v>
      </c>
      <c r="J1202" s="64" t="s">
        <v>13718</v>
      </c>
      <c r="K1202" s="1940" t="s">
        <v>13719</v>
      </c>
      <c r="L1202" s="1940" t="s">
        <v>13720</v>
      </c>
      <c r="M1202" t="s">
        <v>13721</v>
      </c>
      <c r="N1202" t="s">
        <v>13722</v>
      </c>
      <c r="O1202" t="s">
        <v>13717</v>
      </c>
      <c r="P1202" s="614">
        <f>COUNTIF(EducPlans_кодНАЦИД_Спец[аФакСец],EducPlans_кодНАЦИД_Спец[[#This Row],[аФакСец]])</f>
        <v>1</v>
      </c>
    </row>
    <row r="1203" spans="3:16" x14ac:dyDescent="0.25">
      <c r="C1203" s="614">
        <v>1197</v>
      </c>
      <c r="D1203" s="614">
        <v>1053050</v>
      </c>
      <c r="E1203" s="64" t="s">
        <v>13705</v>
      </c>
      <c r="F1203" s="64" t="s">
        <v>13723</v>
      </c>
      <c r="G1203" s="614" t="s">
        <v>48</v>
      </c>
      <c r="H1203" s="614" t="s">
        <v>682</v>
      </c>
      <c r="I1203" s="614" t="s">
        <v>1149</v>
      </c>
      <c r="J1203" s="64" t="s">
        <v>13724</v>
      </c>
      <c r="K1203" s="1940" t="s">
        <v>13719</v>
      </c>
      <c r="L1203" s="1940" t="s">
        <v>13725</v>
      </c>
      <c r="M1203" t="s">
        <v>13726</v>
      </c>
      <c r="N1203" t="s">
        <v>13727</v>
      </c>
      <c r="O1203" t="s">
        <v>13723</v>
      </c>
      <c r="P1203" s="614">
        <f>COUNTIF(EducPlans_кодНАЦИД_Спец[аФакСец],EducPlans_кодНАЦИД_Спец[[#This Row],[аФакСец]])</f>
        <v>1</v>
      </c>
    </row>
    <row r="1204" spans="3:16" x14ac:dyDescent="0.25">
      <c r="C1204" s="614">
        <v>1198</v>
      </c>
      <c r="D1204" s="614">
        <v>288511</v>
      </c>
      <c r="E1204" s="64" t="s">
        <v>1898</v>
      </c>
      <c r="F1204" s="64" t="s">
        <v>6561</v>
      </c>
      <c r="G1204" s="614" t="s">
        <v>626</v>
      </c>
      <c r="H1204" s="614" t="s">
        <v>682</v>
      </c>
      <c r="I1204" s="614" t="s">
        <v>1153</v>
      </c>
      <c r="J1204" s="64" t="s">
        <v>3366</v>
      </c>
      <c r="K1204" s="1940" t="s">
        <v>6562</v>
      </c>
      <c r="L1204" s="1940" t="s">
        <v>8888</v>
      </c>
      <c r="M1204" t="s">
        <v>12270</v>
      </c>
      <c r="N1204" t="s">
        <v>10603</v>
      </c>
      <c r="O1204" t="s">
        <v>6561</v>
      </c>
      <c r="P1204" s="614">
        <f>COUNTIF(EducPlans_кодНАЦИД_Спец[аФакСец],EducPlans_кодНАЦИД_Спец[[#This Row],[аФакСец]])</f>
        <v>1</v>
      </c>
    </row>
    <row r="1205" spans="3:16" x14ac:dyDescent="0.25">
      <c r="C1205" s="614">
        <v>1199</v>
      </c>
      <c r="D1205" s="614">
        <v>288511</v>
      </c>
      <c r="E1205" s="64" t="s">
        <v>1898</v>
      </c>
      <c r="F1205" s="64" t="s">
        <v>6563</v>
      </c>
      <c r="G1205" s="614" t="s">
        <v>626</v>
      </c>
      <c r="H1205" s="614" t="s">
        <v>682</v>
      </c>
      <c r="I1205" s="614" t="s">
        <v>1153</v>
      </c>
      <c r="J1205" s="64" t="s">
        <v>3365</v>
      </c>
      <c r="K1205" s="1940" t="s">
        <v>6562</v>
      </c>
      <c r="L1205" s="1940" t="s">
        <v>8889</v>
      </c>
      <c r="M1205" t="s">
        <v>12271</v>
      </c>
      <c r="N1205" t="s">
        <v>10604</v>
      </c>
      <c r="O1205" t="s">
        <v>6563</v>
      </c>
      <c r="P1205" s="614">
        <f>COUNTIF(EducPlans_кодНАЦИД_Спец[аФакСец],EducPlans_кодНАЦИД_Спец[[#This Row],[аФакСец]])</f>
        <v>1</v>
      </c>
    </row>
    <row r="1206" spans="3:16" x14ac:dyDescent="0.25">
      <c r="C1206" s="614">
        <v>1200</v>
      </c>
      <c r="D1206" s="614">
        <v>287086</v>
      </c>
      <c r="E1206" s="64" t="s">
        <v>1898</v>
      </c>
      <c r="F1206" s="64" t="s">
        <v>6564</v>
      </c>
      <c r="G1206" s="614" t="s">
        <v>626</v>
      </c>
      <c r="H1206" s="614" t="s">
        <v>682</v>
      </c>
      <c r="I1206" s="614" t="s">
        <v>1149</v>
      </c>
      <c r="J1206" s="64" t="s">
        <v>3362</v>
      </c>
      <c r="K1206" s="1940" t="s">
        <v>6565</v>
      </c>
      <c r="L1206" s="1940" t="s">
        <v>8890</v>
      </c>
      <c r="M1206" t="s">
        <v>12272</v>
      </c>
      <c r="N1206" t="s">
        <v>10605</v>
      </c>
      <c r="O1206" t="s">
        <v>6564</v>
      </c>
      <c r="P1206" s="614">
        <f>COUNTIF(EducPlans_кодНАЦИД_Спец[аФакСец],EducPlans_кодНАЦИД_Спец[[#This Row],[аФакСец]])</f>
        <v>1</v>
      </c>
    </row>
    <row r="1207" spans="3:16" x14ac:dyDescent="0.25">
      <c r="C1207" s="614">
        <v>1201</v>
      </c>
      <c r="D1207" s="614">
        <v>287086</v>
      </c>
      <c r="E1207" s="64" t="s">
        <v>1898</v>
      </c>
      <c r="F1207" s="64" t="s">
        <v>6566</v>
      </c>
      <c r="G1207" s="614" t="s">
        <v>626</v>
      </c>
      <c r="H1207" s="614" t="s">
        <v>682</v>
      </c>
      <c r="I1207" s="614" t="s">
        <v>1149</v>
      </c>
      <c r="J1207" s="64" t="s">
        <v>3363</v>
      </c>
      <c r="K1207" s="1940" t="s">
        <v>6565</v>
      </c>
      <c r="L1207" s="1940" t="s">
        <v>8891</v>
      </c>
      <c r="M1207" t="s">
        <v>12273</v>
      </c>
      <c r="N1207" t="s">
        <v>10606</v>
      </c>
      <c r="O1207" t="s">
        <v>6566</v>
      </c>
      <c r="P1207" s="614">
        <f>COUNTIF(EducPlans_кодНАЦИД_Спец[аФакСец],EducPlans_кодНАЦИД_Спец[[#This Row],[аФакСец]])</f>
        <v>1</v>
      </c>
    </row>
    <row r="1208" spans="3:16" x14ac:dyDescent="0.25">
      <c r="C1208" s="614">
        <v>1202</v>
      </c>
      <c r="D1208" s="614">
        <v>11008</v>
      </c>
      <c r="E1208" s="64" t="s">
        <v>1899</v>
      </c>
      <c r="F1208" s="64" t="s">
        <v>6567</v>
      </c>
      <c r="G1208" s="614" t="s">
        <v>35</v>
      </c>
      <c r="H1208" s="614" t="s">
        <v>682</v>
      </c>
      <c r="I1208" s="614" t="s">
        <v>1153</v>
      </c>
      <c r="J1208" s="64" t="s">
        <v>4051</v>
      </c>
      <c r="K1208" s="1940" t="s">
        <v>6568</v>
      </c>
      <c r="L1208" s="1940" t="s">
        <v>8892</v>
      </c>
      <c r="M1208" t="s">
        <v>12274</v>
      </c>
      <c r="N1208" t="s">
        <v>10607</v>
      </c>
      <c r="O1208" t="s">
        <v>6567</v>
      </c>
      <c r="P1208" s="614">
        <f>COUNTIF(EducPlans_кодНАЦИД_Спец[аФакСец],EducPlans_кодНАЦИД_Спец[[#This Row],[аФакСец]])</f>
        <v>1</v>
      </c>
    </row>
    <row r="1209" spans="3:16" x14ac:dyDescent="0.25">
      <c r="C1209" s="614">
        <v>1203</v>
      </c>
      <c r="D1209" s="614">
        <v>320911</v>
      </c>
      <c r="E1209" s="64" t="s">
        <v>2274</v>
      </c>
      <c r="F1209" s="64" t="s">
        <v>6569</v>
      </c>
      <c r="G1209" s="614" t="s">
        <v>50</v>
      </c>
      <c r="H1209" s="614" t="s">
        <v>682</v>
      </c>
      <c r="I1209" s="614" t="s">
        <v>1153</v>
      </c>
      <c r="J1209" s="64" t="s">
        <v>3012</v>
      </c>
      <c r="K1209" s="1940" t="s">
        <v>6570</v>
      </c>
      <c r="L1209" s="1940" t="s">
        <v>8893</v>
      </c>
      <c r="M1209" t="s">
        <v>12275</v>
      </c>
      <c r="N1209" t="s">
        <v>10608</v>
      </c>
      <c r="O1209" t="s">
        <v>6569</v>
      </c>
      <c r="P1209" s="614">
        <f>COUNTIF(EducPlans_кодНАЦИД_Спец[аФакСец],EducPlans_кодНАЦИД_Спец[[#This Row],[аФакСец]])</f>
        <v>1</v>
      </c>
    </row>
    <row r="1210" spans="3:16" x14ac:dyDescent="0.25">
      <c r="C1210" s="614">
        <v>1204</v>
      </c>
      <c r="D1210" s="614">
        <v>12244</v>
      </c>
      <c r="E1210" s="64" t="s">
        <v>2234</v>
      </c>
      <c r="F1210" s="64" t="s">
        <v>6571</v>
      </c>
      <c r="G1210" s="614" t="s">
        <v>31</v>
      </c>
      <c r="H1210" s="614" t="s">
        <v>682</v>
      </c>
      <c r="I1210" s="614" t="s">
        <v>1153</v>
      </c>
      <c r="J1210" s="64" t="s">
        <v>2964</v>
      </c>
      <c r="K1210" s="1940" t="s">
        <v>6572</v>
      </c>
      <c r="L1210" s="1940" t="s">
        <v>8894</v>
      </c>
      <c r="M1210" t="s">
        <v>12276</v>
      </c>
      <c r="N1210" t="s">
        <v>10609</v>
      </c>
      <c r="O1210" t="s">
        <v>6571</v>
      </c>
      <c r="P1210" s="614">
        <f>COUNTIF(EducPlans_кодНАЦИД_Спец[аФакСец],EducPlans_кодНАЦИД_Спец[[#This Row],[аФакСец]])</f>
        <v>1</v>
      </c>
    </row>
    <row r="1211" spans="3:16" x14ac:dyDescent="0.25">
      <c r="C1211" s="614">
        <v>1205</v>
      </c>
      <c r="D1211" s="614">
        <v>11207</v>
      </c>
      <c r="E1211" s="64" t="s">
        <v>213</v>
      </c>
      <c r="F1211" s="64" t="s">
        <v>6573</v>
      </c>
      <c r="G1211" s="614" t="s">
        <v>39</v>
      </c>
      <c r="H1211" s="614" t="s">
        <v>681</v>
      </c>
      <c r="I1211" s="614" t="s">
        <v>1153</v>
      </c>
      <c r="J1211" s="64" t="s">
        <v>3892</v>
      </c>
      <c r="K1211" s="1940" t="s">
        <v>6574</v>
      </c>
      <c r="L1211" s="1940" t="s">
        <v>8895</v>
      </c>
      <c r="M1211" t="s">
        <v>12277</v>
      </c>
      <c r="N1211" t="s">
        <v>10610</v>
      </c>
      <c r="O1211" t="s">
        <v>6573</v>
      </c>
      <c r="P1211" s="614">
        <f>COUNTIF(EducPlans_кодНАЦИД_Спец[аФакСец],EducPlans_кодНАЦИД_Спец[[#This Row],[аФакСец]])</f>
        <v>1</v>
      </c>
    </row>
    <row r="1212" spans="3:16" x14ac:dyDescent="0.25">
      <c r="C1212" s="614">
        <v>1206</v>
      </c>
      <c r="D1212" s="614">
        <v>11209</v>
      </c>
      <c r="E1212" s="64" t="s">
        <v>213</v>
      </c>
      <c r="F1212" s="64" t="s">
        <v>6575</v>
      </c>
      <c r="G1212" s="614" t="s">
        <v>39</v>
      </c>
      <c r="H1212" s="614" t="s">
        <v>681</v>
      </c>
      <c r="I1212" s="614" t="s">
        <v>1149</v>
      </c>
      <c r="J1212" s="64" t="s">
        <v>3891</v>
      </c>
      <c r="K1212" s="1940" t="s">
        <v>6576</v>
      </c>
      <c r="L1212" s="1940" t="s">
        <v>8896</v>
      </c>
      <c r="M1212" t="s">
        <v>12278</v>
      </c>
      <c r="N1212" t="s">
        <v>10611</v>
      </c>
      <c r="O1212" t="s">
        <v>6575</v>
      </c>
      <c r="P1212" s="614">
        <f>COUNTIF(EducPlans_кодНАЦИД_Спец[аФакСец],EducPlans_кодНАЦИД_Спец[[#This Row],[аФакСец]])</f>
        <v>1</v>
      </c>
    </row>
    <row r="1213" spans="3:16" x14ac:dyDescent="0.25">
      <c r="C1213" s="614">
        <v>1207</v>
      </c>
      <c r="D1213" s="614">
        <v>590470</v>
      </c>
      <c r="E1213" s="64" t="s">
        <v>1212</v>
      </c>
      <c r="F1213" s="64" t="s">
        <v>6577</v>
      </c>
      <c r="G1213" s="614" t="s">
        <v>39</v>
      </c>
      <c r="H1213" s="614" t="s">
        <v>682</v>
      </c>
      <c r="I1213" s="614" t="s">
        <v>1149</v>
      </c>
      <c r="J1213" s="64" t="s">
        <v>6578</v>
      </c>
      <c r="K1213" s="1940" t="s">
        <v>6579</v>
      </c>
      <c r="L1213" s="1940" t="s">
        <v>8897</v>
      </c>
      <c r="M1213" t="s">
        <v>12279</v>
      </c>
      <c r="N1213" t="s">
        <v>10612</v>
      </c>
      <c r="O1213" t="s">
        <v>6577</v>
      </c>
      <c r="P1213" s="614">
        <f>COUNTIF(EducPlans_кодНАЦИД_Спец[аФакСец],EducPlans_кодНАЦИД_Спец[[#This Row],[аФакСец]])</f>
        <v>1</v>
      </c>
    </row>
    <row r="1214" spans="3:16" x14ac:dyDescent="0.25">
      <c r="C1214" s="614">
        <v>1208</v>
      </c>
      <c r="D1214" s="614">
        <v>927674</v>
      </c>
      <c r="E1214" s="64" t="s">
        <v>13728</v>
      </c>
      <c r="F1214" s="64" t="s">
        <v>13729</v>
      </c>
      <c r="G1214" s="614" t="s">
        <v>296</v>
      </c>
      <c r="H1214" s="614" t="s">
        <v>682</v>
      </c>
      <c r="I1214" s="614" t="s">
        <v>1153</v>
      </c>
      <c r="J1214" s="64" t="s">
        <v>13730</v>
      </c>
      <c r="K1214" s="1940" t="s">
        <v>13731</v>
      </c>
      <c r="L1214" s="1940" t="s">
        <v>13732</v>
      </c>
      <c r="M1214" t="s">
        <v>13733</v>
      </c>
      <c r="N1214" t="s">
        <v>13734</v>
      </c>
      <c r="O1214" t="s">
        <v>13729</v>
      </c>
      <c r="P1214" s="614">
        <f>COUNTIF(EducPlans_кодНАЦИД_Спец[аФакСец],EducPlans_кодНАЦИД_Спец[[#This Row],[аФакСец]])</f>
        <v>1</v>
      </c>
    </row>
    <row r="1215" spans="3:16" x14ac:dyDescent="0.25">
      <c r="C1215" s="614">
        <v>1209</v>
      </c>
      <c r="D1215" s="614">
        <v>927675</v>
      </c>
      <c r="E1215" s="64" t="s">
        <v>13728</v>
      </c>
      <c r="F1215" s="64" t="s">
        <v>13735</v>
      </c>
      <c r="G1215" s="614" t="s">
        <v>296</v>
      </c>
      <c r="H1215" s="614" t="s">
        <v>682</v>
      </c>
      <c r="I1215" s="614" t="s">
        <v>1153</v>
      </c>
      <c r="J1215" s="64" t="s">
        <v>13736</v>
      </c>
      <c r="K1215" s="1940" t="s">
        <v>13731</v>
      </c>
      <c r="L1215" s="1940" t="s">
        <v>13737</v>
      </c>
      <c r="M1215" t="s">
        <v>13738</v>
      </c>
      <c r="N1215" t="s">
        <v>13739</v>
      </c>
      <c r="O1215" t="s">
        <v>13735</v>
      </c>
      <c r="P1215" s="614">
        <f>COUNTIF(EducPlans_кодНАЦИД_Спец[аФакСец],EducPlans_кодНАЦИД_Спец[[#This Row],[аФакСец]])</f>
        <v>1</v>
      </c>
    </row>
    <row r="1216" spans="3:16" x14ac:dyDescent="0.25">
      <c r="C1216" s="614">
        <v>1210</v>
      </c>
      <c r="D1216" s="614">
        <v>12716</v>
      </c>
      <c r="E1216" s="64" t="s">
        <v>1313</v>
      </c>
      <c r="F1216" s="64" t="s">
        <v>6580</v>
      </c>
      <c r="G1216" s="614" t="s">
        <v>296</v>
      </c>
      <c r="H1216" s="614" t="s">
        <v>682</v>
      </c>
      <c r="I1216" s="614" t="s">
        <v>1153</v>
      </c>
      <c r="J1216" s="64" t="s">
        <v>3818</v>
      </c>
      <c r="K1216" s="1940" t="s">
        <v>6581</v>
      </c>
      <c r="L1216" s="1940" t="s">
        <v>8898</v>
      </c>
      <c r="M1216" t="s">
        <v>12280</v>
      </c>
      <c r="N1216" t="s">
        <v>10613</v>
      </c>
      <c r="O1216" t="s">
        <v>6580</v>
      </c>
      <c r="P1216" s="614">
        <f>COUNTIF(EducPlans_кодНАЦИД_Спец[аФакСец],EducPlans_кодНАЦИД_Спец[[#This Row],[аФакСец]])</f>
        <v>1</v>
      </c>
    </row>
    <row r="1217" spans="3:16" x14ac:dyDescent="0.25">
      <c r="C1217" s="614">
        <v>1211</v>
      </c>
      <c r="D1217" s="614">
        <v>12716</v>
      </c>
      <c r="E1217" s="64" t="s">
        <v>1313</v>
      </c>
      <c r="F1217" s="64" t="s">
        <v>6582</v>
      </c>
      <c r="G1217" s="614" t="s">
        <v>296</v>
      </c>
      <c r="H1217" s="614" t="s">
        <v>682</v>
      </c>
      <c r="I1217" s="614" t="s">
        <v>1153</v>
      </c>
      <c r="J1217" s="64" t="s">
        <v>3816</v>
      </c>
      <c r="K1217" s="1940" t="s">
        <v>6581</v>
      </c>
      <c r="L1217" s="1940" t="s">
        <v>8899</v>
      </c>
      <c r="M1217" t="s">
        <v>12281</v>
      </c>
      <c r="N1217" t="s">
        <v>10614</v>
      </c>
      <c r="O1217" t="s">
        <v>6582</v>
      </c>
      <c r="P1217" s="614">
        <f>COUNTIF(EducPlans_кодНАЦИД_Спец[аФакСец],EducPlans_кодНАЦИД_Спец[[#This Row],[аФакСец]])</f>
        <v>1</v>
      </c>
    </row>
    <row r="1218" spans="3:16" x14ac:dyDescent="0.25">
      <c r="C1218" s="614">
        <v>1212</v>
      </c>
      <c r="D1218" s="614">
        <v>12720</v>
      </c>
      <c r="E1218" s="64" t="s">
        <v>1313</v>
      </c>
      <c r="F1218" s="64" t="s">
        <v>6583</v>
      </c>
      <c r="G1218" s="614" t="s">
        <v>296</v>
      </c>
      <c r="H1218" s="614" t="s">
        <v>682</v>
      </c>
      <c r="I1218" s="614" t="s">
        <v>1153</v>
      </c>
      <c r="J1218" s="64" t="s">
        <v>3817</v>
      </c>
      <c r="K1218" s="1940" t="s">
        <v>6584</v>
      </c>
      <c r="L1218" s="1940" t="s">
        <v>8900</v>
      </c>
      <c r="M1218" t="s">
        <v>12282</v>
      </c>
      <c r="N1218" t="s">
        <v>10615</v>
      </c>
      <c r="O1218" t="s">
        <v>6583</v>
      </c>
      <c r="P1218" s="614">
        <f>COUNTIF(EducPlans_кодНАЦИД_Спец[аФакСец],EducPlans_кодНАЦИД_Спец[[#This Row],[аФакСец]])</f>
        <v>1</v>
      </c>
    </row>
    <row r="1219" spans="3:16" x14ac:dyDescent="0.25">
      <c r="C1219" s="614">
        <v>1213</v>
      </c>
      <c r="D1219" s="614">
        <v>11248</v>
      </c>
      <c r="E1219" s="64" t="s">
        <v>1213</v>
      </c>
      <c r="F1219" s="64" t="s">
        <v>6585</v>
      </c>
      <c r="G1219" s="614" t="s">
        <v>39</v>
      </c>
      <c r="H1219" s="614" t="s">
        <v>682</v>
      </c>
      <c r="I1219" s="614" t="s">
        <v>1153</v>
      </c>
      <c r="J1219" s="64" t="s">
        <v>3895</v>
      </c>
      <c r="K1219" s="1940" t="s">
        <v>6586</v>
      </c>
      <c r="L1219" s="1940" t="s">
        <v>8901</v>
      </c>
      <c r="M1219" t="s">
        <v>12283</v>
      </c>
      <c r="N1219" t="s">
        <v>10616</v>
      </c>
      <c r="O1219" t="s">
        <v>6585</v>
      </c>
      <c r="P1219" s="614">
        <f>COUNTIF(EducPlans_кодНАЦИД_Спец[аФакСец],EducPlans_кодНАЦИД_Спец[[#This Row],[аФакСец]])</f>
        <v>1</v>
      </c>
    </row>
    <row r="1220" spans="3:16" x14ac:dyDescent="0.25">
      <c r="C1220" s="614">
        <v>1214</v>
      </c>
      <c r="D1220" s="614">
        <v>11252</v>
      </c>
      <c r="E1220" s="64" t="s">
        <v>1213</v>
      </c>
      <c r="F1220" s="64" t="s">
        <v>6587</v>
      </c>
      <c r="G1220" s="614" t="s">
        <v>39</v>
      </c>
      <c r="H1220" s="614" t="s">
        <v>682</v>
      </c>
      <c r="I1220" s="614" t="s">
        <v>1153</v>
      </c>
      <c r="J1220" s="64" t="s">
        <v>3896</v>
      </c>
      <c r="K1220" s="1940" t="s">
        <v>6588</v>
      </c>
      <c r="L1220" s="1940" t="s">
        <v>8902</v>
      </c>
      <c r="M1220" t="s">
        <v>12284</v>
      </c>
      <c r="N1220" t="s">
        <v>10617</v>
      </c>
      <c r="O1220" t="s">
        <v>6587</v>
      </c>
      <c r="P1220" s="614">
        <f>COUNTIF(EducPlans_кодНАЦИД_Спец[аФакСец],EducPlans_кодНАЦИД_Спец[[#This Row],[аФакСец]])</f>
        <v>1</v>
      </c>
    </row>
    <row r="1221" spans="3:16" x14ac:dyDescent="0.25">
      <c r="C1221" s="614">
        <v>1215</v>
      </c>
      <c r="D1221" s="614">
        <v>11250</v>
      </c>
      <c r="E1221" s="64" t="s">
        <v>1213</v>
      </c>
      <c r="F1221" s="64" t="s">
        <v>6589</v>
      </c>
      <c r="G1221" s="614" t="s">
        <v>39</v>
      </c>
      <c r="H1221" s="614" t="s">
        <v>682</v>
      </c>
      <c r="I1221" s="614" t="s">
        <v>1149</v>
      </c>
      <c r="J1221" s="64" t="s">
        <v>3894</v>
      </c>
      <c r="K1221" s="1940" t="s">
        <v>6590</v>
      </c>
      <c r="L1221" s="1940" t="s">
        <v>8903</v>
      </c>
      <c r="M1221" t="s">
        <v>12285</v>
      </c>
      <c r="N1221" t="s">
        <v>10618</v>
      </c>
      <c r="O1221" t="s">
        <v>6589</v>
      </c>
      <c r="P1221" s="614">
        <f>COUNTIF(EducPlans_кодНАЦИД_Спец[аФакСец],EducPlans_кодНАЦИД_Спец[[#This Row],[аФакСец]])</f>
        <v>1</v>
      </c>
    </row>
    <row r="1222" spans="3:16" x14ac:dyDescent="0.25">
      <c r="C1222" s="614">
        <v>1216</v>
      </c>
      <c r="D1222" s="614">
        <v>11254</v>
      </c>
      <c r="E1222" s="64" t="s">
        <v>1213</v>
      </c>
      <c r="F1222" s="64" t="s">
        <v>6591</v>
      </c>
      <c r="G1222" s="614" t="s">
        <v>39</v>
      </c>
      <c r="H1222" s="614" t="s">
        <v>682</v>
      </c>
      <c r="I1222" s="614" t="s">
        <v>1149</v>
      </c>
      <c r="J1222" s="64" t="s">
        <v>3893</v>
      </c>
      <c r="K1222" s="1940" t="s">
        <v>6592</v>
      </c>
      <c r="L1222" s="1940" t="s">
        <v>8904</v>
      </c>
      <c r="M1222" t="s">
        <v>12286</v>
      </c>
      <c r="N1222" t="s">
        <v>10619</v>
      </c>
      <c r="O1222" t="s">
        <v>6591</v>
      </c>
      <c r="P1222" s="614">
        <f>COUNTIF(EducPlans_кодНАЦИД_Спец[аФакСец],EducPlans_кодНАЦИД_Спец[[#This Row],[аФакСец]])</f>
        <v>1</v>
      </c>
    </row>
    <row r="1223" spans="3:16" x14ac:dyDescent="0.25">
      <c r="C1223" s="614">
        <v>1217</v>
      </c>
      <c r="D1223" s="614">
        <v>278415</v>
      </c>
      <c r="E1223" s="64" t="s">
        <v>1214</v>
      </c>
      <c r="F1223" s="64" t="s">
        <v>6593</v>
      </c>
      <c r="G1223" s="614" t="s">
        <v>296</v>
      </c>
      <c r="H1223" s="614" t="s">
        <v>682</v>
      </c>
      <c r="I1223" s="614" t="s">
        <v>1153</v>
      </c>
      <c r="J1223" s="64" t="s">
        <v>3819</v>
      </c>
      <c r="K1223" s="1940" t="s">
        <v>6594</v>
      </c>
      <c r="L1223" s="1940" t="s">
        <v>8905</v>
      </c>
      <c r="M1223" t="s">
        <v>12287</v>
      </c>
      <c r="N1223" t="s">
        <v>10620</v>
      </c>
      <c r="O1223" t="s">
        <v>6593</v>
      </c>
      <c r="P1223" s="614">
        <f>COUNTIF(EducPlans_кодНАЦИД_Спец[аФакСец],EducPlans_кодНАЦИД_Спец[[#This Row],[аФакСец]])</f>
        <v>1</v>
      </c>
    </row>
    <row r="1224" spans="3:16" x14ac:dyDescent="0.25">
      <c r="C1224" s="614">
        <v>1218</v>
      </c>
      <c r="D1224" s="614">
        <v>12694</v>
      </c>
      <c r="E1224" s="64" t="s">
        <v>1218</v>
      </c>
      <c r="F1224" s="64" t="s">
        <v>6595</v>
      </c>
      <c r="G1224" s="614" t="s">
        <v>296</v>
      </c>
      <c r="H1224" s="614" t="s">
        <v>682</v>
      </c>
      <c r="I1224" s="614" t="s">
        <v>1153</v>
      </c>
      <c r="J1224" s="64" t="s">
        <v>6596</v>
      </c>
      <c r="K1224" s="1940" t="s">
        <v>6597</v>
      </c>
      <c r="L1224" s="1940" t="s">
        <v>8906</v>
      </c>
      <c r="M1224" t="s">
        <v>12288</v>
      </c>
      <c r="N1224" t="s">
        <v>10621</v>
      </c>
      <c r="O1224" t="s">
        <v>6595</v>
      </c>
      <c r="P1224" s="614">
        <f>COUNTIF(EducPlans_кодНАЦИД_Спец[аФакСец],EducPlans_кодНАЦИД_Спец[[#This Row],[аФакСец]])</f>
        <v>1</v>
      </c>
    </row>
    <row r="1225" spans="3:16" x14ac:dyDescent="0.25">
      <c r="C1225" s="614">
        <v>1219</v>
      </c>
      <c r="D1225" s="614">
        <v>12695</v>
      </c>
      <c r="E1225" s="64" t="s">
        <v>1218</v>
      </c>
      <c r="F1225" s="64" t="s">
        <v>6598</v>
      </c>
      <c r="G1225" s="614" t="s">
        <v>296</v>
      </c>
      <c r="H1225" s="614" t="s">
        <v>682</v>
      </c>
      <c r="I1225" s="614" t="s">
        <v>1149</v>
      </c>
      <c r="J1225" s="64" t="s">
        <v>6599</v>
      </c>
      <c r="K1225" s="1940" t="s">
        <v>6600</v>
      </c>
      <c r="L1225" s="1940" t="s">
        <v>8907</v>
      </c>
      <c r="M1225" t="s">
        <v>12289</v>
      </c>
      <c r="N1225" t="s">
        <v>10622</v>
      </c>
      <c r="O1225" t="s">
        <v>6598</v>
      </c>
      <c r="P1225" s="614">
        <f>COUNTIF(EducPlans_кодНАЦИД_Спец[аФакСец],EducPlans_кодНАЦИД_Спец[[#This Row],[аФакСец]])</f>
        <v>1</v>
      </c>
    </row>
    <row r="1226" spans="3:16" x14ac:dyDescent="0.25">
      <c r="C1226" s="614">
        <v>1220</v>
      </c>
      <c r="D1226" s="614">
        <v>12695</v>
      </c>
      <c r="E1226" s="64" t="s">
        <v>1218</v>
      </c>
      <c r="F1226" s="64" t="s">
        <v>6601</v>
      </c>
      <c r="G1226" s="614" t="s">
        <v>296</v>
      </c>
      <c r="H1226" s="614" t="s">
        <v>682</v>
      </c>
      <c r="I1226" s="614" t="s">
        <v>1149</v>
      </c>
      <c r="J1226" s="64" t="s">
        <v>6602</v>
      </c>
      <c r="K1226" s="1940" t="s">
        <v>6600</v>
      </c>
      <c r="L1226" s="1940" t="s">
        <v>8908</v>
      </c>
      <c r="M1226" t="s">
        <v>12290</v>
      </c>
      <c r="N1226" t="s">
        <v>10623</v>
      </c>
      <c r="O1226" t="s">
        <v>6601</v>
      </c>
      <c r="P1226" s="614">
        <f>COUNTIF(EducPlans_кодНАЦИД_Спец[аФакСец],EducPlans_кодНАЦИД_Спец[[#This Row],[аФакСец]])</f>
        <v>1</v>
      </c>
    </row>
    <row r="1227" spans="3:16" x14ac:dyDescent="0.25">
      <c r="C1227" s="614">
        <v>1221</v>
      </c>
      <c r="D1227" s="614">
        <v>12695</v>
      </c>
      <c r="E1227" s="64" t="s">
        <v>1218</v>
      </c>
      <c r="F1227" s="64" t="s">
        <v>6603</v>
      </c>
      <c r="G1227" s="614" t="s">
        <v>296</v>
      </c>
      <c r="H1227" s="614" t="s">
        <v>682</v>
      </c>
      <c r="I1227" s="614" t="s">
        <v>1149</v>
      </c>
      <c r="J1227" s="64" t="s">
        <v>6604</v>
      </c>
      <c r="K1227" s="1940" t="s">
        <v>6600</v>
      </c>
      <c r="L1227" s="1940" t="s">
        <v>8909</v>
      </c>
      <c r="M1227" t="s">
        <v>12291</v>
      </c>
      <c r="N1227" t="s">
        <v>10624</v>
      </c>
      <c r="O1227" t="s">
        <v>6603</v>
      </c>
      <c r="P1227" s="614">
        <f>COUNTIF(EducPlans_кодНАЦИД_Спец[аФакСец],EducPlans_кодНАЦИД_Спец[[#This Row],[аФакСец]])</f>
        <v>1</v>
      </c>
    </row>
    <row r="1228" spans="3:16" x14ac:dyDescent="0.25">
      <c r="C1228" s="614">
        <v>1222</v>
      </c>
      <c r="D1228" s="614">
        <v>583248</v>
      </c>
      <c r="E1228" s="64" t="s">
        <v>1218</v>
      </c>
      <c r="F1228" s="64" t="s">
        <v>6605</v>
      </c>
      <c r="G1228" s="614" t="s">
        <v>296</v>
      </c>
      <c r="H1228" s="614" t="s">
        <v>682</v>
      </c>
      <c r="I1228" s="614" t="s">
        <v>1149</v>
      </c>
      <c r="J1228" s="64" t="s">
        <v>6606</v>
      </c>
      <c r="K1228" s="1940" t="s">
        <v>6607</v>
      </c>
      <c r="L1228" s="1940" t="s">
        <v>8910</v>
      </c>
      <c r="M1228" t="s">
        <v>12292</v>
      </c>
      <c r="N1228" t="s">
        <v>10625</v>
      </c>
      <c r="O1228" t="s">
        <v>6605</v>
      </c>
      <c r="P1228" s="614">
        <f>COUNTIF(EducPlans_кодНАЦИД_Спец[аФакСец],EducPlans_кодНАЦИД_Спец[[#This Row],[аФакСец]])</f>
        <v>1</v>
      </c>
    </row>
    <row r="1229" spans="3:16" x14ac:dyDescent="0.25">
      <c r="C1229" s="614">
        <v>1223</v>
      </c>
      <c r="D1229" s="614">
        <v>583248</v>
      </c>
      <c r="E1229" s="64" t="s">
        <v>1218</v>
      </c>
      <c r="F1229" s="64" t="s">
        <v>6608</v>
      </c>
      <c r="G1229" s="614" t="s">
        <v>296</v>
      </c>
      <c r="H1229" s="614" t="s">
        <v>682</v>
      </c>
      <c r="I1229" s="614" t="s">
        <v>1149</v>
      </c>
      <c r="J1229" s="64" t="s">
        <v>6609</v>
      </c>
      <c r="K1229" s="1940" t="s">
        <v>6607</v>
      </c>
      <c r="L1229" s="1940" t="s">
        <v>8911</v>
      </c>
      <c r="M1229" t="s">
        <v>12293</v>
      </c>
      <c r="N1229" t="s">
        <v>10626</v>
      </c>
      <c r="O1229" t="s">
        <v>6608</v>
      </c>
      <c r="P1229" s="614">
        <f>COUNTIF(EducPlans_кодНАЦИД_Спец[аФакСец],EducPlans_кодНАЦИД_Спец[[#This Row],[аФакСец]])</f>
        <v>1</v>
      </c>
    </row>
    <row r="1230" spans="3:16" x14ac:dyDescent="0.25">
      <c r="C1230" s="614">
        <v>1224</v>
      </c>
      <c r="D1230" s="614">
        <v>583248</v>
      </c>
      <c r="E1230" s="64" t="s">
        <v>1218</v>
      </c>
      <c r="F1230" s="64" t="s">
        <v>6610</v>
      </c>
      <c r="G1230" s="614" t="s">
        <v>296</v>
      </c>
      <c r="H1230" s="614" t="s">
        <v>682</v>
      </c>
      <c r="I1230" s="614" t="s">
        <v>1149</v>
      </c>
      <c r="J1230" s="64" t="s">
        <v>6611</v>
      </c>
      <c r="K1230" s="1940" t="s">
        <v>6607</v>
      </c>
      <c r="L1230" s="1940" t="s">
        <v>8912</v>
      </c>
      <c r="M1230" t="s">
        <v>12294</v>
      </c>
      <c r="N1230" t="s">
        <v>10627</v>
      </c>
      <c r="O1230" t="s">
        <v>6610</v>
      </c>
      <c r="P1230" s="614">
        <f>COUNTIF(EducPlans_кодНАЦИД_Спец[аФакСец],EducPlans_кодНАЦИД_Спец[[#This Row],[аФакСец]])</f>
        <v>1</v>
      </c>
    </row>
    <row r="1231" spans="3:16" x14ac:dyDescent="0.25">
      <c r="C1231" s="614">
        <v>1225</v>
      </c>
      <c r="D1231" s="614">
        <v>12619</v>
      </c>
      <c r="E1231" s="64" t="s">
        <v>1219</v>
      </c>
      <c r="F1231" s="64" t="s">
        <v>6612</v>
      </c>
      <c r="G1231" s="614" t="s">
        <v>296</v>
      </c>
      <c r="H1231" s="614" t="s">
        <v>682</v>
      </c>
      <c r="I1231" s="614" t="s">
        <v>1149</v>
      </c>
      <c r="J1231" s="64" t="s">
        <v>3820</v>
      </c>
      <c r="K1231" s="1940" t="s">
        <v>6613</v>
      </c>
      <c r="L1231" s="1940" t="s">
        <v>8913</v>
      </c>
      <c r="M1231" t="s">
        <v>12295</v>
      </c>
      <c r="N1231" t="s">
        <v>10628</v>
      </c>
      <c r="O1231" t="s">
        <v>6612</v>
      </c>
      <c r="P1231" s="614">
        <f>COUNTIF(EducPlans_кодНАЦИД_Спец[аФакСец],EducPlans_кодНАЦИД_Спец[[#This Row],[аФакСец]])</f>
        <v>1</v>
      </c>
    </row>
    <row r="1232" spans="3:16" x14ac:dyDescent="0.25">
      <c r="C1232" s="614">
        <v>1226</v>
      </c>
      <c r="D1232" s="614">
        <v>12619</v>
      </c>
      <c r="E1232" s="64" t="s">
        <v>1219</v>
      </c>
      <c r="F1232" s="64" t="s">
        <v>6614</v>
      </c>
      <c r="G1232" s="614" t="s">
        <v>296</v>
      </c>
      <c r="H1232" s="614" t="s">
        <v>682</v>
      </c>
      <c r="I1232" s="614" t="s">
        <v>1149</v>
      </c>
      <c r="J1232" s="64" t="s">
        <v>4578</v>
      </c>
      <c r="K1232" s="1940" t="s">
        <v>6613</v>
      </c>
      <c r="L1232" s="1940" t="s">
        <v>8914</v>
      </c>
      <c r="M1232" t="s">
        <v>12296</v>
      </c>
      <c r="N1232" t="s">
        <v>10629</v>
      </c>
      <c r="O1232" t="s">
        <v>6614</v>
      </c>
      <c r="P1232" s="614">
        <f>COUNTIF(EducPlans_кодНАЦИД_Спец[аФакСец],EducPlans_кодНАЦИД_Спец[[#This Row],[аФакСец]])</f>
        <v>1</v>
      </c>
    </row>
    <row r="1233" spans="3:16" x14ac:dyDescent="0.25">
      <c r="C1233" s="614">
        <v>1227</v>
      </c>
      <c r="D1233" s="614">
        <v>12592</v>
      </c>
      <c r="E1233" s="64" t="s">
        <v>1220</v>
      </c>
      <c r="F1233" s="64" t="s">
        <v>6615</v>
      </c>
      <c r="G1233" s="614" t="s">
        <v>296</v>
      </c>
      <c r="H1233" s="614" t="s">
        <v>681</v>
      </c>
      <c r="I1233" s="614" t="s">
        <v>1153</v>
      </c>
      <c r="J1233" s="64" t="s">
        <v>3823</v>
      </c>
      <c r="K1233" s="1940" t="s">
        <v>6616</v>
      </c>
      <c r="L1233" s="1940" t="s">
        <v>8915</v>
      </c>
      <c r="M1233" t="s">
        <v>12297</v>
      </c>
      <c r="N1233" t="s">
        <v>10630</v>
      </c>
      <c r="O1233" t="s">
        <v>6615</v>
      </c>
      <c r="P1233" s="614">
        <f>COUNTIF(EducPlans_кодНАЦИД_Спец[аФакСец],EducPlans_кодНАЦИД_Спец[[#This Row],[аФакСец]])</f>
        <v>1</v>
      </c>
    </row>
    <row r="1234" spans="3:16" x14ac:dyDescent="0.25">
      <c r="C1234" s="614">
        <v>1228</v>
      </c>
      <c r="D1234" s="614">
        <v>12671</v>
      </c>
      <c r="E1234" s="64" t="s">
        <v>1220</v>
      </c>
      <c r="F1234" s="64" t="s">
        <v>6617</v>
      </c>
      <c r="G1234" s="614" t="s">
        <v>296</v>
      </c>
      <c r="H1234" s="614" t="s">
        <v>682</v>
      </c>
      <c r="I1234" s="614" t="s">
        <v>1153</v>
      </c>
      <c r="J1234" s="64" t="s">
        <v>6618</v>
      </c>
      <c r="K1234" s="1940" t="s">
        <v>6619</v>
      </c>
      <c r="L1234" s="1940" t="s">
        <v>8916</v>
      </c>
      <c r="M1234" t="s">
        <v>12298</v>
      </c>
      <c r="N1234" t="s">
        <v>10631</v>
      </c>
      <c r="O1234" t="s">
        <v>6617</v>
      </c>
      <c r="P1234" s="614">
        <f>COUNTIF(EducPlans_кодНАЦИД_Спец[аФакСец],EducPlans_кодНАЦИД_Спец[[#This Row],[аФакСец]])</f>
        <v>1</v>
      </c>
    </row>
    <row r="1235" spans="3:16" x14ac:dyDescent="0.25">
      <c r="C1235" s="614">
        <v>1229</v>
      </c>
      <c r="D1235" s="614">
        <v>12672</v>
      </c>
      <c r="E1235" s="64" t="s">
        <v>1220</v>
      </c>
      <c r="F1235" s="64" t="s">
        <v>6620</v>
      </c>
      <c r="G1235" s="614" t="s">
        <v>296</v>
      </c>
      <c r="H1235" s="614" t="s">
        <v>682</v>
      </c>
      <c r="I1235" s="614" t="s">
        <v>1149</v>
      </c>
      <c r="J1235" s="64" t="s">
        <v>3821</v>
      </c>
      <c r="K1235" s="1940" t="s">
        <v>6621</v>
      </c>
      <c r="L1235" s="1940" t="s">
        <v>8917</v>
      </c>
      <c r="M1235" t="s">
        <v>12299</v>
      </c>
      <c r="N1235" t="s">
        <v>10632</v>
      </c>
      <c r="O1235" t="s">
        <v>6620</v>
      </c>
      <c r="P1235" s="614">
        <f>COUNTIF(EducPlans_кодНАЦИД_Спец[аФакСец],EducPlans_кодНАЦИД_Спец[[#This Row],[аФакСец]])</f>
        <v>1</v>
      </c>
    </row>
    <row r="1236" spans="3:16" x14ac:dyDescent="0.25">
      <c r="C1236" s="614">
        <v>1230</v>
      </c>
      <c r="D1236" s="614">
        <v>12672</v>
      </c>
      <c r="E1236" s="64" t="s">
        <v>1220</v>
      </c>
      <c r="F1236" s="64" t="s">
        <v>6622</v>
      </c>
      <c r="G1236" s="614" t="s">
        <v>296</v>
      </c>
      <c r="H1236" s="614" t="s">
        <v>682</v>
      </c>
      <c r="I1236" s="614" t="s">
        <v>1149</v>
      </c>
      <c r="J1236" s="64" t="s">
        <v>3822</v>
      </c>
      <c r="K1236" s="1940" t="s">
        <v>6621</v>
      </c>
      <c r="L1236" s="1940" t="s">
        <v>8918</v>
      </c>
      <c r="M1236" t="s">
        <v>12300</v>
      </c>
      <c r="N1236" t="s">
        <v>10633</v>
      </c>
      <c r="O1236" t="s">
        <v>6622</v>
      </c>
      <c r="P1236" s="614">
        <f>COUNTIF(EducPlans_кодНАЦИД_Спец[аФакСец],EducPlans_кодНАЦИД_Спец[[#This Row],[аФакСец]])</f>
        <v>1</v>
      </c>
    </row>
    <row r="1237" spans="3:16" x14ac:dyDescent="0.25">
      <c r="C1237" s="614">
        <v>1231</v>
      </c>
      <c r="D1237" s="614">
        <v>12627</v>
      </c>
      <c r="E1237" s="64" t="s">
        <v>1221</v>
      </c>
      <c r="F1237" s="64" t="s">
        <v>6623</v>
      </c>
      <c r="G1237" s="614" t="s">
        <v>296</v>
      </c>
      <c r="H1237" s="614" t="s">
        <v>681</v>
      </c>
      <c r="I1237" s="614" t="s">
        <v>1153</v>
      </c>
      <c r="J1237" s="64" t="s">
        <v>3824</v>
      </c>
      <c r="K1237" s="1940" t="s">
        <v>6624</v>
      </c>
      <c r="L1237" s="1940" t="s">
        <v>8919</v>
      </c>
      <c r="M1237" t="s">
        <v>12301</v>
      </c>
      <c r="N1237" t="s">
        <v>10634</v>
      </c>
      <c r="O1237" t="s">
        <v>6623</v>
      </c>
      <c r="P1237" s="614">
        <f>COUNTIF(EducPlans_кодНАЦИД_Спец[аФакСец],EducPlans_кодНАЦИД_Спец[[#This Row],[аФакСец]])</f>
        <v>1</v>
      </c>
    </row>
    <row r="1238" spans="3:16" x14ac:dyDescent="0.25">
      <c r="C1238" s="614">
        <v>1232</v>
      </c>
      <c r="D1238" s="614">
        <v>12627</v>
      </c>
      <c r="E1238" s="64" t="s">
        <v>1221</v>
      </c>
      <c r="F1238" s="64" t="s">
        <v>6625</v>
      </c>
      <c r="G1238" s="614" t="s">
        <v>296</v>
      </c>
      <c r="H1238" s="614" t="s">
        <v>681</v>
      </c>
      <c r="I1238" s="614" t="s">
        <v>1153</v>
      </c>
      <c r="J1238" s="64" t="s">
        <v>3825</v>
      </c>
      <c r="K1238" s="1940" t="s">
        <v>6624</v>
      </c>
      <c r="L1238" s="1940" t="s">
        <v>8920</v>
      </c>
      <c r="M1238" t="s">
        <v>12302</v>
      </c>
      <c r="N1238" t="s">
        <v>10635</v>
      </c>
      <c r="O1238" t="s">
        <v>6625</v>
      </c>
      <c r="P1238" s="614">
        <f>COUNTIF(EducPlans_кодНАЦИД_Спец[аФакСец],EducPlans_кодНАЦИД_Спец[[#This Row],[аФакСец]])</f>
        <v>1</v>
      </c>
    </row>
    <row r="1239" spans="3:16" x14ac:dyDescent="0.25">
      <c r="C1239" s="614">
        <v>1233</v>
      </c>
      <c r="D1239" s="614">
        <v>549817</v>
      </c>
      <c r="E1239" s="64" t="s">
        <v>13740</v>
      </c>
      <c r="F1239" s="64" t="s">
        <v>6627</v>
      </c>
      <c r="G1239" s="614" t="s">
        <v>50</v>
      </c>
      <c r="H1239" s="614" t="s">
        <v>682</v>
      </c>
      <c r="I1239" s="614" t="s">
        <v>1153</v>
      </c>
      <c r="J1239" s="64" t="s">
        <v>6628</v>
      </c>
      <c r="K1239" s="1940" t="s">
        <v>6629</v>
      </c>
      <c r="L1239" s="1940" t="s">
        <v>8921</v>
      </c>
      <c r="M1239" t="s">
        <v>13741</v>
      </c>
      <c r="N1239" t="s">
        <v>10636</v>
      </c>
      <c r="O1239" t="s">
        <v>6627</v>
      </c>
      <c r="P1239" s="614">
        <f>COUNTIF(EducPlans_кодНАЦИД_Спец[аФакСец],EducPlans_кодНАЦИД_Спец[[#This Row],[аФакСец]])</f>
        <v>1</v>
      </c>
    </row>
    <row r="1240" spans="3:16" x14ac:dyDescent="0.25">
      <c r="C1240" s="614">
        <v>1234</v>
      </c>
      <c r="D1240" s="614">
        <v>960672</v>
      </c>
      <c r="E1240" s="64" t="s">
        <v>13740</v>
      </c>
      <c r="F1240" s="64" t="s">
        <v>13742</v>
      </c>
      <c r="G1240" s="614" t="s">
        <v>50</v>
      </c>
      <c r="H1240" s="614" t="s">
        <v>682</v>
      </c>
      <c r="I1240" s="614" t="s">
        <v>1153</v>
      </c>
      <c r="J1240" s="64" t="s">
        <v>13743</v>
      </c>
      <c r="K1240" s="1940" t="s">
        <v>6629</v>
      </c>
      <c r="L1240" s="1940" t="s">
        <v>13744</v>
      </c>
      <c r="M1240" t="s">
        <v>13745</v>
      </c>
      <c r="N1240" t="s">
        <v>13746</v>
      </c>
      <c r="O1240" t="s">
        <v>13742</v>
      </c>
      <c r="P1240" s="614">
        <f>COUNTIF(EducPlans_кодНАЦИД_Спец[аФакСец],EducPlans_кодНАЦИД_Спец[[#This Row],[аФакСец]])</f>
        <v>1</v>
      </c>
    </row>
    <row r="1241" spans="3:16" x14ac:dyDescent="0.25">
      <c r="C1241" s="614">
        <v>1235</v>
      </c>
      <c r="D1241" s="614">
        <v>12049</v>
      </c>
      <c r="E1241" s="64" t="s">
        <v>1336</v>
      </c>
      <c r="F1241" s="64" t="s">
        <v>6630</v>
      </c>
      <c r="G1241" s="614" t="s">
        <v>29</v>
      </c>
      <c r="H1241" s="614" t="s">
        <v>681</v>
      </c>
      <c r="I1241" s="614" t="s">
        <v>1153</v>
      </c>
      <c r="J1241" s="64" t="s">
        <v>6631</v>
      </c>
      <c r="K1241" s="1940" t="s">
        <v>6632</v>
      </c>
      <c r="L1241" s="1940" t="s">
        <v>8922</v>
      </c>
      <c r="M1241" t="s">
        <v>12303</v>
      </c>
      <c r="N1241" t="s">
        <v>10637</v>
      </c>
      <c r="O1241" t="s">
        <v>6630</v>
      </c>
      <c r="P1241" s="614">
        <f>COUNTIF(EducPlans_кодНАЦИД_Спец[аФакСец],EducPlans_кодНАЦИД_Спец[[#This Row],[аФакСец]])</f>
        <v>1</v>
      </c>
    </row>
    <row r="1242" spans="3:16" x14ac:dyDescent="0.25">
      <c r="C1242" s="614">
        <v>1236</v>
      </c>
      <c r="D1242" s="614">
        <v>643793</v>
      </c>
      <c r="E1242" s="64" t="s">
        <v>1336</v>
      </c>
      <c r="F1242" s="64" t="s">
        <v>6633</v>
      </c>
      <c r="G1242" s="614" t="s">
        <v>29</v>
      </c>
      <c r="H1242" s="614" t="s">
        <v>682</v>
      </c>
      <c r="I1242" s="614" t="s">
        <v>1153</v>
      </c>
      <c r="J1242" s="64" t="s">
        <v>6634</v>
      </c>
      <c r="K1242" s="1940" t="s">
        <v>6635</v>
      </c>
      <c r="L1242" s="1940" t="s">
        <v>8923</v>
      </c>
      <c r="M1242" t="s">
        <v>12304</v>
      </c>
      <c r="N1242" t="s">
        <v>10638</v>
      </c>
      <c r="O1242" t="s">
        <v>6633</v>
      </c>
      <c r="P1242" s="614">
        <f>COUNTIF(EducPlans_кодНАЦИД_Спец[аФакСец],EducPlans_кодНАЦИД_Спец[[#This Row],[аФакСец]])</f>
        <v>1</v>
      </c>
    </row>
    <row r="1243" spans="3:16" x14ac:dyDescent="0.25">
      <c r="C1243" s="614">
        <v>1237</v>
      </c>
      <c r="D1243" s="614">
        <v>284317</v>
      </c>
      <c r="E1243" s="64" t="s">
        <v>1224</v>
      </c>
      <c r="F1243" s="64" t="s">
        <v>6636</v>
      </c>
      <c r="G1243" s="614" t="s">
        <v>296</v>
      </c>
      <c r="H1243" s="614" t="s">
        <v>682</v>
      </c>
      <c r="I1243" s="614" t="s">
        <v>1149</v>
      </c>
      <c r="J1243" s="64" t="s">
        <v>3826</v>
      </c>
      <c r="K1243" s="1940" t="s">
        <v>6637</v>
      </c>
      <c r="L1243" s="1940" t="s">
        <v>8924</v>
      </c>
      <c r="M1243" t="s">
        <v>12305</v>
      </c>
      <c r="N1243" t="s">
        <v>10639</v>
      </c>
      <c r="O1243" t="s">
        <v>6636</v>
      </c>
      <c r="P1243" s="614">
        <f>COUNTIF(EducPlans_кодНАЦИД_Спец[аФакСец],EducPlans_кодНАЦИД_Спец[[#This Row],[аФакСец]])</f>
        <v>1</v>
      </c>
    </row>
    <row r="1244" spans="3:16" x14ac:dyDescent="0.25">
      <c r="C1244" s="614">
        <v>1238</v>
      </c>
      <c r="D1244" s="614">
        <v>12935</v>
      </c>
      <c r="E1244" s="64" t="s">
        <v>1827</v>
      </c>
      <c r="F1244" s="64" t="s">
        <v>6638</v>
      </c>
      <c r="G1244" s="614" t="s">
        <v>42</v>
      </c>
      <c r="H1244" s="614" t="s">
        <v>682</v>
      </c>
      <c r="I1244" s="614" t="s">
        <v>1149</v>
      </c>
      <c r="J1244" s="64" t="s">
        <v>3491</v>
      </c>
      <c r="K1244" s="1940" t="s">
        <v>6639</v>
      </c>
      <c r="L1244" s="1940" t="s">
        <v>8925</v>
      </c>
      <c r="M1244" t="s">
        <v>12306</v>
      </c>
      <c r="N1244" t="s">
        <v>10640</v>
      </c>
      <c r="O1244" t="s">
        <v>6638</v>
      </c>
      <c r="P1244" s="614">
        <f>COUNTIF(EducPlans_кодНАЦИД_Спец[аФакСец],EducPlans_кодНАЦИД_Спец[[#This Row],[аФакСец]])</f>
        <v>1</v>
      </c>
    </row>
    <row r="1245" spans="3:16" x14ac:dyDescent="0.25">
      <c r="C1245" s="614">
        <v>1239</v>
      </c>
      <c r="D1245" s="614">
        <v>12935</v>
      </c>
      <c r="E1245" s="64" t="s">
        <v>1827</v>
      </c>
      <c r="F1245" s="64" t="s">
        <v>6640</v>
      </c>
      <c r="G1245" s="614" t="s">
        <v>42</v>
      </c>
      <c r="H1245" s="614" t="s">
        <v>682</v>
      </c>
      <c r="I1245" s="614" t="s">
        <v>1149</v>
      </c>
      <c r="J1245" s="64" t="s">
        <v>3492</v>
      </c>
      <c r="K1245" s="1940" t="s">
        <v>6639</v>
      </c>
      <c r="L1245" s="1940" t="s">
        <v>8926</v>
      </c>
      <c r="M1245" t="s">
        <v>12307</v>
      </c>
      <c r="N1245" t="s">
        <v>10641</v>
      </c>
      <c r="O1245" t="s">
        <v>6640</v>
      </c>
      <c r="P1245" s="614">
        <f>COUNTIF(EducPlans_кодНАЦИД_Спец[аФакСец],EducPlans_кодНАЦИД_Спец[[#This Row],[аФакСец]])</f>
        <v>1</v>
      </c>
    </row>
    <row r="1246" spans="3:16" x14ac:dyDescent="0.25">
      <c r="C1246" s="614">
        <v>1240</v>
      </c>
      <c r="D1246" s="614">
        <v>11996</v>
      </c>
      <c r="E1246" s="64" t="s">
        <v>2139</v>
      </c>
      <c r="F1246" s="64" t="s">
        <v>6641</v>
      </c>
      <c r="G1246" s="614" t="s">
        <v>628</v>
      </c>
      <c r="H1246" s="614" t="s">
        <v>682</v>
      </c>
      <c r="I1246" s="614" t="s">
        <v>1153</v>
      </c>
      <c r="J1246" s="64" t="s">
        <v>4251</v>
      </c>
      <c r="K1246" s="1940" t="s">
        <v>6642</v>
      </c>
      <c r="L1246" s="1940" t="s">
        <v>8927</v>
      </c>
      <c r="M1246" t="s">
        <v>12308</v>
      </c>
      <c r="N1246" t="s">
        <v>10642</v>
      </c>
      <c r="O1246" t="s">
        <v>6641</v>
      </c>
      <c r="P1246" s="614">
        <f>COUNTIF(EducPlans_кодНАЦИД_Спец[аФакСец],EducPlans_кодНАЦИД_Спец[[#This Row],[аФакСец]])</f>
        <v>1</v>
      </c>
    </row>
    <row r="1247" spans="3:16" x14ac:dyDescent="0.25">
      <c r="C1247" s="614">
        <v>1241</v>
      </c>
      <c r="D1247" s="614">
        <v>842523</v>
      </c>
      <c r="E1247" s="64" t="s">
        <v>2139</v>
      </c>
      <c r="F1247" s="64" t="s">
        <v>13747</v>
      </c>
      <c r="G1247" s="614" t="s">
        <v>628</v>
      </c>
      <c r="H1247" s="614" t="s">
        <v>682</v>
      </c>
      <c r="I1247" s="614" t="s">
        <v>1153</v>
      </c>
      <c r="J1247" s="64" t="s">
        <v>13748</v>
      </c>
      <c r="K1247" s="1940" t="s">
        <v>6642</v>
      </c>
      <c r="L1247" s="1940" t="s">
        <v>13749</v>
      </c>
      <c r="M1247" t="s">
        <v>13750</v>
      </c>
      <c r="N1247" t="s">
        <v>13751</v>
      </c>
      <c r="O1247" t="s">
        <v>13747</v>
      </c>
      <c r="P1247" s="614">
        <f>COUNTIF(EducPlans_кодНАЦИД_Спец[аФакСец],EducPlans_кодНАЦИД_Спец[[#This Row],[аФакСец]])</f>
        <v>1</v>
      </c>
    </row>
    <row r="1248" spans="3:16" x14ac:dyDescent="0.25">
      <c r="C1248" s="614">
        <v>1242</v>
      </c>
      <c r="D1248" s="614">
        <v>842523</v>
      </c>
      <c r="E1248" s="64" t="s">
        <v>2139</v>
      </c>
      <c r="F1248" s="64" t="s">
        <v>13752</v>
      </c>
      <c r="G1248" s="614" t="s">
        <v>628</v>
      </c>
      <c r="H1248" s="614" t="s">
        <v>682</v>
      </c>
      <c r="I1248" s="614" t="s">
        <v>1153</v>
      </c>
      <c r="J1248" s="64" t="s">
        <v>13753</v>
      </c>
      <c r="K1248" s="1940" t="s">
        <v>6642</v>
      </c>
      <c r="L1248" s="1940" t="s">
        <v>13754</v>
      </c>
      <c r="M1248" t="s">
        <v>13755</v>
      </c>
      <c r="N1248" t="s">
        <v>13756</v>
      </c>
      <c r="O1248" t="s">
        <v>13752</v>
      </c>
      <c r="P1248" s="614">
        <f>COUNTIF(EducPlans_кодНАЦИД_Спец[аФакСец],EducPlans_кодНАЦИД_Спец[[#This Row],[аФакСец]])</f>
        <v>1</v>
      </c>
    </row>
    <row r="1249" spans="3:16" x14ac:dyDescent="0.25">
      <c r="C1249" s="614">
        <v>1243</v>
      </c>
      <c r="D1249" s="614">
        <v>12378</v>
      </c>
      <c r="E1249" s="64" t="s">
        <v>1900</v>
      </c>
      <c r="F1249" s="64" t="s">
        <v>6643</v>
      </c>
      <c r="G1249" s="614" t="s">
        <v>50</v>
      </c>
      <c r="H1249" s="614" t="s">
        <v>682</v>
      </c>
      <c r="I1249" s="614" t="s">
        <v>1153</v>
      </c>
      <c r="J1249" s="64" t="s">
        <v>3013</v>
      </c>
      <c r="K1249" s="1940" t="s">
        <v>6644</v>
      </c>
      <c r="L1249" s="1940" t="s">
        <v>8928</v>
      </c>
      <c r="M1249" t="s">
        <v>12309</v>
      </c>
      <c r="N1249" t="s">
        <v>10643</v>
      </c>
      <c r="O1249" t="s">
        <v>6643</v>
      </c>
      <c r="P1249" s="614">
        <f>COUNTIF(EducPlans_кодНАЦИД_Спец[аФакСец],EducPlans_кодНАЦИД_Спец[[#This Row],[аФакСец]])</f>
        <v>1</v>
      </c>
    </row>
    <row r="1250" spans="3:16" x14ac:dyDescent="0.25">
      <c r="C1250" s="614">
        <v>1244</v>
      </c>
      <c r="D1250" s="614">
        <v>12394</v>
      </c>
      <c r="E1250" s="64" t="s">
        <v>1901</v>
      </c>
      <c r="F1250" s="64" t="s">
        <v>6645</v>
      </c>
      <c r="G1250" s="614" t="s">
        <v>50</v>
      </c>
      <c r="H1250" s="614" t="s">
        <v>682</v>
      </c>
      <c r="I1250" s="614" t="s">
        <v>1153</v>
      </c>
      <c r="J1250" s="64" t="s">
        <v>3014</v>
      </c>
      <c r="K1250" s="1940" t="s">
        <v>6646</v>
      </c>
      <c r="L1250" s="1940" t="s">
        <v>8929</v>
      </c>
      <c r="M1250" t="s">
        <v>12310</v>
      </c>
      <c r="N1250" t="s">
        <v>10644</v>
      </c>
      <c r="O1250" t="s">
        <v>6645</v>
      </c>
      <c r="P1250" s="614">
        <f>COUNTIF(EducPlans_кодНАЦИД_Спец[аФакСец],EducPlans_кодНАЦИД_Спец[[#This Row],[аФакСец]])</f>
        <v>1</v>
      </c>
    </row>
    <row r="1251" spans="3:16" x14ac:dyDescent="0.25">
      <c r="C1251" s="614">
        <v>1245</v>
      </c>
      <c r="D1251" s="614">
        <v>12395</v>
      </c>
      <c r="E1251" s="64" t="s">
        <v>1902</v>
      </c>
      <c r="F1251" s="64" t="s">
        <v>6647</v>
      </c>
      <c r="G1251" s="614" t="s">
        <v>50</v>
      </c>
      <c r="H1251" s="614" t="s">
        <v>682</v>
      </c>
      <c r="I1251" s="614" t="s">
        <v>1153</v>
      </c>
      <c r="J1251" s="64" t="s">
        <v>3015</v>
      </c>
      <c r="K1251" s="1940" t="s">
        <v>6648</v>
      </c>
      <c r="L1251" s="1940" t="s">
        <v>8930</v>
      </c>
      <c r="M1251" t="s">
        <v>12311</v>
      </c>
      <c r="N1251" t="s">
        <v>10645</v>
      </c>
      <c r="O1251" t="s">
        <v>6647</v>
      </c>
      <c r="P1251" s="614">
        <f>COUNTIF(EducPlans_кодНАЦИД_Спец[аФакСец],EducPlans_кодНАЦИД_Спец[[#This Row],[аФакСец]])</f>
        <v>1</v>
      </c>
    </row>
    <row r="1252" spans="3:16" x14ac:dyDescent="0.25">
      <c r="C1252" s="614">
        <v>1246</v>
      </c>
      <c r="D1252" s="614">
        <v>583168</v>
      </c>
      <c r="E1252" s="64" t="s">
        <v>1227</v>
      </c>
      <c r="F1252" s="64" t="s">
        <v>6649</v>
      </c>
      <c r="G1252" s="614" t="s">
        <v>296</v>
      </c>
      <c r="H1252" s="614" t="s">
        <v>682</v>
      </c>
      <c r="I1252" s="614" t="s">
        <v>1153</v>
      </c>
      <c r="J1252" s="64" t="s">
        <v>6650</v>
      </c>
      <c r="K1252" s="1940" t="s">
        <v>6651</v>
      </c>
      <c r="L1252" s="1940" t="s">
        <v>8931</v>
      </c>
      <c r="M1252" t="s">
        <v>12312</v>
      </c>
      <c r="N1252" t="s">
        <v>10646</v>
      </c>
      <c r="O1252" t="s">
        <v>6649</v>
      </c>
      <c r="P1252" s="614">
        <f>COUNTIF(EducPlans_кодНАЦИД_Спец[аФакСец],EducPlans_кодНАЦИД_Спец[[#This Row],[аФакСец]])</f>
        <v>1</v>
      </c>
    </row>
    <row r="1253" spans="3:16" x14ac:dyDescent="0.25">
      <c r="C1253" s="614">
        <v>1247</v>
      </c>
      <c r="D1253" s="614">
        <v>583177</v>
      </c>
      <c r="E1253" s="64" t="s">
        <v>1227</v>
      </c>
      <c r="F1253" s="64" t="s">
        <v>6652</v>
      </c>
      <c r="G1253" s="614" t="s">
        <v>296</v>
      </c>
      <c r="H1253" s="614" t="s">
        <v>682</v>
      </c>
      <c r="I1253" s="614" t="s">
        <v>1149</v>
      </c>
      <c r="J1253" s="64" t="s">
        <v>6653</v>
      </c>
      <c r="K1253" s="1940" t="s">
        <v>6654</v>
      </c>
      <c r="L1253" s="1940" t="s">
        <v>8932</v>
      </c>
      <c r="M1253" t="s">
        <v>12313</v>
      </c>
      <c r="N1253" t="s">
        <v>10647</v>
      </c>
      <c r="O1253" t="s">
        <v>6652</v>
      </c>
      <c r="P1253" s="614">
        <f>COUNTIF(EducPlans_кодНАЦИД_Спец[аФакСец],EducPlans_кодНАЦИД_Спец[[#This Row],[аФакСец]])</f>
        <v>1</v>
      </c>
    </row>
    <row r="1254" spans="3:16" x14ac:dyDescent="0.25">
      <c r="C1254" s="614">
        <v>1248</v>
      </c>
      <c r="D1254" s="614">
        <v>12108</v>
      </c>
      <c r="E1254" s="64" t="s">
        <v>2189</v>
      </c>
      <c r="F1254" s="64" t="s">
        <v>6655</v>
      </c>
      <c r="G1254" s="614" t="s">
        <v>29</v>
      </c>
      <c r="H1254" s="614" t="s">
        <v>682</v>
      </c>
      <c r="I1254" s="614" t="s">
        <v>1153</v>
      </c>
      <c r="J1254" s="64" t="s">
        <v>4169</v>
      </c>
      <c r="K1254" s="1940" t="s">
        <v>6656</v>
      </c>
      <c r="L1254" s="1940" t="s">
        <v>8933</v>
      </c>
      <c r="M1254" t="s">
        <v>12314</v>
      </c>
      <c r="N1254" t="s">
        <v>10648</v>
      </c>
      <c r="O1254" t="s">
        <v>6655</v>
      </c>
      <c r="P1254" s="614">
        <f>COUNTIF(EducPlans_кодНАЦИД_Спец[аФакСец],EducPlans_кодНАЦИД_Спец[[#This Row],[аФакСец]])</f>
        <v>1</v>
      </c>
    </row>
    <row r="1255" spans="3:16" x14ac:dyDescent="0.25">
      <c r="C1255" s="614">
        <v>1249</v>
      </c>
      <c r="D1255" s="614">
        <v>12109</v>
      </c>
      <c r="E1255" s="64" t="s">
        <v>2189</v>
      </c>
      <c r="F1255" s="64" t="s">
        <v>6657</v>
      </c>
      <c r="G1255" s="614" t="s">
        <v>29</v>
      </c>
      <c r="H1255" s="614" t="s">
        <v>682</v>
      </c>
      <c r="I1255" s="614" t="s">
        <v>1149</v>
      </c>
      <c r="J1255" s="64" t="s">
        <v>4167</v>
      </c>
      <c r="K1255" s="1940" t="s">
        <v>6658</v>
      </c>
      <c r="L1255" s="1940" t="s">
        <v>8934</v>
      </c>
      <c r="M1255" t="s">
        <v>12315</v>
      </c>
      <c r="N1255" t="s">
        <v>10649</v>
      </c>
      <c r="O1255" t="s">
        <v>6657</v>
      </c>
      <c r="P1255" s="614">
        <f>COUNTIF(EducPlans_кодНАЦИД_Спец[аФакСец],EducPlans_кодНАЦИД_Спец[[#This Row],[аФакСец]])</f>
        <v>1</v>
      </c>
    </row>
    <row r="1256" spans="3:16" x14ac:dyDescent="0.25">
      <c r="C1256" s="614">
        <v>1250</v>
      </c>
      <c r="D1256" s="614">
        <v>12109</v>
      </c>
      <c r="E1256" s="64" t="s">
        <v>2189</v>
      </c>
      <c r="F1256" s="64" t="s">
        <v>6659</v>
      </c>
      <c r="G1256" s="614" t="s">
        <v>29</v>
      </c>
      <c r="H1256" s="614" t="s">
        <v>682</v>
      </c>
      <c r="I1256" s="614" t="s">
        <v>1149</v>
      </c>
      <c r="J1256" s="64" t="s">
        <v>4166</v>
      </c>
      <c r="K1256" s="1940" t="s">
        <v>6658</v>
      </c>
      <c r="L1256" s="1940" t="s">
        <v>8935</v>
      </c>
      <c r="M1256" t="s">
        <v>12316</v>
      </c>
      <c r="N1256" t="s">
        <v>10650</v>
      </c>
      <c r="O1256" t="s">
        <v>6659</v>
      </c>
      <c r="P1256" s="614">
        <f>COUNTIF(EducPlans_кодНАЦИД_Спец[аФакСец],EducPlans_кодНАЦИД_Спец[[#This Row],[аФакСец]])</f>
        <v>1</v>
      </c>
    </row>
    <row r="1257" spans="3:16" x14ac:dyDescent="0.25">
      <c r="C1257" s="614">
        <v>1251</v>
      </c>
      <c r="D1257" s="614">
        <v>259153</v>
      </c>
      <c r="E1257" s="64" t="s">
        <v>2189</v>
      </c>
      <c r="F1257" s="64" t="s">
        <v>6660</v>
      </c>
      <c r="G1257" s="614" t="s">
        <v>29</v>
      </c>
      <c r="H1257" s="614" t="s">
        <v>682</v>
      </c>
      <c r="I1257" s="614" t="s">
        <v>1149</v>
      </c>
      <c r="J1257" s="64" t="s">
        <v>4168</v>
      </c>
      <c r="K1257" s="1940" t="s">
        <v>6658</v>
      </c>
      <c r="L1257" s="1940" t="s">
        <v>8936</v>
      </c>
      <c r="M1257" t="s">
        <v>12317</v>
      </c>
      <c r="N1257" t="s">
        <v>10651</v>
      </c>
      <c r="O1257" t="s">
        <v>6660</v>
      </c>
      <c r="P1257" s="614">
        <f>COUNTIF(EducPlans_кодНАЦИД_Спец[аФакСец],EducPlans_кодНАЦИД_Спец[[#This Row],[аФакСец]])</f>
        <v>1</v>
      </c>
    </row>
    <row r="1258" spans="3:16" x14ac:dyDescent="0.25">
      <c r="C1258" s="614">
        <v>1252</v>
      </c>
      <c r="D1258" s="614">
        <v>142074</v>
      </c>
      <c r="E1258" s="64" t="s">
        <v>2190</v>
      </c>
      <c r="F1258" s="64" t="s">
        <v>6661</v>
      </c>
      <c r="G1258" s="614" t="s">
        <v>29</v>
      </c>
      <c r="H1258" s="614" t="s">
        <v>682</v>
      </c>
      <c r="I1258" s="614" t="s">
        <v>1153</v>
      </c>
      <c r="J1258" s="64" t="s">
        <v>4170</v>
      </c>
      <c r="K1258" s="1940" t="s">
        <v>6662</v>
      </c>
      <c r="L1258" s="1940" t="s">
        <v>8937</v>
      </c>
      <c r="M1258" t="s">
        <v>12318</v>
      </c>
      <c r="N1258" t="s">
        <v>10652</v>
      </c>
      <c r="O1258" t="s">
        <v>6661</v>
      </c>
      <c r="P1258" s="614">
        <f>COUNTIF(EducPlans_кодНАЦИД_Спец[аФакСец],EducPlans_кодНАЦИД_Спец[[#This Row],[аФакСец]])</f>
        <v>1</v>
      </c>
    </row>
    <row r="1259" spans="3:16" x14ac:dyDescent="0.25">
      <c r="C1259" s="614">
        <v>1253</v>
      </c>
      <c r="D1259" s="614">
        <v>961081</v>
      </c>
      <c r="E1259" s="64" t="s">
        <v>13757</v>
      </c>
      <c r="F1259" s="64" t="s">
        <v>13758</v>
      </c>
      <c r="G1259" s="614" t="s">
        <v>35</v>
      </c>
      <c r="H1259" s="614" t="s">
        <v>682</v>
      </c>
      <c r="I1259" s="614" t="s">
        <v>1153</v>
      </c>
      <c r="J1259" s="64" t="s">
        <v>13759</v>
      </c>
      <c r="K1259" s="1940" t="s">
        <v>13760</v>
      </c>
      <c r="L1259" s="1940" t="s">
        <v>13761</v>
      </c>
      <c r="M1259" t="s">
        <v>13762</v>
      </c>
      <c r="N1259" t="s">
        <v>13763</v>
      </c>
      <c r="O1259" t="s">
        <v>13758</v>
      </c>
      <c r="P1259" s="614">
        <f>COUNTIF(EducPlans_кодНАЦИД_Спец[аФакСец],EducPlans_кодНАЦИД_Спец[[#This Row],[аФакСец]])</f>
        <v>1</v>
      </c>
    </row>
    <row r="1260" spans="3:16" x14ac:dyDescent="0.25">
      <c r="C1260" s="614">
        <v>1254</v>
      </c>
      <c r="D1260" s="614">
        <v>961082</v>
      </c>
      <c r="E1260" s="64" t="s">
        <v>13757</v>
      </c>
      <c r="F1260" s="64" t="s">
        <v>13764</v>
      </c>
      <c r="G1260" s="614" t="s">
        <v>35</v>
      </c>
      <c r="H1260" s="614" t="s">
        <v>682</v>
      </c>
      <c r="I1260" s="614" t="s">
        <v>1149</v>
      </c>
      <c r="J1260" s="64" t="s">
        <v>13765</v>
      </c>
      <c r="K1260" s="1940" t="s">
        <v>13766</v>
      </c>
      <c r="L1260" s="1940" t="s">
        <v>13767</v>
      </c>
      <c r="M1260" t="s">
        <v>13768</v>
      </c>
      <c r="N1260" t="s">
        <v>13769</v>
      </c>
      <c r="O1260" t="s">
        <v>13764</v>
      </c>
      <c r="P1260" s="614">
        <f>COUNTIF(EducPlans_кодНАЦИД_Спец[аФакСец],EducPlans_кодНАЦИД_Спец[[#This Row],[аФакСец]])</f>
        <v>1</v>
      </c>
    </row>
    <row r="1261" spans="3:16" x14ac:dyDescent="0.25">
      <c r="C1261" s="614">
        <v>1255</v>
      </c>
      <c r="D1261" s="614">
        <v>10986</v>
      </c>
      <c r="E1261" s="64" t="s">
        <v>1745</v>
      </c>
      <c r="F1261" s="64" t="s">
        <v>6663</v>
      </c>
      <c r="G1261" s="614" t="s">
        <v>35</v>
      </c>
      <c r="H1261" s="614" t="s">
        <v>682</v>
      </c>
      <c r="I1261" s="614" t="s">
        <v>1153</v>
      </c>
      <c r="J1261" s="64" t="s">
        <v>4052</v>
      </c>
      <c r="K1261" s="1940" t="s">
        <v>6664</v>
      </c>
      <c r="L1261" s="1940" t="s">
        <v>8938</v>
      </c>
      <c r="M1261" t="s">
        <v>12319</v>
      </c>
      <c r="N1261" t="s">
        <v>10653</v>
      </c>
      <c r="O1261" t="s">
        <v>6663</v>
      </c>
      <c r="P1261" s="614">
        <f>COUNTIF(EducPlans_кодНАЦИД_Спец[аФакСец],EducPlans_кодНАЦИД_Спец[[#This Row],[аФакСец]])</f>
        <v>1</v>
      </c>
    </row>
    <row r="1262" spans="3:16" x14ac:dyDescent="0.25">
      <c r="C1262" s="614">
        <v>1256</v>
      </c>
      <c r="D1262" s="614">
        <v>10986</v>
      </c>
      <c r="E1262" s="64" t="s">
        <v>1745</v>
      </c>
      <c r="F1262" s="64" t="s">
        <v>6665</v>
      </c>
      <c r="G1262" s="614" t="s">
        <v>35</v>
      </c>
      <c r="H1262" s="614" t="s">
        <v>682</v>
      </c>
      <c r="I1262" s="614" t="s">
        <v>1153</v>
      </c>
      <c r="J1262" s="64" t="s">
        <v>4053</v>
      </c>
      <c r="K1262" s="1940" t="s">
        <v>6666</v>
      </c>
      <c r="L1262" s="1940" t="s">
        <v>8939</v>
      </c>
      <c r="M1262" t="s">
        <v>12320</v>
      </c>
      <c r="N1262" t="s">
        <v>10654</v>
      </c>
      <c r="O1262" t="s">
        <v>6665</v>
      </c>
      <c r="P1262" s="614">
        <f>COUNTIF(EducPlans_кодНАЦИД_Спец[аФакСец],EducPlans_кодНАЦИД_Спец[[#This Row],[аФакСец]])</f>
        <v>1</v>
      </c>
    </row>
    <row r="1263" spans="3:16" x14ac:dyDescent="0.25">
      <c r="C1263" s="614">
        <v>1257</v>
      </c>
      <c r="D1263" s="614">
        <v>10912</v>
      </c>
      <c r="E1263" s="64" t="s">
        <v>1685</v>
      </c>
      <c r="F1263" s="64" t="s">
        <v>6667</v>
      </c>
      <c r="G1263" s="614" t="s">
        <v>35</v>
      </c>
      <c r="H1263" s="614" t="s">
        <v>682</v>
      </c>
      <c r="I1263" s="614" t="s">
        <v>1153</v>
      </c>
      <c r="J1263" s="64" t="s">
        <v>4055</v>
      </c>
      <c r="K1263" s="1940" t="s">
        <v>6668</v>
      </c>
      <c r="L1263" s="1940" t="s">
        <v>8940</v>
      </c>
      <c r="M1263" t="s">
        <v>12321</v>
      </c>
      <c r="N1263" t="s">
        <v>10655</v>
      </c>
      <c r="O1263" t="s">
        <v>6667</v>
      </c>
      <c r="P1263" s="614">
        <f>COUNTIF(EducPlans_кодНАЦИД_Спец[аФакСец],EducPlans_кодНАЦИД_Спец[[#This Row],[аФакСец]])</f>
        <v>1</v>
      </c>
    </row>
    <row r="1264" spans="3:16" x14ac:dyDescent="0.25">
      <c r="C1264" s="614">
        <v>1258</v>
      </c>
      <c r="D1264" s="614">
        <v>10912</v>
      </c>
      <c r="E1264" s="64" t="s">
        <v>1685</v>
      </c>
      <c r="F1264" s="64" t="s">
        <v>6669</v>
      </c>
      <c r="G1264" s="614" t="s">
        <v>35</v>
      </c>
      <c r="H1264" s="614" t="s">
        <v>682</v>
      </c>
      <c r="I1264" s="614" t="s">
        <v>1153</v>
      </c>
      <c r="J1264" s="64" t="s">
        <v>4054</v>
      </c>
      <c r="K1264" s="1940" t="s">
        <v>6668</v>
      </c>
      <c r="L1264" s="1940" t="s">
        <v>8941</v>
      </c>
      <c r="M1264" t="s">
        <v>12322</v>
      </c>
      <c r="N1264" t="s">
        <v>10656</v>
      </c>
      <c r="O1264" t="s">
        <v>6669</v>
      </c>
      <c r="P1264" s="614">
        <f>COUNTIF(EducPlans_кодНАЦИД_Спец[аФакСец],EducPlans_кодНАЦИД_Спец[[#This Row],[аФакСец]])</f>
        <v>1</v>
      </c>
    </row>
    <row r="1265" spans="3:16" x14ac:dyDescent="0.25">
      <c r="C1265" s="614">
        <v>1259</v>
      </c>
      <c r="D1265" s="614">
        <v>10913</v>
      </c>
      <c r="E1265" s="64" t="s">
        <v>1686</v>
      </c>
      <c r="F1265" s="64" t="s">
        <v>6670</v>
      </c>
      <c r="G1265" s="614" t="s">
        <v>35</v>
      </c>
      <c r="H1265" s="614" t="s">
        <v>682</v>
      </c>
      <c r="I1265" s="614" t="s">
        <v>1153</v>
      </c>
      <c r="J1265" s="64" t="s">
        <v>4056</v>
      </c>
      <c r="K1265" s="1940" t="s">
        <v>6671</v>
      </c>
      <c r="L1265" s="1940" t="s">
        <v>8942</v>
      </c>
      <c r="M1265" t="s">
        <v>12323</v>
      </c>
      <c r="N1265" t="s">
        <v>10657</v>
      </c>
      <c r="O1265" t="s">
        <v>6670</v>
      </c>
      <c r="P1265" s="614">
        <f>COUNTIF(EducPlans_кодНАЦИД_Спец[аФакСец],EducPlans_кодНАЦИД_Спец[[#This Row],[аФакСец]])</f>
        <v>1</v>
      </c>
    </row>
    <row r="1266" spans="3:16" x14ac:dyDescent="0.25">
      <c r="C1266" s="614">
        <v>1260</v>
      </c>
      <c r="D1266" s="614">
        <v>10963</v>
      </c>
      <c r="E1266" s="64" t="s">
        <v>1750</v>
      </c>
      <c r="F1266" s="64" t="s">
        <v>6672</v>
      </c>
      <c r="G1266" s="614" t="s">
        <v>35</v>
      </c>
      <c r="H1266" s="614" t="s">
        <v>682</v>
      </c>
      <c r="I1266" s="614" t="s">
        <v>1153</v>
      </c>
      <c r="J1266" s="64" t="s">
        <v>4064</v>
      </c>
      <c r="K1266" s="1940" t="s">
        <v>6673</v>
      </c>
      <c r="L1266" s="1940" t="s">
        <v>8943</v>
      </c>
      <c r="M1266" t="s">
        <v>12324</v>
      </c>
      <c r="N1266" t="s">
        <v>10658</v>
      </c>
      <c r="O1266" t="s">
        <v>6672</v>
      </c>
      <c r="P1266" s="614">
        <f>COUNTIF(EducPlans_кодНАЦИД_Спец[аФакСец],EducPlans_кодНАЦИД_Спец[[#This Row],[аФакСец]])</f>
        <v>1</v>
      </c>
    </row>
    <row r="1267" spans="3:16" x14ac:dyDescent="0.25">
      <c r="C1267" s="614">
        <v>1261</v>
      </c>
      <c r="D1267" s="614">
        <v>10963</v>
      </c>
      <c r="E1267" s="64" t="s">
        <v>1750</v>
      </c>
      <c r="F1267" s="64" t="s">
        <v>6674</v>
      </c>
      <c r="G1267" s="614" t="s">
        <v>35</v>
      </c>
      <c r="H1267" s="614" t="s">
        <v>682</v>
      </c>
      <c r="I1267" s="614" t="s">
        <v>1153</v>
      </c>
      <c r="J1267" s="64" t="s">
        <v>4061</v>
      </c>
      <c r="K1267" s="1940" t="s">
        <v>6673</v>
      </c>
      <c r="L1267" s="1940" t="s">
        <v>8944</v>
      </c>
      <c r="M1267" t="s">
        <v>12325</v>
      </c>
      <c r="N1267" t="s">
        <v>10659</v>
      </c>
      <c r="O1267" t="s">
        <v>6674</v>
      </c>
      <c r="P1267" s="614">
        <f>COUNTIF(EducPlans_кодНАЦИД_Спец[аФакСец],EducPlans_кодНАЦИД_Спец[[#This Row],[аФакСец]])</f>
        <v>1</v>
      </c>
    </row>
    <row r="1268" spans="3:16" x14ac:dyDescent="0.25">
      <c r="C1268" s="614">
        <v>1262</v>
      </c>
      <c r="D1268" s="614">
        <v>10966</v>
      </c>
      <c r="E1268" s="64" t="s">
        <v>1750</v>
      </c>
      <c r="F1268" s="64" t="s">
        <v>6675</v>
      </c>
      <c r="G1268" s="614" t="s">
        <v>35</v>
      </c>
      <c r="H1268" s="614" t="s">
        <v>682</v>
      </c>
      <c r="I1268" s="614" t="s">
        <v>1153</v>
      </c>
      <c r="J1268" s="64" t="s">
        <v>4062</v>
      </c>
      <c r="K1268" s="1940" t="s">
        <v>6676</v>
      </c>
      <c r="L1268" s="1940" t="s">
        <v>8945</v>
      </c>
      <c r="M1268" t="s">
        <v>12326</v>
      </c>
      <c r="N1268" t="s">
        <v>10660</v>
      </c>
      <c r="O1268" t="s">
        <v>6675</v>
      </c>
      <c r="P1268" s="614">
        <f>COUNTIF(EducPlans_кодНАЦИД_Спец[аФакСец],EducPlans_кодНАЦИД_Спец[[#This Row],[аФакСец]])</f>
        <v>1</v>
      </c>
    </row>
    <row r="1269" spans="3:16" x14ac:dyDescent="0.25">
      <c r="C1269" s="614">
        <v>1263</v>
      </c>
      <c r="D1269" s="614">
        <v>10966</v>
      </c>
      <c r="E1269" s="64" t="s">
        <v>1750</v>
      </c>
      <c r="F1269" s="64" t="s">
        <v>6677</v>
      </c>
      <c r="G1269" s="614" t="s">
        <v>35</v>
      </c>
      <c r="H1269" s="614" t="s">
        <v>682</v>
      </c>
      <c r="I1269" s="614" t="s">
        <v>1153</v>
      </c>
      <c r="J1269" s="64" t="s">
        <v>4063</v>
      </c>
      <c r="K1269" s="1940" t="s">
        <v>6676</v>
      </c>
      <c r="L1269" s="1940" t="s">
        <v>8946</v>
      </c>
      <c r="M1269" t="s">
        <v>12327</v>
      </c>
      <c r="N1269" t="s">
        <v>10661</v>
      </c>
      <c r="O1269" t="s">
        <v>6677</v>
      </c>
      <c r="P1269" s="614">
        <f>COUNTIF(EducPlans_кодНАЦИД_Спец[аФакСец],EducPlans_кодНАЦИД_Спец[[#This Row],[аФакСец]])</f>
        <v>1</v>
      </c>
    </row>
    <row r="1270" spans="3:16" x14ac:dyDescent="0.25">
      <c r="C1270" s="614">
        <v>1264</v>
      </c>
      <c r="D1270" s="614">
        <v>10965</v>
      </c>
      <c r="E1270" s="64" t="s">
        <v>1750</v>
      </c>
      <c r="F1270" s="64" t="s">
        <v>6678</v>
      </c>
      <c r="G1270" s="614" t="s">
        <v>35</v>
      </c>
      <c r="H1270" s="614" t="s">
        <v>682</v>
      </c>
      <c r="I1270" s="614" t="s">
        <v>1149</v>
      </c>
      <c r="J1270" s="64" t="s">
        <v>4057</v>
      </c>
      <c r="K1270" s="1940" t="s">
        <v>6679</v>
      </c>
      <c r="L1270" s="1940" t="s">
        <v>8947</v>
      </c>
      <c r="M1270" t="s">
        <v>12328</v>
      </c>
      <c r="N1270" t="s">
        <v>10662</v>
      </c>
      <c r="O1270" t="s">
        <v>6678</v>
      </c>
      <c r="P1270" s="614">
        <f>COUNTIF(EducPlans_кодНАЦИД_Спец[аФакСец],EducPlans_кодНАЦИД_Спец[[#This Row],[аФакСец]])</f>
        <v>1</v>
      </c>
    </row>
    <row r="1271" spans="3:16" x14ac:dyDescent="0.25">
      <c r="C1271" s="614">
        <v>1265</v>
      </c>
      <c r="D1271" s="614">
        <v>10965</v>
      </c>
      <c r="E1271" s="64" t="s">
        <v>1750</v>
      </c>
      <c r="F1271" s="64" t="s">
        <v>6680</v>
      </c>
      <c r="G1271" s="614" t="s">
        <v>35</v>
      </c>
      <c r="H1271" s="614" t="s">
        <v>682</v>
      </c>
      <c r="I1271" s="614" t="s">
        <v>1149</v>
      </c>
      <c r="J1271" s="64" t="s">
        <v>4058</v>
      </c>
      <c r="K1271" s="1940" t="s">
        <v>6679</v>
      </c>
      <c r="L1271" s="1940" t="s">
        <v>8948</v>
      </c>
      <c r="M1271" t="s">
        <v>12329</v>
      </c>
      <c r="N1271" t="s">
        <v>10663</v>
      </c>
      <c r="O1271" t="s">
        <v>6680</v>
      </c>
      <c r="P1271" s="614">
        <f>COUNTIF(EducPlans_кодНАЦИД_Спец[аФакСец],EducPlans_кодНАЦИД_Спец[[#This Row],[аФакСец]])</f>
        <v>1</v>
      </c>
    </row>
    <row r="1272" spans="3:16" x14ac:dyDescent="0.25">
      <c r="C1272" s="614">
        <v>1266</v>
      </c>
      <c r="D1272" s="614">
        <v>10968</v>
      </c>
      <c r="E1272" s="64" t="s">
        <v>1750</v>
      </c>
      <c r="F1272" s="64" t="s">
        <v>6681</v>
      </c>
      <c r="G1272" s="614" t="s">
        <v>35</v>
      </c>
      <c r="H1272" s="614" t="s">
        <v>682</v>
      </c>
      <c r="I1272" s="614" t="s">
        <v>1149</v>
      </c>
      <c r="J1272" s="64" t="s">
        <v>4059</v>
      </c>
      <c r="K1272" s="1940" t="s">
        <v>6682</v>
      </c>
      <c r="L1272" s="1940" t="s">
        <v>8949</v>
      </c>
      <c r="M1272" t="s">
        <v>12330</v>
      </c>
      <c r="N1272" t="s">
        <v>10664</v>
      </c>
      <c r="O1272" t="s">
        <v>6681</v>
      </c>
      <c r="P1272" s="614">
        <f>COUNTIF(EducPlans_кодНАЦИД_Спец[аФакСец],EducPlans_кодНАЦИД_Спец[[#This Row],[аФакСец]])</f>
        <v>1</v>
      </c>
    </row>
    <row r="1273" spans="3:16" x14ac:dyDescent="0.25">
      <c r="C1273" s="614">
        <v>1267</v>
      </c>
      <c r="D1273" s="614">
        <v>10968</v>
      </c>
      <c r="E1273" s="64" t="s">
        <v>1750</v>
      </c>
      <c r="F1273" s="64" t="s">
        <v>6683</v>
      </c>
      <c r="G1273" s="614" t="s">
        <v>35</v>
      </c>
      <c r="H1273" s="614" t="s">
        <v>682</v>
      </c>
      <c r="I1273" s="614" t="s">
        <v>1149</v>
      </c>
      <c r="J1273" s="64" t="s">
        <v>4060</v>
      </c>
      <c r="K1273" s="1940" t="s">
        <v>6682</v>
      </c>
      <c r="L1273" s="1940" t="s">
        <v>8950</v>
      </c>
      <c r="M1273" t="s">
        <v>12331</v>
      </c>
      <c r="N1273" t="s">
        <v>10665</v>
      </c>
      <c r="O1273" t="s">
        <v>6683</v>
      </c>
      <c r="P1273" s="614">
        <f>COUNTIF(EducPlans_кодНАЦИД_Спец[аФакСец],EducPlans_кодНАЦИД_Спец[[#This Row],[аФакСец]])</f>
        <v>1</v>
      </c>
    </row>
    <row r="1274" spans="3:16" x14ac:dyDescent="0.25">
      <c r="C1274" s="614">
        <v>1268</v>
      </c>
      <c r="D1274" s="614">
        <v>283998</v>
      </c>
      <c r="E1274" s="64" t="s">
        <v>1751</v>
      </c>
      <c r="F1274" s="64" t="s">
        <v>6684</v>
      </c>
      <c r="G1274" s="614" t="s">
        <v>35</v>
      </c>
      <c r="H1274" s="614" t="s">
        <v>682</v>
      </c>
      <c r="I1274" s="614" t="s">
        <v>1153</v>
      </c>
      <c r="J1274" s="64" t="s">
        <v>4065</v>
      </c>
      <c r="K1274" s="1940" t="s">
        <v>6685</v>
      </c>
      <c r="L1274" s="1940" t="s">
        <v>8951</v>
      </c>
      <c r="M1274" t="s">
        <v>12332</v>
      </c>
      <c r="N1274" t="s">
        <v>10666</v>
      </c>
      <c r="O1274" t="s">
        <v>6684</v>
      </c>
      <c r="P1274" s="614">
        <f>COUNTIF(EducPlans_кодНАЦИД_Спец[аФакСец],EducPlans_кодНАЦИД_Спец[[#This Row],[аФакСец]])</f>
        <v>1</v>
      </c>
    </row>
    <row r="1275" spans="3:16" x14ac:dyDescent="0.25">
      <c r="C1275" s="614">
        <v>1269</v>
      </c>
      <c r="D1275" s="614">
        <v>1000036</v>
      </c>
      <c r="E1275" s="64" t="s">
        <v>1753</v>
      </c>
      <c r="F1275" s="64" t="s">
        <v>13770</v>
      </c>
      <c r="G1275" s="614" t="s">
        <v>35</v>
      </c>
      <c r="H1275" s="614" t="s">
        <v>682</v>
      </c>
      <c r="I1275" s="614" t="s">
        <v>1153</v>
      </c>
      <c r="J1275" s="64" t="s">
        <v>13771</v>
      </c>
      <c r="K1275" s="1940" t="s">
        <v>13772</v>
      </c>
      <c r="L1275" s="1940" t="s">
        <v>13773</v>
      </c>
      <c r="M1275" t="s">
        <v>13774</v>
      </c>
      <c r="N1275" t="s">
        <v>13775</v>
      </c>
      <c r="O1275" t="s">
        <v>13770</v>
      </c>
      <c r="P1275" s="614">
        <f>COUNTIF(EducPlans_кодНАЦИД_Спец[аФакСец],EducPlans_кодНАЦИД_Спец[[#This Row],[аФакСец]])</f>
        <v>1</v>
      </c>
    </row>
    <row r="1276" spans="3:16" x14ac:dyDescent="0.25">
      <c r="C1276" s="614">
        <v>1270</v>
      </c>
      <c r="D1276" s="614">
        <v>10971</v>
      </c>
      <c r="E1276" s="64" t="s">
        <v>1753</v>
      </c>
      <c r="F1276" s="64" t="s">
        <v>6686</v>
      </c>
      <c r="G1276" s="614" t="s">
        <v>35</v>
      </c>
      <c r="H1276" s="614" t="s">
        <v>682</v>
      </c>
      <c r="I1276" s="614" t="s">
        <v>1167</v>
      </c>
      <c r="J1276" s="64" t="s">
        <v>4066</v>
      </c>
      <c r="K1276" s="1940" t="s">
        <v>6687</v>
      </c>
      <c r="L1276" s="1940" t="s">
        <v>8952</v>
      </c>
      <c r="M1276" t="s">
        <v>12333</v>
      </c>
      <c r="N1276" t="s">
        <v>10667</v>
      </c>
      <c r="O1276" t="s">
        <v>6686</v>
      </c>
      <c r="P1276" s="614">
        <f>COUNTIF(EducPlans_кодНАЦИД_Спец[аФакСец],EducPlans_кодНАЦИД_Спец[[#This Row],[аФакСец]])</f>
        <v>1</v>
      </c>
    </row>
    <row r="1277" spans="3:16" x14ac:dyDescent="0.25">
      <c r="C1277" s="614">
        <v>1271</v>
      </c>
      <c r="D1277" s="614">
        <v>10971</v>
      </c>
      <c r="E1277" s="64" t="s">
        <v>1753</v>
      </c>
      <c r="F1277" s="64" t="s">
        <v>6688</v>
      </c>
      <c r="G1277" s="614" t="s">
        <v>35</v>
      </c>
      <c r="H1277" s="614" t="s">
        <v>682</v>
      </c>
      <c r="I1277" s="614" t="s">
        <v>1167</v>
      </c>
      <c r="J1277" s="64" t="s">
        <v>4067</v>
      </c>
      <c r="K1277" s="1940" t="s">
        <v>6687</v>
      </c>
      <c r="L1277" s="1940" t="s">
        <v>8953</v>
      </c>
      <c r="M1277" t="s">
        <v>12334</v>
      </c>
      <c r="N1277" t="s">
        <v>10668</v>
      </c>
      <c r="O1277" t="s">
        <v>6688</v>
      </c>
      <c r="P1277" s="614">
        <f>COUNTIF(EducPlans_кодНАЦИД_Спец[аФакСец],EducPlans_кодНАЦИД_Спец[[#This Row],[аФакСец]])</f>
        <v>1</v>
      </c>
    </row>
    <row r="1278" spans="3:16" x14ac:dyDescent="0.25">
      <c r="C1278" s="614">
        <v>1272</v>
      </c>
      <c r="D1278" s="614">
        <v>10969</v>
      </c>
      <c r="E1278" s="64" t="s">
        <v>1755</v>
      </c>
      <c r="F1278" s="64" t="s">
        <v>6689</v>
      </c>
      <c r="G1278" s="614" t="s">
        <v>35</v>
      </c>
      <c r="H1278" s="614" t="s">
        <v>682</v>
      </c>
      <c r="I1278" s="614" t="s">
        <v>1153</v>
      </c>
      <c r="J1278" s="64" t="s">
        <v>4068</v>
      </c>
      <c r="K1278" s="1940" t="s">
        <v>6690</v>
      </c>
      <c r="L1278" s="1940" t="s">
        <v>8954</v>
      </c>
      <c r="M1278" t="s">
        <v>12335</v>
      </c>
      <c r="N1278" t="s">
        <v>10669</v>
      </c>
      <c r="O1278" t="s">
        <v>6689</v>
      </c>
      <c r="P1278" s="614">
        <f>COUNTIF(EducPlans_кодНАЦИД_Спец[аФакСец],EducPlans_кодНАЦИД_Спец[[#This Row],[аФакСец]])</f>
        <v>1</v>
      </c>
    </row>
    <row r="1279" spans="3:16" x14ac:dyDescent="0.25">
      <c r="C1279" s="614">
        <v>1273</v>
      </c>
      <c r="D1279" s="614">
        <v>10969</v>
      </c>
      <c r="E1279" s="64" t="s">
        <v>1755</v>
      </c>
      <c r="F1279" s="64" t="s">
        <v>6691</v>
      </c>
      <c r="G1279" s="614" t="s">
        <v>35</v>
      </c>
      <c r="H1279" s="614" t="s">
        <v>682</v>
      </c>
      <c r="I1279" s="614" t="s">
        <v>1153</v>
      </c>
      <c r="J1279" s="64" t="s">
        <v>4069</v>
      </c>
      <c r="K1279" s="1940" t="s">
        <v>6690</v>
      </c>
      <c r="L1279" s="1940" t="s">
        <v>8955</v>
      </c>
      <c r="M1279" t="s">
        <v>12336</v>
      </c>
      <c r="N1279" t="s">
        <v>10670</v>
      </c>
      <c r="O1279" t="s">
        <v>6691</v>
      </c>
      <c r="P1279" s="614">
        <f>COUNTIF(EducPlans_кодНАЦИД_Спец[аФакСец],EducPlans_кодНАЦИД_Спец[[#This Row],[аФакСец]])</f>
        <v>1</v>
      </c>
    </row>
    <row r="1280" spans="3:16" x14ac:dyDescent="0.25">
      <c r="C1280" s="614">
        <v>1274</v>
      </c>
      <c r="D1280" s="614">
        <v>10847</v>
      </c>
      <c r="E1280" s="64" t="s">
        <v>1756</v>
      </c>
      <c r="F1280" s="64" t="s">
        <v>6692</v>
      </c>
      <c r="G1280" s="614" t="s">
        <v>35</v>
      </c>
      <c r="H1280" s="614" t="s">
        <v>682</v>
      </c>
      <c r="I1280" s="614" t="s">
        <v>1153</v>
      </c>
      <c r="J1280" s="64" t="s">
        <v>4070</v>
      </c>
      <c r="K1280" s="1940" t="s">
        <v>6693</v>
      </c>
      <c r="L1280" s="1940" t="s">
        <v>8956</v>
      </c>
      <c r="M1280" t="s">
        <v>12337</v>
      </c>
      <c r="N1280" t="s">
        <v>10671</v>
      </c>
      <c r="O1280" t="s">
        <v>6692</v>
      </c>
      <c r="P1280" s="614">
        <f>COUNTIF(EducPlans_кодНАЦИД_Спец[аФакСец],EducPlans_кодНАЦИД_Спец[[#This Row],[аФакСец]])</f>
        <v>1</v>
      </c>
    </row>
    <row r="1281" spans="3:16" x14ac:dyDescent="0.25">
      <c r="C1281" s="614">
        <v>1275</v>
      </c>
      <c r="D1281" s="614">
        <v>10831</v>
      </c>
      <c r="E1281" s="64" t="s">
        <v>1757</v>
      </c>
      <c r="F1281" s="64" t="s">
        <v>6694</v>
      </c>
      <c r="G1281" s="614" t="s">
        <v>35</v>
      </c>
      <c r="H1281" s="614" t="s">
        <v>681</v>
      </c>
      <c r="I1281" s="614" t="s">
        <v>1153</v>
      </c>
      <c r="J1281" s="64" t="s">
        <v>4071</v>
      </c>
      <c r="K1281" s="1940" t="s">
        <v>6695</v>
      </c>
      <c r="L1281" s="1940" t="s">
        <v>8957</v>
      </c>
      <c r="M1281" t="s">
        <v>12338</v>
      </c>
      <c r="N1281" t="s">
        <v>10672</v>
      </c>
      <c r="O1281" t="s">
        <v>6694</v>
      </c>
      <c r="P1281" s="614">
        <f>COUNTIF(EducPlans_кодНАЦИД_Спец[аФакСец],EducPlans_кодНАЦИД_Спец[[#This Row],[аФакСец]])</f>
        <v>1</v>
      </c>
    </row>
    <row r="1282" spans="3:16" x14ac:dyDescent="0.25">
      <c r="C1282" s="614">
        <v>1276</v>
      </c>
      <c r="D1282" s="614">
        <v>11530</v>
      </c>
      <c r="E1282" s="64" t="s">
        <v>916</v>
      </c>
      <c r="F1282" s="64" t="s">
        <v>6696</v>
      </c>
      <c r="G1282" s="614" t="s">
        <v>33</v>
      </c>
      <c r="H1282" s="614" t="s">
        <v>681</v>
      </c>
      <c r="I1282" s="614" t="s">
        <v>1153</v>
      </c>
      <c r="J1282" s="64" t="s">
        <v>917</v>
      </c>
      <c r="K1282" s="1940" t="s">
        <v>6697</v>
      </c>
      <c r="L1282" s="1940" t="s">
        <v>8958</v>
      </c>
      <c r="M1282" t="s">
        <v>12339</v>
      </c>
      <c r="N1282" t="s">
        <v>10673</v>
      </c>
      <c r="O1282" t="s">
        <v>6696</v>
      </c>
      <c r="P1282" s="614">
        <f>COUNTIF(EducPlans_кодНАЦИД_Спец[аФакСец],EducPlans_кодНАЦИД_Спец[[#This Row],[аФакСец]])</f>
        <v>1</v>
      </c>
    </row>
    <row r="1283" spans="3:16" x14ac:dyDescent="0.25">
      <c r="C1283" s="614">
        <v>1277</v>
      </c>
      <c r="D1283" s="614">
        <v>643410</v>
      </c>
      <c r="E1283" s="64" t="s">
        <v>916</v>
      </c>
      <c r="F1283" s="64" t="s">
        <v>6698</v>
      </c>
      <c r="G1283" s="614" t="s">
        <v>33</v>
      </c>
      <c r="H1283" s="614" t="s">
        <v>682</v>
      </c>
      <c r="I1283" s="614" t="s">
        <v>1153</v>
      </c>
      <c r="J1283" s="64" t="s">
        <v>6699</v>
      </c>
      <c r="K1283" s="1940" t="s">
        <v>6700</v>
      </c>
      <c r="L1283" s="1940" t="s">
        <v>8959</v>
      </c>
      <c r="M1283" t="s">
        <v>12340</v>
      </c>
      <c r="N1283" t="s">
        <v>10674</v>
      </c>
      <c r="O1283" t="s">
        <v>6698</v>
      </c>
      <c r="P1283" s="614">
        <f>COUNTIF(EducPlans_кодНАЦИД_Спец[аФакСец],EducPlans_кодНАЦИД_Спец[[#This Row],[аФакСец]])</f>
        <v>1</v>
      </c>
    </row>
    <row r="1284" spans="3:16" x14ac:dyDescent="0.25">
      <c r="C1284" s="614">
        <v>1278</v>
      </c>
      <c r="D1284" s="614">
        <v>12482</v>
      </c>
      <c r="E1284" s="64" t="s">
        <v>231</v>
      </c>
      <c r="F1284" s="64" t="s">
        <v>6701</v>
      </c>
      <c r="G1284" s="614" t="s">
        <v>44</v>
      </c>
      <c r="H1284" s="614" t="s">
        <v>682</v>
      </c>
      <c r="I1284" s="614" t="s">
        <v>1153</v>
      </c>
      <c r="J1284" s="64" t="s">
        <v>4301</v>
      </c>
      <c r="K1284" s="1940" t="s">
        <v>6702</v>
      </c>
      <c r="L1284" s="1940" t="s">
        <v>8960</v>
      </c>
      <c r="M1284" t="s">
        <v>12341</v>
      </c>
      <c r="N1284" t="s">
        <v>10675</v>
      </c>
      <c r="O1284" t="s">
        <v>6701</v>
      </c>
      <c r="P1284" s="614">
        <f>COUNTIF(EducPlans_кодНАЦИД_Спец[аФакСец],EducPlans_кодНАЦИД_Спец[[#This Row],[аФакСец]])</f>
        <v>1</v>
      </c>
    </row>
    <row r="1285" spans="3:16" x14ac:dyDescent="0.25">
      <c r="C1285" s="614">
        <v>1279</v>
      </c>
      <c r="D1285" s="614">
        <v>12483</v>
      </c>
      <c r="E1285" s="64" t="s">
        <v>231</v>
      </c>
      <c r="F1285" s="64" t="s">
        <v>6703</v>
      </c>
      <c r="G1285" s="614" t="s">
        <v>44</v>
      </c>
      <c r="H1285" s="614" t="s">
        <v>682</v>
      </c>
      <c r="I1285" s="614" t="s">
        <v>1149</v>
      </c>
      <c r="J1285" s="64" t="s">
        <v>4300</v>
      </c>
      <c r="K1285" s="1940" t="s">
        <v>6704</v>
      </c>
      <c r="L1285" s="1940" t="s">
        <v>8961</v>
      </c>
      <c r="M1285" t="s">
        <v>12342</v>
      </c>
      <c r="N1285" t="s">
        <v>10676</v>
      </c>
      <c r="O1285" t="s">
        <v>6703</v>
      </c>
      <c r="P1285" s="614">
        <f>COUNTIF(EducPlans_кодНАЦИД_Спец[аФакСец],EducPlans_кодНАЦИД_Спец[[#This Row],[аФакСец]])</f>
        <v>1</v>
      </c>
    </row>
    <row r="1286" spans="3:16" x14ac:dyDescent="0.25">
      <c r="C1286" s="614">
        <v>1280</v>
      </c>
      <c r="D1286" s="614">
        <v>12530</v>
      </c>
      <c r="E1286" s="64" t="s">
        <v>1848</v>
      </c>
      <c r="F1286" s="64" t="s">
        <v>6705</v>
      </c>
      <c r="G1286" s="614" t="s">
        <v>44</v>
      </c>
      <c r="H1286" s="614" t="s">
        <v>682</v>
      </c>
      <c r="I1286" s="614" t="s">
        <v>1149</v>
      </c>
      <c r="J1286" s="64" t="s">
        <v>4302</v>
      </c>
      <c r="K1286" s="1940" t="s">
        <v>6706</v>
      </c>
      <c r="L1286" s="1940" t="s">
        <v>8962</v>
      </c>
      <c r="M1286" t="s">
        <v>12343</v>
      </c>
      <c r="N1286" t="s">
        <v>10677</v>
      </c>
      <c r="O1286" t="s">
        <v>6705</v>
      </c>
      <c r="P1286" s="614">
        <f>COUNTIF(EducPlans_кодНАЦИД_Спец[аФакСец],EducPlans_кодНАЦИД_Спец[[#This Row],[аФакСец]])</f>
        <v>1</v>
      </c>
    </row>
    <row r="1287" spans="3:16" x14ac:dyDescent="0.25">
      <c r="C1287" s="614">
        <v>1281</v>
      </c>
      <c r="D1287" s="614">
        <v>12559</v>
      </c>
      <c r="E1287" s="64" t="s">
        <v>1761</v>
      </c>
      <c r="F1287" s="64" t="s">
        <v>6707</v>
      </c>
      <c r="G1287" s="614" t="s">
        <v>44</v>
      </c>
      <c r="H1287" s="614" t="s">
        <v>682</v>
      </c>
      <c r="I1287" s="614" t="s">
        <v>1153</v>
      </c>
      <c r="J1287" s="64" t="s">
        <v>4303</v>
      </c>
      <c r="K1287" s="1940" t="s">
        <v>6708</v>
      </c>
      <c r="L1287" s="1940" t="s">
        <v>8963</v>
      </c>
      <c r="M1287" t="s">
        <v>12344</v>
      </c>
      <c r="N1287" t="s">
        <v>10678</v>
      </c>
      <c r="O1287" t="s">
        <v>6707</v>
      </c>
      <c r="P1287" s="614">
        <f>COUNTIF(EducPlans_кодНАЦИД_Спец[аФакСец],EducPlans_кодНАЦИД_Спец[[#This Row],[аФакСец]])</f>
        <v>1</v>
      </c>
    </row>
    <row r="1288" spans="3:16" x14ac:dyDescent="0.25">
      <c r="C1288" s="614">
        <v>1282</v>
      </c>
      <c r="D1288" s="614">
        <v>12559</v>
      </c>
      <c r="E1288" s="64" t="s">
        <v>1761</v>
      </c>
      <c r="F1288" s="64" t="s">
        <v>6709</v>
      </c>
      <c r="G1288" s="614" t="s">
        <v>44</v>
      </c>
      <c r="H1288" s="614" t="s">
        <v>682</v>
      </c>
      <c r="I1288" s="614" t="s">
        <v>1153</v>
      </c>
      <c r="J1288" s="64" t="s">
        <v>4304</v>
      </c>
      <c r="K1288" s="1940" t="s">
        <v>6708</v>
      </c>
      <c r="L1288" s="1940" t="s">
        <v>8964</v>
      </c>
      <c r="M1288" t="s">
        <v>12345</v>
      </c>
      <c r="N1288" t="s">
        <v>10679</v>
      </c>
      <c r="O1288" t="s">
        <v>6709</v>
      </c>
      <c r="P1288" s="614">
        <f>COUNTIF(EducPlans_кодНАЦИД_Спец[аФакСец],EducPlans_кодНАЦИД_Спец[[#This Row],[аФакСец]])</f>
        <v>1</v>
      </c>
    </row>
    <row r="1289" spans="3:16" x14ac:dyDescent="0.25">
      <c r="C1289" s="614">
        <v>1283</v>
      </c>
      <c r="D1289" s="614">
        <v>12561</v>
      </c>
      <c r="E1289" s="64" t="s">
        <v>1762</v>
      </c>
      <c r="F1289" s="64" t="s">
        <v>6710</v>
      </c>
      <c r="G1289" s="614" t="s">
        <v>44</v>
      </c>
      <c r="H1289" s="614" t="s">
        <v>682</v>
      </c>
      <c r="I1289" s="614" t="s">
        <v>1153</v>
      </c>
      <c r="J1289" s="64" t="s">
        <v>4306</v>
      </c>
      <c r="K1289" s="1940" t="s">
        <v>6711</v>
      </c>
      <c r="L1289" s="1940" t="s">
        <v>8965</v>
      </c>
      <c r="M1289" t="s">
        <v>12346</v>
      </c>
      <c r="N1289" t="s">
        <v>10680</v>
      </c>
      <c r="O1289" t="s">
        <v>6710</v>
      </c>
      <c r="P1289" s="614">
        <f>COUNTIF(EducPlans_кодНАЦИД_Спец[аФакСец],EducPlans_кодНАЦИД_Спец[[#This Row],[аФакСец]])</f>
        <v>1</v>
      </c>
    </row>
    <row r="1290" spans="3:16" x14ac:dyDescent="0.25">
      <c r="C1290" s="614">
        <v>1284</v>
      </c>
      <c r="D1290" s="614">
        <v>12561</v>
      </c>
      <c r="E1290" s="64" t="s">
        <v>1762</v>
      </c>
      <c r="F1290" s="64" t="s">
        <v>6712</v>
      </c>
      <c r="G1290" s="614" t="s">
        <v>44</v>
      </c>
      <c r="H1290" s="614" t="s">
        <v>682</v>
      </c>
      <c r="I1290" s="614" t="s">
        <v>1153</v>
      </c>
      <c r="J1290" s="64" t="s">
        <v>4305</v>
      </c>
      <c r="K1290" s="1940" t="s">
        <v>6711</v>
      </c>
      <c r="L1290" s="1940" t="s">
        <v>8966</v>
      </c>
      <c r="M1290" t="s">
        <v>12347</v>
      </c>
      <c r="N1290" t="s">
        <v>10681</v>
      </c>
      <c r="O1290" t="s">
        <v>6712</v>
      </c>
      <c r="P1290" s="614">
        <f>COUNTIF(EducPlans_кодНАЦИД_Спец[аФакСец],EducPlans_кодНАЦИД_Спец[[#This Row],[аФакСец]])</f>
        <v>1</v>
      </c>
    </row>
    <row r="1291" spans="3:16" x14ac:dyDescent="0.25">
      <c r="C1291" s="614">
        <v>1285</v>
      </c>
      <c r="D1291" s="614">
        <v>928046</v>
      </c>
      <c r="E1291" s="64" t="s">
        <v>13776</v>
      </c>
      <c r="F1291" s="64" t="s">
        <v>13777</v>
      </c>
      <c r="G1291" s="614" t="s">
        <v>12921</v>
      </c>
      <c r="H1291" s="614" t="s">
        <v>682</v>
      </c>
      <c r="I1291" s="614" t="s">
        <v>1149</v>
      </c>
      <c r="J1291" s="64" t="s">
        <v>13778</v>
      </c>
      <c r="K1291" s="1940" t="s">
        <v>13779</v>
      </c>
      <c r="L1291" s="1940" t="s">
        <v>13780</v>
      </c>
      <c r="M1291" t="s">
        <v>13781</v>
      </c>
      <c r="N1291" t="s">
        <v>13782</v>
      </c>
      <c r="O1291" t="s">
        <v>13777</v>
      </c>
      <c r="P1291" s="614">
        <f>COUNTIF(EducPlans_кодНАЦИД_Спец[аФакСец],EducPlans_кодНАЦИД_Спец[[#This Row],[аФакСец]])</f>
        <v>1</v>
      </c>
    </row>
    <row r="1292" spans="3:16" x14ac:dyDescent="0.25">
      <c r="C1292" s="614">
        <v>1286</v>
      </c>
      <c r="D1292" s="614">
        <v>11600</v>
      </c>
      <c r="E1292" s="64" t="s">
        <v>1438</v>
      </c>
      <c r="F1292" s="64" t="s">
        <v>6713</v>
      </c>
      <c r="G1292" s="614" t="s">
        <v>33</v>
      </c>
      <c r="H1292" s="614" t="s">
        <v>682</v>
      </c>
      <c r="I1292" s="614" t="s">
        <v>1153</v>
      </c>
      <c r="J1292" s="64" t="s">
        <v>3602</v>
      </c>
      <c r="K1292" s="1940" t="s">
        <v>6714</v>
      </c>
      <c r="L1292" s="1940" t="s">
        <v>8967</v>
      </c>
      <c r="M1292" t="s">
        <v>12348</v>
      </c>
      <c r="N1292" t="s">
        <v>10682</v>
      </c>
      <c r="O1292" t="s">
        <v>6713</v>
      </c>
      <c r="P1292" s="614">
        <f>COUNTIF(EducPlans_кодНАЦИД_Спец[аФакСец],EducPlans_кодНАЦИД_Спец[[#This Row],[аФакСец]])</f>
        <v>1</v>
      </c>
    </row>
    <row r="1293" spans="3:16" x14ac:dyDescent="0.25">
      <c r="C1293" s="614">
        <v>1287</v>
      </c>
      <c r="D1293" s="614">
        <v>11600</v>
      </c>
      <c r="E1293" s="64" t="s">
        <v>1438</v>
      </c>
      <c r="F1293" s="64" t="s">
        <v>6715</v>
      </c>
      <c r="G1293" s="614" t="s">
        <v>33</v>
      </c>
      <c r="H1293" s="614" t="s">
        <v>682</v>
      </c>
      <c r="I1293" s="614" t="s">
        <v>1153</v>
      </c>
      <c r="J1293" s="64" t="s">
        <v>3599</v>
      </c>
      <c r="K1293" s="1940" t="s">
        <v>6714</v>
      </c>
      <c r="L1293" s="1940" t="s">
        <v>8968</v>
      </c>
      <c r="M1293" t="s">
        <v>12349</v>
      </c>
      <c r="N1293" t="s">
        <v>10683</v>
      </c>
      <c r="O1293" t="s">
        <v>6715</v>
      </c>
      <c r="P1293" s="614">
        <f>COUNTIF(EducPlans_кодНАЦИД_Спец[аФакСец],EducPlans_кодНАЦИД_Спец[[#This Row],[аФакСец]])</f>
        <v>1</v>
      </c>
    </row>
    <row r="1294" spans="3:16" x14ac:dyDescent="0.25">
      <c r="C1294" s="614">
        <v>1288</v>
      </c>
      <c r="D1294" s="614">
        <v>11619</v>
      </c>
      <c r="E1294" s="64" t="s">
        <v>1438</v>
      </c>
      <c r="F1294" s="64" t="s">
        <v>6716</v>
      </c>
      <c r="G1294" s="614" t="s">
        <v>33</v>
      </c>
      <c r="H1294" s="614" t="s">
        <v>682</v>
      </c>
      <c r="I1294" s="614" t="s">
        <v>1153</v>
      </c>
      <c r="J1294" s="64" t="s">
        <v>2964</v>
      </c>
      <c r="K1294" s="1940" t="s">
        <v>6717</v>
      </c>
      <c r="L1294" s="1940" t="s">
        <v>8969</v>
      </c>
      <c r="M1294" t="s">
        <v>12350</v>
      </c>
      <c r="N1294" t="s">
        <v>10684</v>
      </c>
      <c r="O1294" t="s">
        <v>6716</v>
      </c>
      <c r="P1294" s="614">
        <f>COUNTIF(EducPlans_кодНАЦИД_Спец[аФакСец],EducPlans_кодНАЦИД_Спец[[#This Row],[аФакСец]])</f>
        <v>2</v>
      </c>
    </row>
    <row r="1295" spans="3:16" x14ac:dyDescent="0.25">
      <c r="C1295" s="614">
        <v>1289</v>
      </c>
      <c r="D1295" s="614">
        <v>11619</v>
      </c>
      <c r="E1295" s="64" t="s">
        <v>1438</v>
      </c>
      <c r="F1295" s="64" t="s">
        <v>6718</v>
      </c>
      <c r="G1295" s="614" t="s">
        <v>33</v>
      </c>
      <c r="H1295" s="614" t="s">
        <v>682</v>
      </c>
      <c r="I1295" s="614" t="s">
        <v>1153</v>
      </c>
      <c r="J1295" s="64" t="s">
        <v>3601</v>
      </c>
      <c r="K1295" s="1940" t="s">
        <v>6717</v>
      </c>
      <c r="L1295" s="1940" t="s">
        <v>8970</v>
      </c>
      <c r="M1295" t="s">
        <v>12351</v>
      </c>
      <c r="N1295" t="s">
        <v>10685</v>
      </c>
      <c r="O1295" t="s">
        <v>6718</v>
      </c>
      <c r="P1295" s="614">
        <f>COUNTIF(EducPlans_кодНАЦИД_Спец[аФакСец],EducPlans_кодНАЦИД_Спец[[#This Row],[аФакСец]])</f>
        <v>1</v>
      </c>
    </row>
    <row r="1296" spans="3:16" x14ac:dyDescent="0.25">
      <c r="C1296" s="614">
        <v>1290</v>
      </c>
      <c r="D1296" s="614">
        <v>624557</v>
      </c>
      <c r="E1296" s="64" t="s">
        <v>1439</v>
      </c>
      <c r="F1296" s="64" t="s">
        <v>6719</v>
      </c>
      <c r="G1296" s="614" t="s">
        <v>33</v>
      </c>
      <c r="H1296" s="614" t="s">
        <v>682</v>
      </c>
      <c r="I1296" s="614" t="s">
        <v>1153</v>
      </c>
      <c r="J1296" s="64" t="s">
        <v>2964</v>
      </c>
      <c r="K1296" s="1940" t="s">
        <v>6720</v>
      </c>
      <c r="L1296" s="1940" t="s">
        <v>8969</v>
      </c>
      <c r="M1296" t="s">
        <v>12352</v>
      </c>
      <c r="N1296" t="s">
        <v>10684</v>
      </c>
      <c r="O1296" t="s">
        <v>6719</v>
      </c>
      <c r="P1296" s="614">
        <f>COUNTIF(EducPlans_кодНАЦИД_Спец[аФакСец],EducPlans_кодНАЦИД_Спец[[#This Row],[аФакСец]])</f>
        <v>2</v>
      </c>
    </row>
    <row r="1297" spans="3:16" x14ac:dyDescent="0.25">
      <c r="C1297" s="614">
        <v>1291</v>
      </c>
      <c r="D1297" s="614">
        <v>11609</v>
      </c>
      <c r="E1297" s="64" t="s">
        <v>1440</v>
      </c>
      <c r="F1297" s="64" t="s">
        <v>6721</v>
      </c>
      <c r="G1297" s="614" t="s">
        <v>33</v>
      </c>
      <c r="H1297" s="614" t="s">
        <v>682</v>
      </c>
      <c r="I1297" s="614" t="s">
        <v>1153</v>
      </c>
      <c r="J1297" s="64" t="s">
        <v>3604</v>
      </c>
      <c r="K1297" s="1940" t="s">
        <v>6722</v>
      </c>
      <c r="L1297" s="1940" t="s">
        <v>8971</v>
      </c>
      <c r="M1297" t="s">
        <v>12353</v>
      </c>
      <c r="N1297" t="s">
        <v>10686</v>
      </c>
      <c r="O1297" t="s">
        <v>6721</v>
      </c>
      <c r="P1297" s="614">
        <f>COUNTIF(EducPlans_кодНАЦИД_Спец[аФакСец],EducPlans_кодНАЦИД_Спец[[#This Row],[аФакСец]])</f>
        <v>1</v>
      </c>
    </row>
    <row r="1298" spans="3:16" x14ac:dyDescent="0.25">
      <c r="C1298" s="614">
        <v>1292</v>
      </c>
      <c r="D1298" s="614">
        <v>11622</v>
      </c>
      <c r="E1298" s="64" t="s">
        <v>1441</v>
      </c>
      <c r="F1298" s="64" t="s">
        <v>6723</v>
      </c>
      <c r="G1298" s="614" t="s">
        <v>33</v>
      </c>
      <c r="H1298" s="614" t="s">
        <v>682</v>
      </c>
      <c r="I1298" s="614" t="s">
        <v>1153</v>
      </c>
      <c r="J1298" s="64" t="s">
        <v>3606</v>
      </c>
      <c r="K1298" s="1940" t="s">
        <v>6724</v>
      </c>
      <c r="L1298" s="1940" t="s">
        <v>8972</v>
      </c>
      <c r="M1298" t="s">
        <v>12354</v>
      </c>
      <c r="N1298" t="s">
        <v>10687</v>
      </c>
      <c r="O1298" t="s">
        <v>6723</v>
      </c>
      <c r="P1298" s="614">
        <f>COUNTIF(EducPlans_кодНАЦИД_Спец[аФакСец],EducPlans_кодНАЦИД_Спец[[#This Row],[аФакСец]])</f>
        <v>1</v>
      </c>
    </row>
    <row r="1299" spans="3:16" x14ac:dyDescent="0.25">
      <c r="C1299" s="614">
        <v>1293</v>
      </c>
      <c r="D1299" s="614">
        <v>11628</v>
      </c>
      <c r="E1299" s="64" t="s">
        <v>1442</v>
      </c>
      <c r="F1299" s="64" t="s">
        <v>6725</v>
      </c>
      <c r="G1299" s="614" t="s">
        <v>33</v>
      </c>
      <c r="H1299" s="614" t="s">
        <v>682</v>
      </c>
      <c r="I1299" s="614" t="s">
        <v>1153</v>
      </c>
      <c r="J1299" s="64" t="s">
        <v>3607</v>
      </c>
      <c r="K1299" s="1940" t="s">
        <v>6726</v>
      </c>
      <c r="L1299" s="1940" t="s">
        <v>8973</v>
      </c>
      <c r="M1299" t="s">
        <v>12355</v>
      </c>
      <c r="N1299" t="s">
        <v>10688</v>
      </c>
      <c r="O1299" t="s">
        <v>6725</v>
      </c>
      <c r="P1299" s="614">
        <f>COUNTIF(EducPlans_кодНАЦИД_Спец[аФакСец],EducPlans_кодНАЦИД_Спец[[#This Row],[аФакСец]])</f>
        <v>1</v>
      </c>
    </row>
    <row r="1300" spans="3:16" x14ac:dyDescent="0.25">
      <c r="C1300" s="614">
        <v>1294</v>
      </c>
      <c r="D1300" s="614">
        <v>11652</v>
      </c>
      <c r="E1300" s="64" t="s">
        <v>1443</v>
      </c>
      <c r="F1300" s="64" t="s">
        <v>6727</v>
      </c>
      <c r="G1300" s="614" t="s">
        <v>33</v>
      </c>
      <c r="H1300" s="614" t="s">
        <v>682</v>
      </c>
      <c r="I1300" s="614" t="s">
        <v>1153</v>
      </c>
      <c r="J1300" s="64" t="s">
        <v>3608</v>
      </c>
      <c r="K1300" s="1940" t="s">
        <v>6728</v>
      </c>
      <c r="L1300" s="1940" t="s">
        <v>8974</v>
      </c>
      <c r="M1300" t="s">
        <v>12356</v>
      </c>
      <c r="N1300" t="s">
        <v>10689</v>
      </c>
      <c r="O1300" t="s">
        <v>6727</v>
      </c>
      <c r="P1300" s="614">
        <f>COUNTIF(EducPlans_кодНАЦИД_Спец[аФакСец],EducPlans_кодНАЦИД_Спец[[#This Row],[аФакСец]])</f>
        <v>1</v>
      </c>
    </row>
    <row r="1301" spans="3:16" x14ac:dyDescent="0.25">
      <c r="C1301" s="614">
        <v>1295</v>
      </c>
      <c r="D1301" s="614">
        <v>11390</v>
      </c>
      <c r="E1301" s="64" t="s">
        <v>1445</v>
      </c>
      <c r="F1301" s="64" t="s">
        <v>6729</v>
      </c>
      <c r="G1301" s="614" t="s">
        <v>647</v>
      </c>
      <c r="H1301" s="614" t="s">
        <v>682</v>
      </c>
      <c r="I1301" s="614" t="s">
        <v>1153</v>
      </c>
      <c r="J1301" s="64" t="s">
        <v>2964</v>
      </c>
      <c r="K1301" s="1940" t="s">
        <v>6730</v>
      </c>
      <c r="L1301" s="1940" t="s">
        <v>8975</v>
      </c>
      <c r="M1301" t="s">
        <v>12357</v>
      </c>
      <c r="N1301" t="s">
        <v>10690</v>
      </c>
      <c r="O1301" t="s">
        <v>6729</v>
      </c>
      <c r="P1301" s="614">
        <f>COUNTIF(EducPlans_кодНАЦИД_Спец[аФакСец],EducPlans_кодНАЦИД_Спец[[#This Row],[аФакСец]])</f>
        <v>1</v>
      </c>
    </row>
    <row r="1302" spans="3:16" x14ac:dyDescent="0.25">
      <c r="C1302" s="614">
        <v>1296</v>
      </c>
      <c r="D1302" s="614">
        <v>11399</v>
      </c>
      <c r="E1302" s="64" t="s">
        <v>1445</v>
      </c>
      <c r="F1302" s="64" t="s">
        <v>6731</v>
      </c>
      <c r="G1302" s="614" t="s">
        <v>647</v>
      </c>
      <c r="H1302" s="614" t="s">
        <v>682</v>
      </c>
      <c r="I1302" s="614" t="s">
        <v>1153</v>
      </c>
      <c r="J1302" s="64" t="s">
        <v>3945</v>
      </c>
      <c r="K1302" s="1940" t="s">
        <v>6732</v>
      </c>
      <c r="L1302" s="1940" t="s">
        <v>8976</v>
      </c>
      <c r="M1302" t="s">
        <v>12358</v>
      </c>
      <c r="N1302" t="s">
        <v>10691</v>
      </c>
      <c r="O1302" t="s">
        <v>6731</v>
      </c>
      <c r="P1302" s="614">
        <f>COUNTIF(EducPlans_кодНАЦИД_Спец[аФакСец],EducPlans_кодНАЦИД_Спец[[#This Row],[аФакСец]])</f>
        <v>1</v>
      </c>
    </row>
    <row r="1303" spans="3:16" x14ac:dyDescent="0.25">
      <c r="C1303" s="614">
        <v>1297</v>
      </c>
      <c r="D1303" s="614">
        <v>147688</v>
      </c>
      <c r="E1303" s="64" t="s">
        <v>1446</v>
      </c>
      <c r="F1303" s="64" t="s">
        <v>6733</v>
      </c>
      <c r="G1303" s="614" t="s">
        <v>647</v>
      </c>
      <c r="H1303" s="614" t="s">
        <v>682</v>
      </c>
      <c r="I1303" s="614" t="s">
        <v>1153</v>
      </c>
      <c r="J1303" s="64" t="s">
        <v>3947</v>
      </c>
      <c r="K1303" s="1940" t="s">
        <v>6734</v>
      </c>
      <c r="L1303" s="1940" t="s">
        <v>8977</v>
      </c>
      <c r="M1303" t="s">
        <v>12359</v>
      </c>
      <c r="N1303" t="s">
        <v>10692</v>
      </c>
      <c r="O1303" t="s">
        <v>6733</v>
      </c>
      <c r="P1303" s="614">
        <f>COUNTIF(EducPlans_кодНАЦИД_Спец[аФакСец],EducPlans_кодНАЦИД_Спец[[#This Row],[аФакСец]])</f>
        <v>1</v>
      </c>
    </row>
    <row r="1304" spans="3:16" x14ac:dyDescent="0.25">
      <c r="C1304" s="614">
        <v>1298</v>
      </c>
      <c r="D1304" s="614">
        <v>11407</v>
      </c>
      <c r="E1304" s="64" t="s">
        <v>1447</v>
      </c>
      <c r="F1304" s="64" t="s">
        <v>6735</v>
      </c>
      <c r="G1304" s="614" t="s">
        <v>647</v>
      </c>
      <c r="H1304" s="614" t="s">
        <v>682</v>
      </c>
      <c r="I1304" s="614" t="s">
        <v>1153</v>
      </c>
      <c r="J1304" s="64" t="s">
        <v>3949</v>
      </c>
      <c r="K1304" s="1940" t="s">
        <v>6736</v>
      </c>
      <c r="L1304" s="1940" t="s">
        <v>8978</v>
      </c>
      <c r="M1304" t="s">
        <v>12360</v>
      </c>
      <c r="N1304" t="s">
        <v>10693</v>
      </c>
      <c r="O1304" t="s">
        <v>6735</v>
      </c>
      <c r="P1304" s="614">
        <f>COUNTIF(EducPlans_кодНАЦИД_Спец[аФакСец],EducPlans_кодНАЦИД_Спец[[#This Row],[аФакСец]])</f>
        <v>1</v>
      </c>
    </row>
    <row r="1305" spans="3:16" x14ac:dyDescent="0.25">
      <c r="C1305" s="614">
        <v>1299</v>
      </c>
      <c r="D1305" s="614">
        <v>11435</v>
      </c>
      <c r="E1305" s="64" t="s">
        <v>1448</v>
      </c>
      <c r="F1305" s="64" t="s">
        <v>6737</v>
      </c>
      <c r="G1305" s="614" t="s">
        <v>647</v>
      </c>
      <c r="H1305" s="614" t="s">
        <v>682</v>
      </c>
      <c r="I1305" s="614" t="s">
        <v>1153</v>
      </c>
      <c r="J1305" s="64" t="s">
        <v>3951</v>
      </c>
      <c r="K1305" s="1940" t="s">
        <v>6738</v>
      </c>
      <c r="L1305" s="1940" t="s">
        <v>8979</v>
      </c>
      <c r="M1305" t="s">
        <v>12361</v>
      </c>
      <c r="N1305" t="s">
        <v>10694</v>
      </c>
      <c r="O1305" t="s">
        <v>6737</v>
      </c>
      <c r="P1305" s="614">
        <f>COUNTIF(EducPlans_кодНАЦИД_Спец[аФакСец],EducPlans_кодНАЦИД_Спец[[#This Row],[аФакСец]])</f>
        <v>1</v>
      </c>
    </row>
    <row r="1306" spans="3:16" x14ac:dyDescent="0.25">
      <c r="C1306" s="614">
        <v>1300</v>
      </c>
      <c r="D1306" s="614">
        <v>11435</v>
      </c>
      <c r="E1306" s="64" t="s">
        <v>1448</v>
      </c>
      <c r="F1306" s="64" t="s">
        <v>6739</v>
      </c>
      <c r="G1306" s="614" t="s">
        <v>647</v>
      </c>
      <c r="H1306" s="614" t="s">
        <v>682</v>
      </c>
      <c r="I1306" s="614" t="s">
        <v>1153</v>
      </c>
      <c r="J1306" s="64" t="s">
        <v>3952</v>
      </c>
      <c r="K1306" s="1940" t="s">
        <v>6738</v>
      </c>
      <c r="L1306" s="1940" t="s">
        <v>8980</v>
      </c>
      <c r="M1306" t="s">
        <v>12362</v>
      </c>
      <c r="N1306" t="s">
        <v>10695</v>
      </c>
      <c r="O1306" t="s">
        <v>6739</v>
      </c>
      <c r="P1306" s="614">
        <f>COUNTIF(EducPlans_кодНАЦИД_Спец[аФакСец],EducPlans_кодНАЦИД_Спец[[#This Row],[аФакСец]])</f>
        <v>1</v>
      </c>
    </row>
    <row r="1307" spans="3:16" x14ac:dyDescent="0.25">
      <c r="C1307" s="614">
        <v>1301</v>
      </c>
      <c r="D1307" s="614">
        <v>11437</v>
      </c>
      <c r="E1307" s="64" t="s">
        <v>1449</v>
      </c>
      <c r="F1307" s="64" t="s">
        <v>6740</v>
      </c>
      <c r="G1307" s="614" t="s">
        <v>647</v>
      </c>
      <c r="H1307" s="614" t="s">
        <v>682</v>
      </c>
      <c r="I1307" s="614" t="s">
        <v>1153</v>
      </c>
      <c r="J1307" s="64" t="s">
        <v>3954</v>
      </c>
      <c r="K1307" s="1940" t="s">
        <v>6741</v>
      </c>
      <c r="L1307" s="1940" t="s">
        <v>8981</v>
      </c>
      <c r="M1307" t="s">
        <v>12363</v>
      </c>
      <c r="N1307" t="s">
        <v>10696</v>
      </c>
      <c r="O1307" t="s">
        <v>6740</v>
      </c>
      <c r="P1307" s="614">
        <f>COUNTIF(EducPlans_кодНАЦИД_Спец[аФакСец],EducPlans_кодНАЦИД_Спец[[#This Row],[аФакСец]])</f>
        <v>1</v>
      </c>
    </row>
    <row r="1308" spans="3:16" x14ac:dyDescent="0.25">
      <c r="C1308" s="614">
        <v>1302</v>
      </c>
      <c r="D1308" s="614">
        <v>11437</v>
      </c>
      <c r="E1308" s="64" t="s">
        <v>1449</v>
      </c>
      <c r="F1308" s="64" t="s">
        <v>6742</v>
      </c>
      <c r="G1308" s="614" t="s">
        <v>647</v>
      </c>
      <c r="H1308" s="614" t="s">
        <v>682</v>
      </c>
      <c r="I1308" s="614" t="s">
        <v>1153</v>
      </c>
      <c r="J1308" s="64" t="s">
        <v>3955</v>
      </c>
      <c r="K1308" s="1940" t="s">
        <v>6741</v>
      </c>
      <c r="L1308" s="1940" t="s">
        <v>8982</v>
      </c>
      <c r="M1308" t="s">
        <v>12364</v>
      </c>
      <c r="N1308" t="s">
        <v>10697</v>
      </c>
      <c r="O1308" t="s">
        <v>6742</v>
      </c>
      <c r="P1308" s="614">
        <f>COUNTIF(EducPlans_кодНАЦИД_Спец[аФакСец],EducPlans_кодНАЦИД_Спец[[#This Row],[аФакСец]])</f>
        <v>1</v>
      </c>
    </row>
    <row r="1309" spans="3:16" x14ac:dyDescent="0.25">
      <c r="C1309" s="614">
        <v>1303</v>
      </c>
      <c r="D1309" s="614">
        <v>11414</v>
      </c>
      <c r="E1309" s="64" t="s">
        <v>1450</v>
      </c>
      <c r="F1309" s="64" t="s">
        <v>6743</v>
      </c>
      <c r="G1309" s="614" t="s">
        <v>647</v>
      </c>
      <c r="H1309" s="614" t="s">
        <v>682</v>
      </c>
      <c r="I1309" s="614" t="s">
        <v>1153</v>
      </c>
      <c r="J1309" s="64" t="s">
        <v>3956</v>
      </c>
      <c r="K1309" s="1940" t="s">
        <v>6744</v>
      </c>
      <c r="L1309" s="1940" t="s">
        <v>8983</v>
      </c>
      <c r="M1309" t="s">
        <v>12365</v>
      </c>
      <c r="N1309" t="s">
        <v>10698</v>
      </c>
      <c r="O1309" t="s">
        <v>6743</v>
      </c>
      <c r="P1309" s="614">
        <f>COUNTIF(EducPlans_кодНАЦИД_Спец[аФакСец],EducPlans_кодНАЦИД_Спец[[#This Row],[аФакСец]])</f>
        <v>1</v>
      </c>
    </row>
    <row r="1310" spans="3:16" x14ac:dyDescent="0.25">
      <c r="C1310" s="614">
        <v>1304</v>
      </c>
      <c r="D1310" s="614">
        <v>11414</v>
      </c>
      <c r="E1310" s="64" t="s">
        <v>1450</v>
      </c>
      <c r="F1310" s="64" t="s">
        <v>6745</v>
      </c>
      <c r="G1310" s="614" t="s">
        <v>647</v>
      </c>
      <c r="H1310" s="614" t="s">
        <v>682</v>
      </c>
      <c r="I1310" s="614" t="s">
        <v>1153</v>
      </c>
      <c r="J1310" s="64" t="s">
        <v>3957</v>
      </c>
      <c r="K1310" s="1940" t="s">
        <v>6744</v>
      </c>
      <c r="L1310" s="1940" t="s">
        <v>8984</v>
      </c>
      <c r="M1310" t="s">
        <v>12366</v>
      </c>
      <c r="N1310" t="s">
        <v>10699</v>
      </c>
      <c r="O1310" t="s">
        <v>6745</v>
      </c>
      <c r="P1310" s="614">
        <f>COUNTIF(EducPlans_кодНАЦИД_Спец[аФакСец],EducPlans_кодНАЦИД_Спец[[#This Row],[аФакСец]])</f>
        <v>1</v>
      </c>
    </row>
    <row r="1311" spans="3:16" x14ac:dyDescent="0.25">
      <c r="C1311" s="614">
        <v>1305</v>
      </c>
      <c r="D1311" s="614">
        <v>12569</v>
      </c>
      <c r="E1311" s="64" t="s">
        <v>1228</v>
      </c>
      <c r="F1311" s="64" t="s">
        <v>6746</v>
      </c>
      <c r="G1311" s="614" t="s">
        <v>296</v>
      </c>
      <c r="H1311" s="614" t="s">
        <v>681</v>
      </c>
      <c r="I1311" s="614" t="s">
        <v>1153</v>
      </c>
      <c r="J1311" s="64" t="s">
        <v>3829</v>
      </c>
      <c r="K1311" s="1940" t="s">
        <v>6747</v>
      </c>
      <c r="L1311" s="1940" t="s">
        <v>8985</v>
      </c>
      <c r="M1311" t="s">
        <v>12367</v>
      </c>
      <c r="N1311" t="s">
        <v>10700</v>
      </c>
      <c r="O1311" t="s">
        <v>6746</v>
      </c>
      <c r="P1311" s="614">
        <f>COUNTIF(EducPlans_кодНАЦИД_Спец[аФакСец],EducPlans_кодНАЦИД_Спец[[#This Row],[аФакСец]])</f>
        <v>1</v>
      </c>
    </row>
    <row r="1312" spans="3:16" x14ac:dyDescent="0.25">
      <c r="C1312" s="614">
        <v>1306</v>
      </c>
      <c r="D1312" s="614">
        <v>12569</v>
      </c>
      <c r="E1312" s="64" t="s">
        <v>1228</v>
      </c>
      <c r="F1312" s="64" t="s">
        <v>6748</v>
      </c>
      <c r="G1312" s="614" t="s">
        <v>296</v>
      </c>
      <c r="H1312" s="614" t="s">
        <v>681</v>
      </c>
      <c r="I1312" s="614" t="s">
        <v>1153</v>
      </c>
      <c r="J1312" s="64" t="s">
        <v>3828</v>
      </c>
      <c r="K1312" s="1940" t="s">
        <v>6747</v>
      </c>
      <c r="L1312" s="1940" t="s">
        <v>8986</v>
      </c>
      <c r="M1312" t="s">
        <v>12368</v>
      </c>
      <c r="N1312" t="s">
        <v>10701</v>
      </c>
      <c r="O1312" t="s">
        <v>6748</v>
      </c>
      <c r="P1312" s="614">
        <f>COUNTIF(EducPlans_кодНАЦИД_Спец[аФакСец],EducPlans_кодНАЦИД_Спец[[#This Row],[аФакСец]])</f>
        <v>1</v>
      </c>
    </row>
    <row r="1313" spans="3:16" x14ac:dyDescent="0.25">
      <c r="C1313" s="614">
        <v>1307</v>
      </c>
      <c r="D1313" s="614">
        <v>12571</v>
      </c>
      <c r="E1313" s="64" t="s">
        <v>1228</v>
      </c>
      <c r="F1313" s="64" t="s">
        <v>6749</v>
      </c>
      <c r="G1313" s="614" t="s">
        <v>296</v>
      </c>
      <c r="H1313" s="614" t="s">
        <v>681</v>
      </c>
      <c r="I1313" s="614" t="s">
        <v>1149</v>
      </c>
      <c r="J1313" s="64" t="s">
        <v>6750</v>
      </c>
      <c r="K1313" s="1940" t="s">
        <v>6751</v>
      </c>
      <c r="L1313" s="1940" t="s">
        <v>8987</v>
      </c>
      <c r="M1313" t="s">
        <v>12369</v>
      </c>
      <c r="N1313" t="s">
        <v>10702</v>
      </c>
      <c r="O1313" t="s">
        <v>6749</v>
      </c>
      <c r="P1313" s="614">
        <f>COUNTIF(EducPlans_кодНАЦИД_Спец[аФакСец],EducPlans_кодНАЦИД_Спец[[#This Row],[аФакСец]])</f>
        <v>1</v>
      </c>
    </row>
    <row r="1314" spans="3:16" x14ac:dyDescent="0.25">
      <c r="C1314" s="614">
        <v>1308</v>
      </c>
      <c r="D1314" s="614">
        <v>12674</v>
      </c>
      <c r="E1314" s="64" t="s">
        <v>1228</v>
      </c>
      <c r="F1314" s="64" t="s">
        <v>6752</v>
      </c>
      <c r="G1314" s="614" t="s">
        <v>296</v>
      </c>
      <c r="H1314" s="614" t="s">
        <v>682</v>
      </c>
      <c r="I1314" s="614" t="s">
        <v>1149</v>
      </c>
      <c r="J1314" s="64" t="s">
        <v>3827</v>
      </c>
      <c r="K1314" s="1940" t="s">
        <v>6753</v>
      </c>
      <c r="L1314" s="1940" t="s">
        <v>8988</v>
      </c>
      <c r="M1314" t="s">
        <v>12370</v>
      </c>
      <c r="N1314" t="s">
        <v>10703</v>
      </c>
      <c r="O1314" t="s">
        <v>6752</v>
      </c>
      <c r="P1314" s="614">
        <f>COUNTIF(EducPlans_кодНАЦИД_Спец[аФакСец],EducPlans_кодНАЦИД_Спец[[#This Row],[аФакСец]])</f>
        <v>1</v>
      </c>
    </row>
    <row r="1315" spans="3:16" x14ac:dyDescent="0.25">
      <c r="C1315" s="614">
        <v>1309</v>
      </c>
      <c r="D1315" s="614">
        <v>12608</v>
      </c>
      <c r="E1315" s="64" t="s">
        <v>1229</v>
      </c>
      <c r="F1315" s="64" t="s">
        <v>6754</v>
      </c>
      <c r="G1315" s="614" t="s">
        <v>296</v>
      </c>
      <c r="H1315" s="614" t="s">
        <v>681</v>
      </c>
      <c r="I1315" s="614" t="s">
        <v>1149</v>
      </c>
      <c r="J1315" s="64" t="s">
        <v>3830</v>
      </c>
      <c r="K1315" s="1940" t="s">
        <v>6755</v>
      </c>
      <c r="L1315" s="1940" t="s">
        <v>8989</v>
      </c>
      <c r="M1315" t="s">
        <v>12371</v>
      </c>
      <c r="N1315" t="s">
        <v>10704</v>
      </c>
      <c r="O1315" t="s">
        <v>6754</v>
      </c>
      <c r="P1315" s="614">
        <f>COUNTIF(EducPlans_кодНАЦИД_Спец[аФакСец],EducPlans_кодНАЦИД_Спец[[#This Row],[аФакСец]])</f>
        <v>1</v>
      </c>
    </row>
    <row r="1316" spans="3:16" x14ac:dyDescent="0.25">
      <c r="C1316" s="614">
        <v>1310</v>
      </c>
      <c r="D1316" s="614">
        <v>583176</v>
      </c>
      <c r="E1316" s="64" t="s">
        <v>1230</v>
      </c>
      <c r="F1316" s="64" t="s">
        <v>6756</v>
      </c>
      <c r="G1316" s="614" t="s">
        <v>296</v>
      </c>
      <c r="H1316" s="614" t="s">
        <v>681</v>
      </c>
      <c r="I1316" s="614" t="s">
        <v>1149</v>
      </c>
      <c r="J1316" s="64" t="s">
        <v>6757</v>
      </c>
      <c r="K1316" s="1940" t="s">
        <v>6758</v>
      </c>
      <c r="L1316" s="1940" t="s">
        <v>8990</v>
      </c>
      <c r="M1316" t="s">
        <v>12372</v>
      </c>
      <c r="N1316" t="s">
        <v>10705</v>
      </c>
      <c r="O1316" t="s">
        <v>6756</v>
      </c>
      <c r="P1316" s="614">
        <f>COUNTIF(EducPlans_кодНАЦИД_Спец[аФакСец],EducPlans_кодНАЦИД_Спец[[#This Row],[аФакСец]])</f>
        <v>1</v>
      </c>
    </row>
    <row r="1317" spans="3:16" x14ac:dyDescent="0.25">
      <c r="C1317" s="614">
        <v>1311</v>
      </c>
      <c r="D1317" s="614">
        <v>12681</v>
      </c>
      <c r="E1317" s="64" t="s">
        <v>1232</v>
      </c>
      <c r="F1317" s="64" t="s">
        <v>6759</v>
      </c>
      <c r="G1317" s="614" t="s">
        <v>296</v>
      </c>
      <c r="H1317" s="614" t="s">
        <v>682</v>
      </c>
      <c r="I1317" s="614" t="s">
        <v>1149</v>
      </c>
      <c r="J1317" s="64" t="s">
        <v>3831</v>
      </c>
      <c r="K1317" s="1940" t="s">
        <v>6760</v>
      </c>
      <c r="L1317" s="1940" t="s">
        <v>8991</v>
      </c>
      <c r="M1317" t="s">
        <v>12373</v>
      </c>
      <c r="N1317" t="s">
        <v>10706</v>
      </c>
      <c r="O1317" t="s">
        <v>6759</v>
      </c>
      <c r="P1317" s="614">
        <f>COUNTIF(EducPlans_кодНАЦИД_Спец[аФакСец],EducPlans_кодНАЦИД_Спец[[#This Row],[аФакСец]])</f>
        <v>1</v>
      </c>
    </row>
    <row r="1318" spans="3:16" x14ac:dyDescent="0.25">
      <c r="C1318" s="614">
        <v>1312</v>
      </c>
      <c r="D1318" s="614">
        <v>839347</v>
      </c>
      <c r="E1318" s="64" t="s">
        <v>1233</v>
      </c>
      <c r="F1318" s="64" t="s">
        <v>13783</v>
      </c>
      <c r="G1318" s="614" t="s">
        <v>296</v>
      </c>
      <c r="H1318" s="614" t="s">
        <v>682</v>
      </c>
      <c r="I1318" s="614" t="s">
        <v>1153</v>
      </c>
      <c r="J1318" s="64" t="s">
        <v>13784</v>
      </c>
      <c r="K1318" s="1940" t="s">
        <v>13785</v>
      </c>
      <c r="L1318" s="1940" t="s">
        <v>13786</v>
      </c>
      <c r="M1318" t="s">
        <v>13787</v>
      </c>
      <c r="N1318" t="s">
        <v>13788</v>
      </c>
      <c r="O1318" t="s">
        <v>13783</v>
      </c>
      <c r="P1318" s="614">
        <f>COUNTIF(EducPlans_кодНАЦИД_Спец[аФакСец],EducPlans_кодНАЦИД_Спец[[#This Row],[аФакСец]])</f>
        <v>1</v>
      </c>
    </row>
    <row r="1319" spans="3:16" x14ac:dyDescent="0.25">
      <c r="C1319" s="614">
        <v>1313</v>
      </c>
      <c r="D1319" s="614">
        <v>12676</v>
      </c>
      <c r="E1319" s="64" t="s">
        <v>1233</v>
      </c>
      <c r="F1319" s="64" t="s">
        <v>6761</v>
      </c>
      <c r="G1319" s="614" t="s">
        <v>296</v>
      </c>
      <c r="H1319" s="614" t="s">
        <v>682</v>
      </c>
      <c r="I1319" s="614" t="s">
        <v>1149</v>
      </c>
      <c r="J1319" s="64" t="s">
        <v>3832</v>
      </c>
      <c r="K1319" s="1940" t="s">
        <v>6762</v>
      </c>
      <c r="L1319" s="1940" t="s">
        <v>8992</v>
      </c>
      <c r="M1319" t="s">
        <v>12374</v>
      </c>
      <c r="N1319" t="s">
        <v>10707</v>
      </c>
      <c r="O1319" t="s">
        <v>6761</v>
      </c>
      <c r="P1319" s="614">
        <f>COUNTIF(EducPlans_кодНАЦИД_Спец[аФакСец],EducPlans_кодНАЦИД_Спец[[#This Row],[аФакСец]])</f>
        <v>1</v>
      </c>
    </row>
    <row r="1320" spans="3:16" x14ac:dyDescent="0.25">
      <c r="C1320" s="614">
        <v>1314</v>
      </c>
      <c r="D1320" s="614">
        <v>12676</v>
      </c>
      <c r="E1320" s="64" t="s">
        <v>1233</v>
      </c>
      <c r="F1320" s="64" t="s">
        <v>6763</v>
      </c>
      <c r="G1320" s="614" t="s">
        <v>296</v>
      </c>
      <c r="H1320" s="614" t="s">
        <v>682</v>
      </c>
      <c r="I1320" s="614" t="s">
        <v>1149</v>
      </c>
      <c r="J1320" s="64" t="s">
        <v>3833</v>
      </c>
      <c r="K1320" s="1940" t="s">
        <v>6762</v>
      </c>
      <c r="L1320" s="1940" t="s">
        <v>8993</v>
      </c>
      <c r="M1320" t="s">
        <v>12375</v>
      </c>
      <c r="N1320" t="s">
        <v>10708</v>
      </c>
      <c r="O1320" t="s">
        <v>6763</v>
      </c>
      <c r="P1320" s="614">
        <f>COUNTIF(EducPlans_кодНАЦИД_Спец[аФакСец],EducPlans_кодНАЦИД_Спец[[#This Row],[аФакСец]])</f>
        <v>1</v>
      </c>
    </row>
    <row r="1321" spans="3:16" x14ac:dyDescent="0.25">
      <c r="C1321" s="614">
        <v>1315</v>
      </c>
      <c r="D1321" s="614">
        <v>839442</v>
      </c>
      <c r="E1321" s="64" t="s">
        <v>1234</v>
      </c>
      <c r="F1321" s="64" t="s">
        <v>13789</v>
      </c>
      <c r="G1321" s="614" t="s">
        <v>296</v>
      </c>
      <c r="H1321" s="614" t="s">
        <v>682</v>
      </c>
      <c r="I1321" s="614" t="s">
        <v>1153</v>
      </c>
      <c r="J1321" s="64" t="s">
        <v>13790</v>
      </c>
      <c r="K1321" s="1940" t="s">
        <v>13791</v>
      </c>
      <c r="L1321" s="1940" t="s">
        <v>13792</v>
      </c>
      <c r="M1321" t="s">
        <v>13793</v>
      </c>
      <c r="N1321" t="s">
        <v>13794</v>
      </c>
      <c r="O1321" t="s">
        <v>13789</v>
      </c>
      <c r="P1321" s="614">
        <f>COUNTIF(EducPlans_кодНАЦИД_Спец[аФакСец],EducPlans_кодНАЦИД_Спец[[#This Row],[аФакСец]])</f>
        <v>1</v>
      </c>
    </row>
    <row r="1322" spans="3:16" x14ac:dyDescent="0.25">
      <c r="C1322" s="614">
        <v>1316</v>
      </c>
      <c r="D1322" s="614">
        <v>12621</v>
      </c>
      <c r="E1322" s="64" t="s">
        <v>1234</v>
      </c>
      <c r="F1322" s="64" t="s">
        <v>6764</v>
      </c>
      <c r="G1322" s="614" t="s">
        <v>296</v>
      </c>
      <c r="H1322" s="614" t="s">
        <v>682</v>
      </c>
      <c r="I1322" s="614" t="s">
        <v>1149</v>
      </c>
      <c r="J1322" s="64" t="s">
        <v>3834</v>
      </c>
      <c r="K1322" s="1940" t="s">
        <v>6765</v>
      </c>
      <c r="L1322" s="1940" t="s">
        <v>8994</v>
      </c>
      <c r="M1322" t="s">
        <v>12376</v>
      </c>
      <c r="N1322" t="s">
        <v>10709</v>
      </c>
      <c r="O1322" t="s">
        <v>6764</v>
      </c>
      <c r="P1322" s="614">
        <f>COUNTIF(EducPlans_кодНАЦИД_Спец[аФакСец],EducPlans_кодНАЦИД_Спец[[#This Row],[аФакСец]])</f>
        <v>1</v>
      </c>
    </row>
    <row r="1323" spans="3:16" x14ac:dyDescent="0.25">
      <c r="C1323" s="614">
        <v>1317</v>
      </c>
      <c r="D1323" s="614">
        <v>12572</v>
      </c>
      <c r="E1323" s="64" t="s">
        <v>1235</v>
      </c>
      <c r="F1323" s="64" t="s">
        <v>6766</v>
      </c>
      <c r="G1323" s="614" t="s">
        <v>296</v>
      </c>
      <c r="H1323" s="614" t="s">
        <v>681</v>
      </c>
      <c r="I1323" s="614" t="s">
        <v>1153</v>
      </c>
      <c r="J1323" s="64" t="s">
        <v>3835</v>
      </c>
      <c r="K1323" s="1940" t="s">
        <v>6767</v>
      </c>
      <c r="L1323" s="1940" t="s">
        <v>8995</v>
      </c>
      <c r="M1323" t="s">
        <v>12377</v>
      </c>
      <c r="N1323" t="s">
        <v>10710</v>
      </c>
      <c r="O1323" t="s">
        <v>6766</v>
      </c>
      <c r="P1323" s="614">
        <f>COUNTIF(EducPlans_кодНАЦИД_Спец[аФакСец],EducPlans_кодНАЦИД_Спец[[#This Row],[аФакСец]])</f>
        <v>1</v>
      </c>
    </row>
    <row r="1324" spans="3:16" x14ac:dyDescent="0.25">
      <c r="C1324" s="614">
        <v>1318</v>
      </c>
      <c r="D1324" s="614">
        <v>12940</v>
      </c>
      <c r="E1324" s="64" t="s">
        <v>1828</v>
      </c>
      <c r="F1324" s="64" t="s">
        <v>6768</v>
      </c>
      <c r="G1324" s="614" t="s">
        <v>42</v>
      </c>
      <c r="H1324" s="614" t="s">
        <v>682</v>
      </c>
      <c r="I1324" s="614" t="s">
        <v>1149</v>
      </c>
      <c r="J1324" s="64" t="s">
        <v>3493</v>
      </c>
      <c r="K1324" s="1940" t="s">
        <v>6769</v>
      </c>
      <c r="L1324" s="1940" t="s">
        <v>8996</v>
      </c>
      <c r="M1324" t="s">
        <v>12378</v>
      </c>
      <c r="N1324" t="s">
        <v>10711</v>
      </c>
      <c r="O1324" t="s">
        <v>6768</v>
      </c>
      <c r="P1324" s="614">
        <f>COUNTIF(EducPlans_кодНАЦИД_Спец[аФакСец],EducPlans_кодНАЦИД_Спец[[#This Row],[аФакСец]])</f>
        <v>1</v>
      </c>
    </row>
    <row r="1325" spans="3:16" x14ac:dyDescent="0.25">
      <c r="C1325" s="614">
        <v>1319</v>
      </c>
      <c r="D1325" s="614">
        <v>929189</v>
      </c>
      <c r="E1325" s="64" t="s">
        <v>13795</v>
      </c>
      <c r="F1325" s="64" t="s">
        <v>13796</v>
      </c>
      <c r="G1325" s="614" t="s">
        <v>50</v>
      </c>
      <c r="H1325" s="614" t="s">
        <v>682</v>
      </c>
      <c r="I1325" s="614" t="s">
        <v>1153</v>
      </c>
      <c r="J1325" s="64" t="s">
        <v>13797</v>
      </c>
      <c r="K1325" s="1940" t="s">
        <v>13798</v>
      </c>
      <c r="L1325" s="1940" t="s">
        <v>13799</v>
      </c>
      <c r="M1325" t="s">
        <v>13800</v>
      </c>
      <c r="N1325" t="s">
        <v>13801</v>
      </c>
      <c r="O1325" t="s">
        <v>13796</v>
      </c>
      <c r="P1325" s="614">
        <f>COUNTIF(EducPlans_кодНАЦИД_Спец[аФакСец],EducPlans_кодНАЦИД_Спец[[#This Row],[аФакСец]])</f>
        <v>1</v>
      </c>
    </row>
    <row r="1326" spans="3:16" x14ac:dyDescent="0.25">
      <c r="C1326" s="614">
        <v>1320</v>
      </c>
      <c r="D1326" s="614">
        <v>929191</v>
      </c>
      <c r="E1326" s="64" t="s">
        <v>13795</v>
      </c>
      <c r="F1326" s="64" t="s">
        <v>13802</v>
      </c>
      <c r="G1326" s="614" t="s">
        <v>50</v>
      </c>
      <c r="H1326" s="614" t="s">
        <v>682</v>
      </c>
      <c r="I1326" s="614" t="s">
        <v>1153</v>
      </c>
      <c r="J1326" s="64" t="s">
        <v>13803</v>
      </c>
      <c r="K1326" s="1940" t="s">
        <v>13798</v>
      </c>
      <c r="L1326" s="1940" t="s">
        <v>13804</v>
      </c>
      <c r="M1326" t="s">
        <v>13805</v>
      </c>
      <c r="N1326" t="s">
        <v>13806</v>
      </c>
      <c r="O1326" t="s">
        <v>13802</v>
      </c>
      <c r="P1326" s="614">
        <f>COUNTIF(EducPlans_кодНАЦИД_Спец[аФакСец],EducPlans_кодНАЦИД_Спец[[#This Row],[аФакСец]])</f>
        <v>1</v>
      </c>
    </row>
    <row r="1327" spans="3:16" x14ac:dyDescent="0.25">
      <c r="C1327" s="614">
        <v>1321</v>
      </c>
      <c r="D1327" s="614">
        <v>929190</v>
      </c>
      <c r="E1327" s="64" t="s">
        <v>13795</v>
      </c>
      <c r="F1327" s="64" t="s">
        <v>13807</v>
      </c>
      <c r="G1327" s="614" t="s">
        <v>50</v>
      </c>
      <c r="H1327" s="614" t="s">
        <v>682</v>
      </c>
      <c r="I1327" s="614" t="s">
        <v>1149</v>
      </c>
      <c r="J1327" s="64" t="s">
        <v>13808</v>
      </c>
      <c r="K1327" s="1940" t="s">
        <v>13809</v>
      </c>
      <c r="L1327" s="1940" t="s">
        <v>13810</v>
      </c>
      <c r="M1327" t="s">
        <v>13811</v>
      </c>
      <c r="N1327" t="s">
        <v>13812</v>
      </c>
      <c r="O1327" t="s">
        <v>13807</v>
      </c>
      <c r="P1327" s="614">
        <f>COUNTIF(EducPlans_кодНАЦИД_Спец[аФакСец],EducPlans_кодНАЦИД_Спец[[#This Row],[аФакСец]])</f>
        <v>1</v>
      </c>
    </row>
    <row r="1328" spans="3:16" x14ac:dyDescent="0.25">
      <c r="C1328" s="614">
        <v>1322</v>
      </c>
      <c r="D1328" s="614">
        <v>929192</v>
      </c>
      <c r="E1328" s="64" t="s">
        <v>13795</v>
      </c>
      <c r="F1328" s="64" t="s">
        <v>13813</v>
      </c>
      <c r="G1328" s="614" t="s">
        <v>50</v>
      </c>
      <c r="H1328" s="614" t="s">
        <v>682</v>
      </c>
      <c r="I1328" s="614" t="s">
        <v>1149</v>
      </c>
      <c r="J1328" s="64" t="s">
        <v>13814</v>
      </c>
      <c r="K1328" s="1940" t="s">
        <v>13809</v>
      </c>
      <c r="L1328" s="1940" t="s">
        <v>13815</v>
      </c>
      <c r="M1328" t="s">
        <v>13816</v>
      </c>
      <c r="N1328" t="s">
        <v>13817</v>
      </c>
      <c r="O1328" t="s">
        <v>13813</v>
      </c>
      <c r="P1328" s="614">
        <f>COUNTIF(EducPlans_кодНАЦИД_Спец[аФакСец],EducPlans_кодНАЦИД_Спец[[#This Row],[аФакСец]])</f>
        <v>1</v>
      </c>
    </row>
    <row r="1329" spans="3:16" x14ac:dyDescent="0.25">
      <c r="C1329" s="614">
        <v>1323</v>
      </c>
      <c r="D1329" s="614">
        <v>12862</v>
      </c>
      <c r="E1329" s="64" t="s">
        <v>13818</v>
      </c>
      <c r="F1329" s="64" t="s">
        <v>13819</v>
      </c>
      <c r="G1329" s="614" t="s">
        <v>626</v>
      </c>
      <c r="H1329" s="614" t="s">
        <v>682</v>
      </c>
      <c r="I1329" s="614" t="s">
        <v>1153</v>
      </c>
      <c r="J1329" s="64" t="s">
        <v>3371</v>
      </c>
      <c r="K1329" s="1940" t="s">
        <v>13820</v>
      </c>
      <c r="L1329" s="1940" t="s">
        <v>8999</v>
      </c>
      <c r="M1329" t="s">
        <v>13821</v>
      </c>
      <c r="N1329" t="s">
        <v>10714</v>
      </c>
      <c r="O1329" t="s">
        <v>13819</v>
      </c>
      <c r="P1329" s="614">
        <f>COUNTIF(EducPlans_кодНАЦИД_Спец[аФакСец],EducPlans_кодНАЦИД_Спец[[#This Row],[аФакСец]])</f>
        <v>1</v>
      </c>
    </row>
    <row r="1330" spans="3:16" x14ac:dyDescent="0.25">
      <c r="C1330" s="614">
        <v>1324</v>
      </c>
      <c r="D1330" s="614">
        <v>12862</v>
      </c>
      <c r="E1330" s="64" t="s">
        <v>13818</v>
      </c>
      <c r="F1330" s="64" t="s">
        <v>13822</v>
      </c>
      <c r="G1330" s="614" t="s">
        <v>626</v>
      </c>
      <c r="H1330" s="614" t="s">
        <v>682</v>
      </c>
      <c r="I1330" s="614" t="s">
        <v>1153</v>
      </c>
      <c r="J1330" s="64" t="s">
        <v>13823</v>
      </c>
      <c r="K1330" s="1940" t="s">
        <v>13820</v>
      </c>
      <c r="L1330" s="1940" t="s">
        <v>13824</v>
      </c>
      <c r="M1330" t="s">
        <v>13825</v>
      </c>
      <c r="N1330" t="s">
        <v>13826</v>
      </c>
      <c r="O1330" t="s">
        <v>13822</v>
      </c>
      <c r="P1330" s="614">
        <f>COUNTIF(EducPlans_кодНАЦИД_Спец[аФакСец],EducPlans_кодНАЦИД_Спец[[#This Row],[аФакСец]])</f>
        <v>1</v>
      </c>
    </row>
    <row r="1331" spans="3:16" x14ac:dyDescent="0.25">
      <c r="C1331" s="614">
        <v>1325</v>
      </c>
      <c r="D1331" s="614">
        <v>12862</v>
      </c>
      <c r="E1331" s="64" t="s">
        <v>13818</v>
      </c>
      <c r="F1331" s="64" t="s">
        <v>13827</v>
      </c>
      <c r="G1331" s="614" t="s">
        <v>626</v>
      </c>
      <c r="H1331" s="614" t="s">
        <v>682</v>
      </c>
      <c r="I1331" s="614" t="s">
        <v>1153</v>
      </c>
      <c r="J1331" s="64" t="s">
        <v>3372</v>
      </c>
      <c r="K1331" s="1940" t="s">
        <v>13820</v>
      </c>
      <c r="L1331" s="1940" t="s">
        <v>9000</v>
      </c>
      <c r="M1331" t="s">
        <v>13828</v>
      </c>
      <c r="N1331" t="s">
        <v>10715</v>
      </c>
      <c r="O1331" t="s">
        <v>13827</v>
      </c>
      <c r="P1331" s="614">
        <f>COUNTIF(EducPlans_кодНАЦИД_Спец[аФакСец],EducPlans_кодНАЦИД_Спец[[#This Row],[аФакСец]])</f>
        <v>1</v>
      </c>
    </row>
    <row r="1332" spans="3:16" x14ac:dyDescent="0.25">
      <c r="C1332" s="614">
        <v>1326</v>
      </c>
      <c r="D1332" s="614">
        <v>66147</v>
      </c>
      <c r="E1332" s="64" t="s">
        <v>13818</v>
      </c>
      <c r="F1332" s="64" t="s">
        <v>13829</v>
      </c>
      <c r="G1332" s="614" t="s">
        <v>626</v>
      </c>
      <c r="H1332" s="614" t="s">
        <v>682</v>
      </c>
      <c r="I1332" s="614" t="s">
        <v>1153</v>
      </c>
      <c r="J1332" s="64" t="s">
        <v>3374</v>
      </c>
      <c r="K1332" s="1940" t="s">
        <v>13820</v>
      </c>
      <c r="L1332" s="1940" t="s">
        <v>9001</v>
      </c>
      <c r="M1332" t="s">
        <v>13830</v>
      </c>
      <c r="N1332" t="s">
        <v>10716</v>
      </c>
      <c r="O1332" t="s">
        <v>13829</v>
      </c>
      <c r="P1332" s="614">
        <f>COUNTIF(EducPlans_кодНАЦИД_Спец[аФакСец],EducPlans_кодНАЦИД_Спец[[#This Row],[аФакСец]])</f>
        <v>1</v>
      </c>
    </row>
    <row r="1333" spans="3:16" x14ac:dyDescent="0.25">
      <c r="C1333" s="614">
        <v>1327</v>
      </c>
      <c r="D1333" s="614">
        <v>66147</v>
      </c>
      <c r="E1333" s="64" t="s">
        <v>13818</v>
      </c>
      <c r="F1333" s="64" t="s">
        <v>13831</v>
      </c>
      <c r="G1333" s="614" t="s">
        <v>626</v>
      </c>
      <c r="H1333" s="614" t="s">
        <v>682</v>
      </c>
      <c r="I1333" s="614" t="s">
        <v>1153</v>
      </c>
      <c r="J1333" s="64" t="s">
        <v>13832</v>
      </c>
      <c r="K1333" s="1940" t="s">
        <v>13820</v>
      </c>
      <c r="L1333" s="1940" t="s">
        <v>13833</v>
      </c>
      <c r="M1333" t="s">
        <v>13834</v>
      </c>
      <c r="N1333" t="s">
        <v>13835</v>
      </c>
      <c r="O1333" t="s">
        <v>13831</v>
      </c>
      <c r="P1333" s="614">
        <f>COUNTIF(EducPlans_кодНАЦИД_Спец[аФакСец],EducPlans_кодНАЦИД_Спец[[#This Row],[аФакСец]])</f>
        <v>1</v>
      </c>
    </row>
    <row r="1334" spans="3:16" x14ac:dyDescent="0.25">
      <c r="C1334" s="614">
        <v>1328</v>
      </c>
      <c r="D1334" s="614">
        <v>66147</v>
      </c>
      <c r="E1334" s="64" t="s">
        <v>13818</v>
      </c>
      <c r="F1334" s="64" t="s">
        <v>13836</v>
      </c>
      <c r="G1334" s="614" t="s">
        <v>626</v>
      </c>
      <c r="H1334" s="614" t="s">
        <v>682</v>
      </c>
      <c r="I1334" s="614" t="s">
        <v>1153</v>
      </c>
      <c r="J1334" s="64" t="s">
        <v>3373</v>
      </c>
      <c r="K1334" s="1940" t="s">
        <v>13820</v>
      </c>
      <c r="L1334" s="1940" t="s">
        <v>9002</v>
      </c>
      <c r="M1334" t="s">
        <v>13837</v>
      </c>
      <c r="N1334" t="s">
        <v>10717</v>
      </c>
      <c r="O1334" t="s">
        <v>13836</v>
      </c>
      <c r="P1334" s="614">
        <f>COUNTIF(EducPlans_кодНАЦИД_Спец[аФакСец],EducPlans_кодНАЦИД_Спец[[#This Row],[аФакСец]])</f>
        <v>1</v>
      </c>
    </row>
    <row r="1335" spans="3:16" x14ac:dyDescent="0.25">
      <c r="C1335" s="614">
        <v>1329</v>
      </c>
      <c r="D1335" s="614">
        <v>12853</v>
      </c>
      <c r="E1335" s="64" t="s">
        <v>2032</v>
      </c>
      <c r="F1335" s="64" t="s">
        <v>6770</v>
      </c>
      <c r="G1335" s="614" t="s">
        <v>626</v>
      </c>
      <c r="H1335" s="614" t="s">
        <v>682</v>
      </c>
      <c r="I1335" s="614" t="s">
        <v>1153</v>
      </c>
      <c r="J1335" s="64" t="s">
        <v>3369</v>
      </c>
      <c r="K1335" s="1940" t="s">
        <v>6771</v>
      </c>
      <c r="L1335" s="1940" t="s">
        <v>8997</v>
      </c>
      <c r="M1335" t="s">
        <v>12379</v>
      </c>
      <c r="N1335" t="s">
        <v>10712</v>
      </c>
      <c r="O1335" t="s">
        <v>6770</v>
      </c>
      <c r="P1335" s="614">
        <f>COUNTIF(EducPlans_кодНАЦИД_Спец[аФакСец],EducPlans_кодНАЦИД_Спец[[#This Row],[аФакСец]])</f>
        <v>1</v>
      </c>
    </row>
    <row r="1336" spans="3:16" x14ac:dyDescent="0.25">
      <c r="C1336" s="614">
        <v>1330</v>
      </c>
      <c r="D1336" s="614">
        <v>12853</v>
      </c>
      <c r="E1336" s="64" t="s">
        <v>2032</v>
      </c>
      <c r="F1336" s="64" t="s">
        <v>6772</v>
      </c>
      <c r="G1336" s="614" t="s">
        <v>626</v>
      </c>
      <c r="H1336" s="614" t="s">
        <v>682</v>
      </c>
      <c r="I1336" s="614" t="s">
        <v>1153</v>
      </c>
      <c r="J1336" s="64" t="s">
        <v>3370</v>
      </c>
      <c r="K1336" s="1940" t="s">
        <v>6771</v>
      </c>
      <c r="L1336" s="1940" t="s">
        <v>8998</v>
      </c>
      <c r="M1336" t="s">
        <v>12380</v>
      </c>
      <c r="N1336" t="s">
        <v>10713</v>
      </c>
      <c r="O1336" t="s">
        <v>6772</v>
      </c>
      <c r="P1336" s="614">
        <f>COUNTIF(EducPlans_кодНАЦИД_Спец[аФакСец],EducPlans_кодНАЦИД_Спец[[#This Row],[аФакСец]])</f>
        <v>1</v>
      </c>
    </row>
    <row r="1337" spans="3:16" x14ac:dyDescent="0.25">
      <c r="C1337" s="614">
        <v>1331</v>
      </c>
      <c r="D1337" s="614">
        <v>12859</v>
      </c>
      <c r="E1337" s="64" t="s">
        <v>2035</v>
      </c>
      <c r="F1337" s="64" t="s">
        <v>6773</v>
      </c>
      <c r="G1337" s="614" t="s">
        <v>626</v>
      </c>
      <c r="H1337" s="614" t="s">
        <v>682</v>
      </c>
      <c r="I1337" s="614" t="s">
        <v>1153</v>
      </c>
      <c r="J1337" s="64" t="s">
        <v>3376</v>
      </c>
      <c r="K1337" s="1940" t="s">
        <v>6774</v>
      </c>
      <c r="L1337" s="1940" t="s">
        <v>9003</v>
      </c>
      <c r="M1337" t="s">
        <v>12381</v>
      </c>
      <c r="N1337" t="s">
        <v>10718</v>
      </c>
      <c r="O1337" t="s">
        <v>6773</v>
      </c>
      <c r="P1337" s="614">
        <f>COUNTIF(EducPlans_кодНАЦИД_Спец[аФакСец],EducPlans_кодНАЦИД_Спец[[#This Row],[аФакСец]])</f>
        <v>1</v>
      </c>
    </row>
    <row r="1338" spans="3:16" x14ac:dyDescent="0.25">
      <c r="C1338" s="614">
        <v>1332</v>
      </c>
      <c r="D1338" s="614">
        <v>12859</v>
      </c>
      <c r="E1338" s="64" t="s">
        <v>2035</v>
      </c>
      <c r="F1338" s="64" t="s">
        <v>6775</v>
      </c>
      <c r="G1338" s="614" t="s">
        <v>626</v>
      </c>
      <c r="H1338" s="614" t="s">
        <v>682</v>
      </c>
      <c r="I1338" s="614" t="s">
        <v>1153</v>
      </c>
      <c r="J1338" s="64" t="s">
        <v>3375</v>
      </c>
      <c r="K1338" s="1940" t="s">
        <v>6774</v>
      </c>
      <c r="L1338" s="1940" t="s">
        <v>9004</v>
      </c>
      <c r="M1338" t="s">
        <v>12382</v>
      </c>
      <c r="N1338" t="s">
        <v>10719</v>
      </c>
      <c r="O1338" t="s">
        <v>6775</v>
      </c>
      <c r="P1338" s="614">
        <f>COUNTIF(EducPlans_кодНАЦИД_Спец[аФакСец],EducPlans_кодНАЦИД_Спец[[#This Row],[аФакСец]])</f>
        <v>1</v>
      </c>
    </row>
    <row r="1339" spans="3:16" x14ac:dyDescent="0.25">
      <c r="C1339" s="614">
        <v>1333</v>
      </c>
      <c r="D1339" s="614">
        <v>12846</v>
      </c>
      <c r="E1339" s="64" t="s">
        <v>2036</v>
      </c>
      <c r="F1339" s="64" t="s">
        <v>6776</v>
      </c>
      <c r="G1339" s="614" t="s">
        <v>626</v>
      </c>
      <c r="H1339" s="614" t="s">
        <v>682</v>
      </c>
      <c r="I1339" s="614" t="s">
        <v>1153</v>
      </c>
      <c r="J1339" s="64" t="s">
        <v>3377</v>
      </c>
      <c r="K1339" s="1940" t="s">
        <v>6777</v>
      </c>
      <c r="L1339" s="1940" t="s">
        <v>9005</v>
      </c>
      <c r="M1339" t="s">
        <v>12383</v>
      </c>
      <c r="N1339" t="s">
        <v>10720</v>
      </c>
      <c r="O1339" t="s">
        <v>6776</v>
      </c>
      <c r="P1339" s="614">
        <f>COUNTIF(EducPlans_кодНАЦИД_Спец[аФакСец],EducPlans_кодНАЦИД_Спец[[#This Row],[аФакСец]])</f>
        <v>1</v>
      </c>
    </row>
    <row r="1340" spans="3:16" x14ac:dyDescent="0.25">
      <c r="C1340" s="614">
        <v>1334</v>
      </c>
      <c r="D1340" s="614">
        <v>12847</v>
      </c>
      <c r="E1340" s="64" t="s">
        <v>2038</v>
      </c>
      <c r="F1340" s="64" t="s">
        <v>6778</v>
      </c>
      <c r="G1340" s="614" t="s">
        <v>626</v>
      </c>
      <c r="H1340" s="614" t="s">
        <v>682</v>
      </c>
      <c r="I1340" s="614" t="s">
        <v>1153</v>
      </c>
      <c r="J1340" s="64" t="s">
        <v>6779</v>
      </c>
      <c r="K1340" s="1940" t="s">
        <v>6780</v>
      </c>
      <c r="L1340" s="1940" t="s">
        <v>9006</v>
      </c>
      <c r="M1340" t="s">
        <v>12384</v>
      </c>
      <c r="N1340" t="s">
        <v>10721</v>
      </c>
      <c r="O1340" t="s">
        <v>6778</v>
      </c>
      <c r="P1340" s="614">
        <f>COUNTIF(EducPlans_кодНАЦИД_Спец[аФакСец],EducPlans_кодНАЦИД_Спец[[#This Row],[аФакСец]])</f>
        <v>1</v>
      </c>
    </row>
    <row r="1341" spans="3:16" x14ac:dyDescent="0.25">
      <c r="C1341" s="614">
        <v>1335</v>
      </c>
      <c r="D1341" s="614">
        <v>12847</v>
      </c>
      <c r="E1341" s="64" t="s">
        <v>2038</v>
      </c>
      <c r="F1341" s="64" t="s">
        <v>6781</v>
      </c>
      <c r="G1341" s="614" t="s">
        <v>626</v>
      </c>
      <c r="H1341" s="614" t="s">
        <v>682</v>
      </c>
      <c r="I1341" s="614" t="s">
        <v>1153</v>
      </c>
      <c r="J1341" s="64" t="s">
        <v>3381</v>
      </c>
      <c r="K1341" s="1940" t="s">
        <v>6780</v>
      </c>
      <c r="L1341" s="1940" t="s">
        <v>9007</v>
      </c>
      <c r="M1341" t="s">
        <v>12385</v>
      </c>
      <c r="N1341" t="s">
        <v>10722</v>
      </c>
      <c r="O1341" t="s">
        <v>6781</v>
      </c>
      <c r="P1341" s="614">
        <f>COUNTIF(EducPlans_кодНАЦИД_Спец[аФакСец],EducPlans_кодНАЦИД_Спец[[#This Row],[аФакСец]])</f>
        <v>1</v>
      </c>
    </row>
    <row r="1342" spans="3:16" x14ac:dyDescent="0.25">
      <c r="C1342" s="614">
        <v>1336</v>
      </c>
      <c r="D1342" s="614">
        <v>12847</v>
      </c>
      <c r="E1342" s="64" t="s">
        <v>2038</v>
      </c>
      <c r="F1342" s="64" t="s">
        <v>6782</v>
      </c>
      <c r="G1342" s="614" t="s">
        <v>626</v>
      </c>
      <c r="H1342" s="614" t="s">
        <v>682</v>
      </c>
      <c r="I1342" s="614" t="s">
        <v>1153</v>
      </c>
      <c r="J1342" s="64" t="s">
        <v>3379</v>
      </c>
      <c r="K1342" s="1940" t="s">
        <v>6780</v>
      </c>
      <c r="L1342" s="1940" t="s">
        <v>9008</v>
      </c>
      <c r="M1342" t="s">
        <v>12386</v>
      </c>
      <c r="N1342" t="s">
        <v>10723</v>
      </c>
      <c r="O1342" t="s">
        <v>6782</v>
      </c>
      <c r="P1342" s="614">
        <f>COUNTIF(EducPlans_кодНАЦИД_Спец[аФакСец],EducPlans_кодНАЦИД_Спец[[#This Row],[аФакСец]])</f>
        <v>1</v>
      </c>
    </row>
    <row r="1343" spans="3:16" x14ac:dyDescent="0.25">
      <c r="C1343" s="614">
        <v>1337</v>
      </c>
      <c r="D1343" s="614">
        <v>12876</v>
      </c>
      <c r="E1343" s="64" t="s">
        <v>2039</v>
      </c>
      <c r="F1343" s="64" t="s">
        <v>13838</v>
      </c>
      <c r="G1343" s="614" t="s">
        <v>626</v>
      </c>
      <c r="H1343" s="614" t="s">
        <v>682</v>
      </c>
      <c r="I1343" s="614" t="s">
        <v>1153</v>
      </c>
      <c r="J1343" s="64" t="s">
        <v>13839</v>
      </c>
      <c r="K1343" s="1940" t="s">
        <v>6784</v>
      </c>
      <c r="L1343" s="1940" t="s">
        <v>13840</v>
      </c>
      <c r="M1343" t="s">
        <v>13841</v>
      </c>
      <c r="N1343" t="s">
        <v>13842</v>
      </c>
      <c r="O1343" t="s">
        <v>13838</v>
      </c>
      <c r="P1343" s="614">
        <f>COUNTIF(EducPlans_кодНАЦИД_Спец[аФакСец],EducPlans_кодНАЦИД_Спец[[#This Row],[аФакСец]])</f>
        <v>1</v>
      </c>
    </row>
    <row r="1344" spans="3:16" x14ac:dyDescent="0.25">
      <c r="C1344" s="614">
        <v>1338</v>
      </c>
      <c r="D1344" s="614">
        <v>12876</v>
      </c>
      <c r="E1344" s="64" t="s">
        <v>2039</v>
      </c>
      <c r="F1344" s="64" t="s">
        <v>6783</v>
      </c>
      <c r="G1344" s="614" t="s">
        <v>626</v>
      </c>
      <c r="H1344" s="614" t="s">
        <v>682</v>
      </c>
      <c r="I1344" s="614" t="s">
        <v>1153</v>
      </c>
      <c r="J1344" s="64" t="s">
        <v>3384</v>
      </c>
      <c r="K1344" s="1940" t="s">
        <v>6784</v>
      </c>
      <c r="L1344" s="1940" t="s">
        <v>9009</v>
      </c>
      <c r="M1344" t="s">
        <v>12387</v>
      </c>
      <c r="N1344" t="s">
        <v>10724</v>
      </c>
      <c r="O1344" t="s">
        <v>6783</v>
      </c>
      <c r="P1344" s="614">
        <f>COUNTIF(EducPlans_кодНАЦИД_Спец[аФакСец],EducPlans_кодНАЦИД_Спец[[#This Row],[аФакСец]])</f>
        <v>1</v>
      </c>
    </row>
    <row r="1345" spans="3:16" x14ac:dyDescent="0.25">
      <c r="C1345" s="614">
        <v>1339</v>
      </c>
      <c r="D1345" s="614">
        <v>12876</v>
      </c>
      <c r="E1345" s="64" t="s">
        <v>2039</v>
      </c>
      <c r="F1345" s="64" t="s">
        <v>6785</v>
      </c>
      <c r="G1345" s="614" t="s">
        <v>626</v>
      </c>
      <c r="H1345" s="614" t="s">
        <v>682</v>
      </c>
      <c r="I1345" s="614" t="s">
        <v>1153</v>
      </c>
      <c r="J1345" s="64" t="s">
        <v>3383</v>
      </c>
      <c r="K1345" s="1940" t="s">
        <v>6784</v>
      </c>
      <c r="L1345" s="1940" t="s">
        <v>9010</v>
      </c>
      <c r="M1345" t="s">
        <v>12388</v>
      </c>
      <c r="N1345" t="s">
        <v>10725</v>
      </c>
      <c r="O1345" t="s">
        <v>6785</v>
      </c>
      <c r="P1345" s="614">
        <f>COUNTIF(EducPlans_кодНАЦИД_Спец[аФакСец],EducPlans_кодНАЦИД_Спец[[#This Row],[аФакСец]])</f>
        <v>1</v>
      </c>
    </row>
    <row r="1346" spans="3:16" x14ac:dyDescent="0.25">
      <c r="C1346" s="614">
        <v>1340</v>
      </c>
      <c r="D1346" s="614">
        <v>11664</v>
      </c>
      <c r="E1346" s="64" t="s">
        <v>1451</v>
      </c>
      <c r="F1346" s="64" t="s">
        <v>6786</v>
      </c>
      <c r="G1346" s="614" t="s">
        <v>33</v>
      </c>
      <c r="H1346" s="614" t="s">
        <v>682</v>
      </c>
      <c r="I1346" s="614" t="s">
        <v>1153</v>
      </c>
      <c r="J1346" s="64" t="s">
        <v>3609</v>
      </c>
      <c r="K1346" s="1940" t="s">
        <v>6787</v>
      </c>
      <c r="L1346" s="1940" t="s">
        <v>9011</v>
      </c>
      <c r="M1346" t="s">
        <v>12389</v>
      </c>
      <c r="N1346" t="s">
        <v>10726</v>
      </c>
      <c r="O1346" t="s">
        <v>6786</v>
      </c>
      <c r="P1346" s="614">
        <f>COUNTIF(EducPlans_кодНАЦИД_Спец[аФакСец],EducPlans_кодНАЦИД_Спец[[#This Row],[аФакСец]])</f>
        <v>2</v>
      </c>
    </row>
    <row r="1347" spans="3:16" x14ac:dyDescent="0.25">
      <c r="C1347" s="614">
        <v>1341</v>
      </c>
      <c r="D1347" s="614">
        <v>11664</v>
      </c>
      <c r="E1347" s="64" t="s">
        <v>1451</v>
      </c>
      <c r="F1347" s="64" t="s">
        <v>6788</v>
      </c>
      <c r="G1347" s="614" t="s">
        <v>33</v>
      </c>
      <c r="H1347" s="614" t="s">
        <v>682</v>
      </c>
      <c r="I1347" s="614" t="s">
        <v>1153</v>
      </c>
      <c r="J1347" s="64" t="s">
        <v>3611</v>
      </c>
      <c r="K1347" s="1940" t="s">
        <v>6787</v>
      </c>
      <c r="L1347" s="1940" t="s">
        <v>9012</v>
      </c>
      <c r="M1347" t="s">
        <v>12390</v>
      </c>
      <c r="N1347" t="s">
        <v>10727</v>
      </c>
      <c r="O1347" t="s">
        <v>6788</v>
      </c>
      <c r="P1347" s="614">
        <f>COUNTIF(EducPlans_кодНАЦИД_Спец[аФакСец],EducPlans_кодНАЦИД_Спец[[#This Row],[аФакСец]])</f>
        <v>2</v>
      </c>
    </row>
    <row r="1348" spans="3:16" x14ac:dyDescent="0.25">
      <c r="C1348" s="614">
        <v>1342</v>
      </c>
      <c r="D1348" s="614">
        <v>11664</v>
      </c>
      <c r="E1348" s="64" t="s">
        <v>1451</v>
      </c>
      <c r="F1348" s="64" t="s">
        <v>6789</v>
      </c>
      <c r="G1348" s="614" t="s">
        <v>33</v>
      </c>
      <c r="H1348" s="614" t="s">
        <v>682</v>
      </c>
      <c r="I1348" s="614" t="s">
        <v>1153</v>
      </c>
      <c r="J1348" s="64" t="s">
        <v>3614</v>
      </c>
      <c r="K1348" s="1940" t="s">
        <v>6787</v>
      </c>
      <c r="L1348" s="1940" t="s">
        <v>9013</v>
      </c>
      <c r="M1348" t="s">
        <v>12391</v>
      </c>
      <c r="N1348" t="s">
        <v>10728</v>
      </c>
      <c r="O1348" t="s">
        <v>6789</v>
      </c>
      <c r="P1348" s="614">
        <f>COUNTIF(EducPlans_кодНАЦИД_Спец[аФакСец],EducPlans_кодНАЦИД_Спец[[#This Row],[аФакСец]])</f>
        <v>1</v>
      </c>
    </row>
    <row r="1349" spans="3:16" x14ac:dyDescent="0.25">
      <c r="C1349" s="614">
        <v>1343</v>
      </c>
      <c r="D1349" s="614">
        <v>11664</v>
      </c>
      <c r="E1349" s="64" t="s">
        <v>1451</v>
      </c>
      <c r="F1349" s="64" t="s">
        <v>6790</v>
      </c>
      <c r="G1349" s="614" t="s">
        <v>33</v>
      </c>
      <c r="H1349" s="614" t="s">
        <v>682</v>
      </c>
      <c r="I1349" s="614" t="s">
        <v>1153</v>
      </c>
      <c r="J1349" s="64" t="s">
        <v>3612</v>
      </c>
      <c r="K1349" s="1940" t="s">
        <v>6787</v>
      </c>
      <c r="L1349" s="1940" t="s">
        <v>9014</v>
      </c>
      <c r="M1349" t="s">
        <v>12392</v>
      </c>
      <c r="N1349" t="s">
        <v>10729</v>
      </c>
      <c r="O1349" t="s">
        <v>6790</v>
      </c>
      <c r="P1349" s="614">
        <f>COUNTIF(EducPlans_кодНАЦИД_Спец[аФакСец],EducPlans_кодНАЦИД_Спец[[#This Row],[аФакСец]])</f>
        <v>2</v>
      </c>
    </row>
    <row r="1350" spans="3:16" x14ac:dyDescent="0.25">
      <c r="C1350" s="614">
        <v>1344</v>
      </c>
      <c r="D1350" s="614">
        <v>11639</v>
      </c>
      <c r="E1350" s="64" t="s">
        <v>4576</v>
      </c>
      <c r="F1350" s="64" t="s">
        <v>6791</v>
      </c>
      <c r="G1350" s="614" t="s">
        <v>33</v>
      </c>
      <c r="H1350" s="614" t="s">
        <v>682</v>
      </c>
      <c r="I1350" s="614" t="s">
        <v>1153</v>
      </c>
      <c r="J1350" s="64" t="s">
        <v>3609</v>
      </c>
      <c r="K1350" s="1940" t="s">
        <v>6792</v>
      </c>
      <c r="L1350" s="1940" t="s">
        <v>9011</v>
      </c>
      <c r="M1350" t="s">
        <v>12393</v>
      </c>
      <c r="N1350" t="s">
        <v>10726</v>
      </c>
      <c r="O1350" t="s">
        <v>6791</v>
      </c>
      <c r="P1350" s="614">
        <f>COUNTIF(EducPlans_кодНАЦИД_Спец[аФакСец],EducPlans_кодНАЦИД_Спец[[#This Row],[аФакСец]])</f>
        <v>2</v>
      </c>
    </row>
    <row r="1351" spans="3:16" x14ac:dyDescent="0.25">
      <c r="C1351" s="614">
        <v>1345</v>
      </c>
      <c r="D1351" s="614">
        <v>11639</v>
      </c>
      <c r="E1351" s="64" t="s">
        <v>4576</v>
      </c>
      <c r="F1351" s="64" t="s">
        <v>6793</v>
      </c>
      <c r="G1351" s="614" t="s">
        <v>33</v>
      </c>
      <c r="H1351" s="614" t="s">
        <v>682</v>
      </c>
      <c r="I1351" s="614" t="s">
        <v>1153</v>
      </c>
      <c r="J1351" s="64" t="s">
        <v>3611</v>
      </c>
      <c r="K1351" s="1940" t="s">
        <v>6792</v>
      </c>
      <c r="L1351" s="1940" t="s">
        <v>9012</v>
      </c>
      <c r="M1351" t="s">
        <v>12394</v>
      </c>
      <c r="N1351" t="s">
        <v>10727</v>
      </c>
      <c r="O1351" t="s">
        <v>6793</v>
      </c>
      <c r="P1351" s="614">
        <f>COUNTIF(EducPlans_кодНАЦИД_Спец[аФакСец],EducPlans_кодНАЦИД_Спец[[#This Row],[аФакСец]])</f>
        <v>2</v>
      </c>
    </row>
    <row r="1352" spans="3:16" x14ac:dyDescent="0.25">
      <c r="C1352" s="614">
        <v>1346</v>
      </c>
      <c r="D1352" s="614">
        <v>11639</v>
      </c>
      <c r="E1352" s="64" t="s">
        <v>4576</v>
      </c>
      <c r="F1352" s="64" t="s">
        <v>6794</v>
      </c>
      <c r="G1352" s="614" t="s">
        <v>33</v>
      </c>
      <c r="H1352" s="614" t="s">
        <v>682</v>
      </c>
      <c r="I1352" s="614" t="s">
        <v>1153</v>
      </c>
      <c r="J1352" s="64" t="s">
        <v>3613</v>
      </c>
      <c r="K1352" s="1940" t="s">
        <v>6792</v>
      </c>
      <c r="L1352" s="1940" t="s">
        <v>9015</v>
      </c>
      <c r="M1352" t="s">
        <v>12395</v>
      </c>
      <c r="N1352" t="s">
        <v>10730</v>
      </c>
      <c r="O1352" t="s">
        <v>6794</v>
      </c>
      <c r="P1352" s="614">
        <f>COUNTIF(EducPlans_кодНАЦИД_Спец[аФакСец],EducPlans_кодНАЦИД_Спец[[#This Row],[аФакСец]])</f>
        <v>1</v>
      </c>
    </row>
    <row r="1353" spans="3:16" x14ac:dyDescent="0.25">
      <c r="C1353" s="614">
        <v>1347</v>
      </c>
      <c r="D1353" s="614">
        <v>11639</v>
      </c>
      <c r="E1353" s="64" t="s">
        <v>4576</v>
      </c>
      <c r="F1353" s="64" t="s">
        <v>6795</v>
      </c>
      <c r="G1353" s="614" t="s">
        <v>33</v>
      </c>
      <c r="H1353" s="614" t="s">
        <v>682</v>
      </c>
      <c r="I1353" s="614" t="s">
        <v>1153</v>
      </c>
      <c r="J1353" s="64" t="s">
        <v>3612</v>
      </c>
      <c r="K1353" s="1940" t="s">
        <v>6792</v>
      </c>
      <c r="L1353" s="1940" t="s">
        <v>9014</v>
      </c>
      <c r="M1353" t="s">
        <v>12396</v>
      </c>
      <c r="N1353" t="s">
        <v>10729</v>
      </c>
      <c r="O1353" t="s">
        <v>6795</v>
      </c>
      <c r="P1353" s="614">
        <f>COUNTIF(EducPlans_кодНАЦИД_Спец[аФакСец],EducPlans_кодНАЦИД_Спец[[#This Row],[аФакСец]])</f>
        <v>2</v>
      </c>
    </row>
    <row r="1354" spans="3:16" x14ac:dyDescent="0.25">
      <c r="C1354" s="614">
        <v>1348</v>
      </c>
      <c r="D1354" s="614">
        <v>187442</v>
      </c>
      <c r="E1354" s="64" t="s">
        <v>1452</v>
      </c>
      <c r="F1354" s="64" t="s">
        <v>6796</v>
      </c>
      <c r="G1354" s="614" t="s">
        <v>33</v>
      </c>
      <c r="H1354" s="614" t="s">
        <v>682</v>
      </c>
      <c r="I1354" s="614" t="s">
        <v>1153</v>
      </c>
      <c r="J1354" s="64" t="s">
        <v>3616</v>
      </c>
      <c r="K1354" s="1940" t="s">
        <v>6797</v>
      </c>
      <c r="L1354" s="1940" t="s">
        <v>9016</v>
      </c>
      <c r="M1354" t="s">
        <v>12397</v>
      </c>
      <c r="N1354" t="s">
        <v>10731</v>
      </c>
      <c r="O1354" t="s">
        <v>6796</v>
      </c>
      <c r="P1354" s="614">
        <f>COUNTIF(EducPlans_кодНАЦИД_Спец[аФакСец],EducPlans_кодНАЦИД_Спец[[#This Row],[аФакСец]])</f>
        <v>1</v>
      </c>
    </row>
    <row r="1355" spans="3:16" x14ac:dyDescent="0.25">
      <c r="C1355" s="614">
        <v>1349</v>
      </c>
      <c r="D1355" s="614">
        <v>187442</v>
      </c>
      <c r="E1355" s="64" t="s">
        <v>1452</v>
      </c>
      <c r="F1355" s="64" t="s">
        <v>6798</v>
      </c>
      <c r="G1355" s="614" t="s">
        <v>33</v>
      </c>
      <c r="H1355" s="614" t="s">
        <v>682</v>
      </c>
      <c r="I1355" s="614" t="s">
        <v>1153</v>
      </c>
      <c r="J1355" s="64" t="s">
        <v>3615</v>
      </c>
      <c r="K1355" s="1940" t="s">
        <v>6797</v>
      </c>
      <c r="L1355" s="1940" t="s">
        <v>9017</v>
      </c>
      <c r="M1355" t="s">
        <v>12398</v>
      </c>
      <c r="N1355" t="s">
        <v>10732</v>
      </c>
      <c r="O1355" t="s">
        <v>6798</v>
      </c>
      <c r="P1355" s="614">
        <f>COUNTIF(EducPlans_кодНАЦИД_Спец[аФакСец],EducPlans_кодНАЦИД_Спец[[#This Row],[аФакСец]])</f>
        <v>1</v>
      </c>
    </row>
    <row r="1356" spans="3:16" x14ac:dyDescent="0.25">
      <c r="C1356" s="614">
        <v>1350</v>
      </c>
      <c r="D1356" s="614">
        <v>187442</v>
      </c>
      <c r="E1356" s="64" t="s">
        <v>1452</v>
      </c>
      <c r="F1356" s="64" t="s">
        <v>6799</v>
      </c>
      <c r="G1356" s="614" t="s">
        <v>33</v>
      </c>
      <c r="H1356" s="614" t="s">
        <v>682</v>
      </c>
      <c r="I1356" s="614" t="s">
        <v>1153</v>
      </c>
      <c r="J1356" s="64" t="s">
        <v>3610</v>
      </c>
      <c r="K1356" s="1940" t="s">
        <v>6797</v>
      </c>
      <c r="L1356" s="1940" t="s">
        <v>9018</v>
      </c>
      <c r="M1356" t="s">
        <v>12399</v>
      </c>
      <c r="N1356" t="s">
        <v>10733</v>
      </c>
      <c r="O1356" t="s">
        <v>6799</v>
      </c>
      <c r="P1356" s="614">
        <f>COUNTIF(EducPlans_кодНАЦИД_Спец[аФакСец],EducPlans_кодНАЦИД_Спец[[#This Row],[аФакСец]])</f>
        <v>2</v>
      </c>
    </row>
    <row r="1357" spans="3:16" x14ac:dyDescent="0.25">
      <c r="C1357" s="614">
        <v>1351</v>
      </c>
      <c r="D1357" s="614">
        <v>11665</v>
      </c>
      <c r="E1357" s="64" t="s">
        <v>1459</v>
      </c>
      <c r="F1357" s="64" t="s">
        <v>6800</v>
      </c>
      <c r="G1357" s="614" t="s">
        <v>33</v>
      </c>
      <c r="H1357" s="614" t="s">
        <v>682</v>
      </c>
      <c r="I1357" s="614" t="s">
        <v>1153</v>
      </c>
      <c r="J1357" s="64" t="s">
        <v>4577</v>
      </c>
      <c r="K1357" s="1940" t="s">
        <v>6801</v>
      </c>
      <c r="L1357" s="1940" t="s">
        <v>9019</v>
      </c>
      <c r="M1357" t="s">
        <v>12400</v>
      </c>
      <c r="N1357" t="s">
        <v>10734</v>
      </c>
      <c r="O1357" t="s">
        <v>6800</v>
      </c>
      <c r="P1357" s="614">
        <f>COUNTIF(EducPlans_кодНАЦИД_Спец[аФакСец],EducPlans_кодНАЦИД_Спец[[#This Row],[аФакСец]])</f>
        <v>1</v>
      </c>
    </row>
    <row r="1358" spans="3:16" x14ac:dyDescent="0.25">
      <c r="C1358" s="614">
        <v>1352</v>
      </c>
      <c r="D1358" s="614">
        <v>11665</v>
      </c>
      <c r="E1358" s="64" t="s">
        <v>1459</v>
      </c>
      <c r="F1358" s="64" t="s">
        <v>6802</v>
      </c>
      <c r="G1358" s="614" t="s">
        <v>33</v>
      </c>
      <c r="H1358" s="614" t="s">
        <v>682</v>
      </c>
      <c r="I1358" s="614" t="s">
        <v>1153</v>
      </c>
      <c r="J1358" s="64" t="s">
        <v>3610</v>
      </c>
      <c r="K1358" s="1940" t="s">
        <v>6801</v>
      </c>
      <c r="L1358" s="1940" t="s">
        <v>9018</v>
      </c>
      <c r="M1358" t="s">
        <v>12401</v>
      </c>
      <c r="N1358" t="s">
        <v>10733</v>
      </c>
      <c r="O1358" t="s">
        <v>6802</v>
      </c>
      <c r="P1358" s="614">
        <f>COUNTIF(EducPlans_кодНАЦИД_Спец[аФакСец],EducPlans_кодНАЦИД_Спец[[#This Row],[аФакСец]])</f>
        <v>2</v>
      </c>
    </row>
    <row r="1359" spans="3:16" x14ac:dyDescent="0.25">
      <c r="C1359" s="614">
        <v>1353</v>
      </c>
      <c r="D1359" s="614">
        <v>710808</v>
      </c>
      <c r="E1359" s="64" t="s">
        <v>13021</v>
      </c>
      <c r="F1359" s="64" t="s">
        <v>13022</v>
      </c>
      <c r="G1359" s="614" t="s">
        <v>647</v>
      </c>
      <c r="H1359" s="614" t="s">
        <v>682</v>
      </c>
      <c r="I1359" s="614" t="s">
        <v>1153</v>
      </c>
      <c r="J1359" s="64" t="s">
        <v>13023</v>
      </c>
      <c r="K1359" s="1940" t="s">
        <v>13024</v>
      </c>
      <c r="L1359" s="1940" t="s">
        <v>13025</v>
      </c>
      <c r="M1359" t="s">
        <v>13026</v>
      </c>
      <c r="N1359" t="s">
        <v>13027</v>
      </c>
      <c r="O1359" t="s">
        <v>13022</v>
      </c>
      <c r="P1359" s="614">
        <f>COUNTIF(EducPlans_кодНАЦИД_Спец[аФакСец],EducPlans_кодНАЦИД_Спец[[#This Row],[аФакСец]])</f>
        <v>1</v>
      </c>
    </row>
    <row r="1360" spans="3:16" x14ac:dyDescent="0.25">
      <c r="C1360" s="614">
        <v>1354</v>
      </c>
      <c r="D1360" s="614">
        <v>11627</v>
      </c>
      <c r="E1360" s="64" t="s">
        <v>1466</v>
      </c>
      <c r="F1360" s="64" t="s">
        <v>6803</v>
      </c>
      <c r="G1360" s="614" t="s">
        <v>33</v>
      </c>
      <c r="H1360" s="614" t="s">
        <v>682</v>
      </c>
      <c r="I1360" s="614" t="s">
        <v>1153</v>
      </c>
      <c r="J1360" s="64" t="s">
        <v>3618</v>
      </c>
      <c r="K1360" s="1940" t="s">
        <v>6804</v>
      </c>
      <c r="L1360" s="1940" t="s">
        <v>9020</v>
      </c>
      <c r="M1360" t="s">
        <v>12402</v>
      </c>
      <c r="N1360" t="s">
        <v>10735</v>
      </c>
      <c r="O1360" t="s">
        <v>6803</v>
      </c>
      <c r="P1360" s="614">
        <f>COUNTIF(EducPlans_кодНАЦИД_Спец[аФакСец],EducPlans_кодНАЦИД_Спец[[#This Row],[аФакСец]])</f>
        <v>1</v>
      </c>
    </row>
    <row r="1361" spans="3:16" x14ac:dyDescent="0.25">
      <c r="C1361" s="614">
        <v>1355</v>
      </c>
      <c r="D1361" s="614">
        <v>11627</v>
      </c>
      <c r="E1361" s="64" t="s">
        <v>1466</v>
      </c>
      <c r="F1361" s="64" t="s">
        <v>6805</v>
      </c>
      <c r="G1361" s="614" t="s">
        <v>33</v>
      </c>
      <c r="H1361" s="614" t="s">
        <v>682</v>
      </c>
      <c r="I1361" s="614" t="s">
        <v>1153</v>
      </c>
      <c r="J1361" s="64" t="s">
        <v>3617</v>
      </c>
      <c r="K1361" s="1940" t="s">
        <v>6804</v>
      </c>
      <c r="L1361" s="1940" t="s">
        <v>9021</v>
      </c>
      <c r="M1361" t="s">
        <v>12403</v>
      </c>
      <c r="N1361" t="s">
        <v>10736</v>
      </c>
      <c r="O1361" t="s">
        <v>6805</v>
      </c>
      <c r="P1361" s="614">
        <f>COUNTIF(EducPlans_кодНАЦИД_Спец[аФакСец],EducPlans_кодНАЦИД_Спец[[#This Row],[аФакСец]])</f>
        <v>1</v>
      </c>
    </row>
    <row r="1362" spans="3:16" x14ac:dyDescent="0.25">
      <c r="C1362" s="614">
        <v>1356</v>
      </c>
      <c r="D1362" s="614">
        <v>11705</v>
      </c>
      <c r="E1362" s="64" t="s">
        <v>2310</v>
      </c>
      <c r="F1362" s="64" t="s">
        <v>6806</v>
      </c>
      <c r="G1362" s="614" t="s">
        <v>26</v>
      </c>
      <c r="H1362" s="614" t="s">
        <v>681</v>
      </c>
      <c r="I1362" s="614" t="s">
        <v>1153</v>
      </c>
      <c r="J1362" s="64" t="s">
        <v>3739</v>
      </c>
      <c r="K1362" s="1940" t="s">
        <v>6807</v>
      </c>
      <c r="L1362" s="1940" t="s">
        <v>9022</v>
      </c>
      <c r="M1362" t="s">
        <v>12404</v>
      </c>
      <c r="N1362" t="s">
        <v>10737</v>
      </c>
      <c r="O1362" t="s">
        <v>6806</v>
      </c>
      <c r="P1362" s="614">
        <f>COUNTIF(EducPlans_кодНАЦИД_Спец[аФакСец],EducPlans_кодНАЦИД_Спец[[#This Row],[аФакСец]])</f>
        <v>1</v>
      </c>
    </row>
    <row r="1363" spans="3:16" x14ac:dyDescent="0.25">
      <c r="C1363" s="614">
        <v>1357</v>
      </c>
      <c r="D1363" s="614">
        <v>11705</v>
      </c>
      <c r="E1363" s="64" t="s">
        <v>2310</v>
      </c>
      <c r="F1363" s="64" t="s">
        <v>6808</v>
      </c>
      <c r="G1363" s="614" t="s">
        <v>26</v>
      </c>
      <c r="H1363" s="614" t="s">
        <v>681</v>
      </c>
      <c r="I1363" s="614" t="s">
        <v>1153</v>
      </c>
      <c r="J1363" s="64" t="s">
        <v>3740</v>
      </c>
      <c r="K1363" s="1940" t="s">
        <v>6807</v>
      </c>
      <c r="L1363" s="1940" t="s">
        <v>9023</v>
      </c>
      <c r="M1363" t="s">
        <v>12405</v>
      </c>
      <c r="N1363" t="s">
        <v>10738</v>
      </c>
      <c r="O1363" t="s">
        <v>6808</v>
      </c>
      <c r="P1363" s="614">
        <f>COUNTIF(EducPlans_кодНАЦИД_Спец[аФакСец],EducPlans_кодНАЦИД_Спец[[#This Row],[аФакСец]])</f>
        <v>1</v>
      </c>
    </row>
    <row r="1364" spans="3:16" x14ac:dyDescent="0.25">
      <c r="C1364" s="614">
        <v>1358</v>
      </c>
      <c r="D1364" s="614">
        <v>11731</v>
      </c>
      <c r="E1364" s="64" t="s">
        <v>2310</v>
      </c>
      <c r="F1364" s="64" t="s">
        <v>6809</v>
      </c>
      <c r="G1364" s="614" t="s">
        <v>26</v>
      </c>
      <c r="H1364" s="614" t="s">
        <v>682</v>
      </c>
      <c r="I1364" s="614" t="s">
        <v>1153</v>
      </c>
      <c r="J1364" s="64" t="s">
        <v>6810</v>
      </c>
      <c r="K1364" s="1940" t="s">
        <v>6811</v>
      </c>
      <c r="L1364" s="1940" t="s">
        <v>9024</v>
      </c>
      <c r="M1364" t="s">
        <v>12406</v>
      </c>
      <c r="N1364" t="s">
        <v>10739</v>
      </c>
      <c r="O1364" t="s">
        <v>6809</v>
      </c>
      <c r="P1364" s="614">
        <f>COUNTIF(EducPlans_кодНАЦИД_Спец[аФакСец],EducPlans_кодНАЦИД_Спец[[#This Row],[аФакСец]])</f>
        <v>1</v>
      </c>
    </row>
    <row r="1365" spans="3:16" x14ac:dyDescent="0.25">
      <c r="C1365" s="614">
        <v>1359</v>
      </c>
      <c r="D1365" s="614">
        <v>11731</v>
      </c>
      <c r="E1365" s="64" t="s">
        <v>2310</v>
      </c>
      <c r="F1365" s="64" t="s">
        <v>6812</v>
      </c>
      <c r="G1365" s="614" t="s">
        <v>26</v>
      </c>
      <c r="H1365" s="614" t="s">
        <v>682</v>
      </c>
      <c r="I1365" s="614" t="s">
        <v>1153</v>
      </c>
      <c r="J1365" s="64" t="s">
        <v>6813</v>
      </c>
      <c r="K1365" s="1940" t="s">
        <v>6811</v>
      </c>
      <c r="L1365" s="1940" t="s">
        <v>9025</v>
      </c>
      <c r="M1365" t="s">
        <v>12407</v>
      </c>
      <c r="N1365" t="s">
        <v>10740</v>
      </c>
      <c r="O1365" t="s">
        <v>6812</v>
      </c>
      <c r="P1365" s="614">
        <f>COUNTIF(EducPlans_кодНАЦИД_Спец[аФакСец],EducPlans_кодНАЦИД_Спец[[#This Row],[аФакСец]])</f>
        <v>1</v>
      </c>
    </row>
    <row r="1366" spans="3:16" x14ac:dyDescent="0.25">
      <c r="C1366" s="614">
        <v>1360</v>
      </c>
      <c r="D1366" s="614">
        <v>12246</v>
      </c>
      <c r="E1366" s="64" t="s">
        <v>2235</v>
      </c>
      <c r="F1366" s="64" t="s">
        <v>6814</v>
      </c>
      <c r="G1366" s="614" t="s">
        <v>31</v>
      </c>
      <c r="H1366" s="614" t="s">
        <v>682</v>
      </c>
      <c r="I1366" s="614" t="s">
        <v>1153</v>
      </c>
      <c r="J1366" s="64" t="s">
        <v>2967</v>
      </c>
      <c r="K1366" s="1940" t="s">
        <v>6815</v>
      </c>
      <c r="L1366" s="1940" t="s">
        <v>9026</v>
      </c>
      <c r="M1366" t="s">
        <v>12408</v>
      </c>
      <c r="N1366" t="s">
        <v>10741</v>
      </c>
      <c r="O1366" t="s">
        <v>6814</v>
      </c>
      <c r="P1366" s="614">
        <f>COUNTIF(EducPlans_кодНАЦИД_Спец[аФакСец],EducPlans_кодНАЦИД_Спец[[#This Row],[аФакСец]])</f>
        <v>1</v>
      </c>
    </row>
    <row r="1367" spans="3:16" x14ac:dyDescent="0.25">
      <c r="C1367" s="614">
        <v>1361</v>
      </c>
      <c r="D1367" s="614">
        <v>12254</v>
      </c>
      <c r="E1367" s="64" t="s">
        <v>2235</v>
      </c>
      <c r="F1367" s="64" t="s">
        <v>6816</v>
      </c>
      <c r="G1367" s="614" t="s">
        <v>31</v>
      </c>
      <c r="H1367" s="614" t="s">
        <v>682</v>
      </c>
      <c r="I1367" s="614" t="s">
        <v>1153</v>
      </c>
      <c r="J1367" s="64" t="s">
        <v>2966</v>
      </c>
      <c r="K1367" s="1940" t="s">
        <v>6817</v>
      </c>
      <c r="L1367" s="1940" t="s">
        <v>9027</v>
      </c>
      <c r="M1367" t="s">
        <v>12409</v>
      </c>
      <c r="N1367" t="s">
        <v>10742</v>
      </c>
      <c r="O1367" t="s">
        <v>6816</v>
      </c>
      <c r="P1367" s="614">
        <f>COUNTIF(EducPlans_кодНАЦИД_Спец[аФакСец],EducPlans_кодНАЦИД_Спец[[#This Row],[аФакСец]])</f>
        <v>1</v>
      </c>
    </row>
    <row r="1368" spans="3:16" x14ac:dyDescent="0.25">
      <c r="C1368" s="614">
        <v>1362</v>
      </c>
      <c r="D1368" s="614">
        <v>11666</v>
      </c>
      <c r="E1368" s="64" t="s">
        <v>1467</v>
      </c>
      <c r="F1368" s="64" t="s">
        <v>6818</v>
      </c>
      <c r="G1368" s="614" t="s">
        <v>33</v>
      </c>
      <c r="H1368" s="614" t="s">
        <v>682</v>
      </c>
      <c r="I1368" s="614" t="s">
        <v>1153</v>
      </c>
      <c r="J1368" s="64" t="s">
        <v>3620</v>
      </c>
      <c r="K1368" s="1940" t="s">
        <v>6819</v>
      </c>
      <c r="L1368" s="1940" t="s">
        <v>9028</v>
      </c>
      <c r="M1368" t="s">
        <v>12410</v>
      </c>
      <c r="N1368" t="s">
        <v>10743</v>
      </c>
      <c r="O1368" t="s">
        <v>6818</v>
      </c>
      <c r="P1368" s="614">
        <f>COUNTIF(EducPlans_кодНАЦИД_Спец[аФакСец],EducPlans_кодНАЦИД_Спец[[#This Row],[аФакСец]])</f>
        <v>1</v>
      </c>
    </row>
    <row r="1369" spans="3:16" x14ac:dyDescent="0.25">
      <c r="C1369" s="614">
        <v>1363</v>
      </c>
      <c r="D1369" s="614">
        <v>11666</v>
      </c>
      <c r="E1369" s="64" t="s">
        <v>1467</v>
      </c>
      <c r="F1369" s="64" t="s">
        <v>6820</v>
      </c>
      <c r="G1369" s="614" t="s">
        <v>33</v>
      </c>
      <c r="H1369" s="614" t="s">
        <v>682</v>
      </c>
      <c r="I1369" s="614" t="s">
        <v>1153</v>
      </c>
      <c r="J1369" s="64" t="s">
        <v>3619</v>
      </c>
      <c r="K1369" s="1940" t="s">
        <v>6819</v>
      </c>
      <c r="L1369" s="1940" t="s">
        <v>9029</v>
      </c>
      <c r="M1369" t="s">
        <v>12411</v>
      </c>
      <c r="N1369" t="s">
        <v>10744</v>
      </c>
      <c r="O1369" t="s">
        <v>6820</v>
      </c>
      <c r="P1369" s="614">
        <f>COUNTIF(EducPlans_кодНАЦИД_Спец[аФакСец],EducPlans_кодНАЦИД_Спец[[#This Row],[аФакСец]])</f>
        <v>1</v>
      </c>
    </row>
    <row r="1370" spans="3:16" x14ac:dyDescent="0.25">
      <c r="C1370" s="614">
        <v>1364</v>
      </c>
      <c r="D1370" s="614">
        <v>556241</v>
      </c>
      <c r="E1370" s="64" t="s">
        <v>13843</v>
      </c>
      <c r="F1370" s="64" t="s">
        <v>13844</v>
      </c>
      <c r="G1370" s="614" t="s">
        <v>296</v>
      </c>
      <c r="H1370" s="614" t="s">
        <v>682</v>
      </c>
      <c r="I1370" s="614" t="s">
        <v>1149</v>
      </c>
      <c r="J1370" s="64" t="s">
        <v>13845</v>
      </c>
      <c r="K1370" s="1940" t="s">
        <v>6824</v>
      </c>
      <c r="L1370" s="1940" t="s">
        <v>13846</v>
      </c>
      <c r="M1370" t="s">
        <v>13847</v>
      </c>
      <c r="N1370" t="s">
        <v>13848</v>
      </c>
      <c r="O1370" t="s">
        <v>13844</v>
      </c>
      <c r="P1370" s="614">
        <f>COUNTIF(EducPlans_кодНАЦИД_Спец[аФакСец],EducPlans_кодНАЦИД_Спец[[#This Row],[аФакСец]])</f>
        <v>1</v>
      </c>
    </row>
    <row r="1371" spans="3:16" x14ac:dyDescent="0.25">
      <c r="C1371" s="614">
        <v>1365</v>
      </c>
      <c r="D1371" s="614">
        <v>571995</v>
      </c>
      <c r="E1371" s="64" t="s">
        <v>13843</v>
      </c>
      <c r="F1371" s="64" t="s">
        <v>6822</v>
      </c>
      <c r="G1371" s="614" t="s">
        <v>296</v>
      </c>
      <c r="H1371" s="614" t="s">
        <v>682</v>
      </c>
      <c r="I1371" s="614" t="s">
        <v>1149</v>
      </c>
      <c r="J1371" s="64" t="s">
        <v>6823</v>
      </c>
      <c r="K1371" s="1940" t="s">
        <v>6824</v>
      </c>
      <c r="L1371" s="1940" t="s">
        <v>9030</v>
      </c>
      <c r="M1371" t="s">
        <v>13849</v>
      </c>
      <c r="N1371" t="s">
        <v>10745</v>
      </c>
      <c r="O1371" t="s">
        <v>6822</v>
      </c>
      <c r="P1371" s="614">
        <f>COUNTIF(EducPlans_кодНАЦИД_Спец[аФакСец],EducPlans_кодНАЦИД_Спец[[#This Row],[аФакСец]])</f>
        <v>1</v>
      </c>
    </row>
    <row r="1372" spans="3:16" x14ac:dyDescent="0.25">
      <c r="C1372" s="614">
        <v>1366</v>
      </c>
      <c r="D1372" s="614">
        <v>571995</v>
      </c>
      <c r="E1372" s="64" t="s">
        <v>13843</v>
      </c>
      <c r="F1372" s="64" t="s">
        <v>13850</v>
      </c>
      <c r="G1372" s="614" t="s">
        <v>296</v>
      </c>
      <c r="H1372" s="614" t="s">
        <v>682</v>
      </c>
      <c r="I1372" s="614" t="s">
        <v>1149</v>
      </c>
      <c r="J1372" s="64" t="s">
        <v>13851</v>
      </c>
      <c r="K1372" s="1940" t="s">
        <v>6824</v>
      </c>
      <c r="L1372" s="1940" t="s">
        <v>13852</v>
      </c>
      <c r="M1372" t="s">
        <v>13853</v>
      </c>
      <c r="N1372" t="s">
        <v>13854</v>
      </c>
      <c r="O1372" t="s">
        <v>13850</v>
      </c>
      <c r="P1372" s="614">
        <f>COUNTIF(EducPlans_кодНАЦИД_Спец[аФакСец],EducPlans_кодНАЦИД_Спец[[#This Row],[аФакСец]])</f>
        <v>1</v>
      </c>
    </row>
    <row r="1373" spans="3:16" x14ac:dyDescent="0.25">
      <c r="C1373" s="614">
        <v>1367</v>
      </c>
      <c r="D1373" s="614">
        <v>12938</v>
      </c>
      <c r="E1373" s="64" t="s">
        <v>1829</v>
      </c>
      <c r="F1373" s="64" t="s">
        <v>6825</v>
      </c>
      <c r="G1373" s="614" t="s">
        <v>42</v>
      </c>
      <c r="H1373" s="614" t="s">
        <v>682</v>
      </c>
      <c r="I1373" s="614" t="s">
        <v>1149</v>
      </c>
      <c r="J1373" s="64" t="s">
        <v>3494</v>
      </c>
      <c r="K1373" s="1940" t="s">
        <v>6826</v>
      </c>
      <c r="L1373" s="1940" t="s">
        <v>9031</v>
      </c>
      <c r="M1373" t="s">
        <v>12412</v>
      </c>
      <c r="N1373" t="s">
        <v>10746</v>
      </c>
      <c r="O1373" t="s">
        <v>6825</v>
      </c>
      <c r="P1373" s="614">
        <f>COUNTIF(EducPlans_кодНАЦИД_Спец[аФакСец],EducPlans_кодНАЦИД_Спец[[#This Row],[аФакСец]])</f>
        <v>1</v>
      </c>
    </row>
    <row r="1374" spans="3:16" x14ac:dyDescent="0.25">
      <c r="C1374" s="614">
        <v>1368</v>
      </c>
      <c r="D1374" s="614">
        <v>12942</v>
      </c>
      <c r="E1374" s="64" t="s">
        <v>1830</v>
      </c>
      <c r="F1374" s="64" t="s">
        <v>6827</v>
      </c>
      <c r="G1374" s="614" t="s">
        <v>42</v>
      </c>
      <c r="H1374" s="614" t="s">
        <v>682</v>
      </c>
      <c r="I1374" s="614" t="s">
        <v>1149</v>
      </c>
      <c r="J1374" s="64" t="s">
        <v>3495</v>
      </c>
      <c r="K1374" s="1940" t="s">
        <v>6828</v>
      </c>
      <c r="L1374" s="1940" t="s">
        <v>9032</v>
      </c>
      <c r="M1374" t="s">
        <v>12413</v>
      </c>
      <c r="N1374" t="s">
        <v>10747</v>
      </c>
      <c r="O1374" t="s">
        <v>6827</v>
      </c>
      <c r="P1374" s="614">
        <f>COUNTIF(EducPlans_кодНАЦИД_Спец[аФакСец],EducPlans_кодНАЦИД_Спец[[#This Row],[аФакСец]])</f>
        <v>1</v>
      </c>
    </row>
    <row r="1375" spans="3:16" x14ac:dyDescent="0.25">
      <c r="C1375" s="614">
        <v>1369</v>
      </c>
      <c r="D1375" s="614">
        <v>12943</v>
      </c>
      <c r="E1375" s="64" t="s">
        <v>1831</v>
      </c>
      <c r="F1375" s="64" t="s">
        <v>6829</v>
      </c>
      <c r="G1375" s="614" t="s">
        <v>42</v>
      </c>
      <c r="H1375" s="614" t="s">
        <v>682</v>
      </c>
      <c r="I1375" s="614" t="s">
        <v>1149</v>
      </c>
      <c r="J1375" s="64" t="s">
        <v>3496</v>
      </c>
      <c r="K1375" s="1940" t="s">
        <v>6830</v>
      </c>
      <c r="L1375" s="1940" t="s">
        <v>9033</v>
      </c>
      <c r="M1375" t="s">
        <v>12414</v>
      </c>
      <c r="N1375" t="s">
        <v>10748</v>
      </c>
      <c r="O1375" t="s">
        <v>6829</v>
      </c>
      <c r="P1375" s="614">
        <f>COUNTIF(EducPlans_кодНАЦИД_Спец[аФакСец],EducPlans_кодНАЦИД_Спец[[#This Row],[аФакСец]])</f>
        <v>1</v>
      </c>
    </row>
    <row r="1376" spans="3:16" x14ac:dyDescent="0.25">
      <c r="C1376" s="614">
        <v>1370</v>
      </c>
      <c r="D1376" s="614">
        <v>846679</v>
      </c>
      <c r="E1376" s="64" t="s">
        <v>13855</v>
      </c>
      <c r="F1376" s="64" t="s">
        <v>13856</v>
      </c>
      <c r="G1376" s="614" t="s">
        <v>42</v>
      </c>
      <c r="H1376" s="614" t="s">
        <v>682</v>
      </c>
      <c r="I1376" s="614" t="s">
        <v>1149</v>
      </c>
      <c r="J1376" s="64" t="s">
        <v>13857</v>
      </c>
      <c r="K1376" s="1940" t="s">
        <v>13858</v>
      </c>
      <c r="L1376" s="1940" t="s">
        <v>13859</v>
      </c>
      <c r="M1376" t="s">
        <v>13860</v>
      </c>
      <c r="N1376" t="s">
        <v>13861</v>
      </c>
      <c r="O1376" t="s">
        <v>13856</v>
      </c>
      <c r="P1376" s="614">
        <f>COUNTIF(EducPlans_кодНАЦИД_Спец[аФакСец],EducPlans_кодНАЦИД_Спец[[#This Row],[аФакСец]])</f>
        <v>1</v>
      </c>
    </row>
    <row r="1377" spans="3:16" x14ac:dyDescent="0.25">
      <c r="C1377" s="614">
        <v>1371</v>
      </c>
      <c r="D1377" s="614">
        <v>10791</v>
      </c>
      <c r="E1377" s="64" t="s">
        <v>227</v>
      </c>
      <c r="F1377" s="64" t="s">
        <v>6831</v>
      </c>
      <c r="G1377" s="614" t="s">
        <v>35</v>
      </c>
      <c r="H1377" s="614" t="s">
        <v>681</v>
      </c>
      <c r="I1377" s="614" t="s">
        <v>1153</v>
      </c>
      <c r="J1377" s="64" t="s">
        <v>4072</v>
      </c>
      <c r="K1377" s="1940" t="s">
        <v>6832</v>
      </c>
      <c r="L1377" s="1940" t="s">
        <v>9034</v>
      </c>
      <c r="M1377" t="s">
        <v>12415</v>
      </c>
      <c r="N1377" t="s">
        <v>10749</v>
      </c>
      <c r="O1377" t="s">
        <v>6831</v>
      </c>
      <c r="P1377" s="614">
        <f>COUNTIF(EducPlans_кодНАЦИД_Спец[аФакСец],EducPlans_кодНАЦИД_Спец[[#This Row],[аФакСец]])</f>
        <v>1</v>
      </c>
    </row>
    <row r="1378" spans="3:16" x14ac:dyDescent="0.25">
      <c r="C1378" s="614">
        <v>1372</v>
      </c>
      <c r="D1378" s="614">
        <v>10947</v>
      </c>
      <c r="E1378" s="64" t="s">
        <v>1709</v>
      </c>
      <c r="F1378" s="64" t="s">
        <v>6833</v>
      </c>
      <c r="G1378" s="614" t="s">
        <v>35</v>
      </c>
      <c r="H1378" s="614" t="s">
        <v>682</v>
      </c>
      <c r="I1378" s="614" t="s">
        <v>1153</v>
      </c>
      <c r="J1378" s="64" t="s">
        <v>4073</v>
      </c>
      <c r="K1378" s="1940" t="s">
        <v>6834</v>
      </c>
      <c r="L1378" s="1940" t="s">
        <v>9035</v>
      </c>
      <c r="M1378" t="s">
        <v>12416</v>
      </c>
      <c r="N1378" t="s">
        <v>10750</v>
      </c>
      <c r="O1378" t="s">
        <v>6833</v>
      </c>
      <c r="P1378" s="614">
        <f>COUNTIF(EducPlans_кодНАЦИД_Спец[аФакСец],EducPlans_кодНАЦИД_Спец[[#This Row],[аФакСец]])</f>
        <v>1</v>
      </c>
    </row>
    <row r="1379" spans="3:16" x14ac:dyDescent="0.25">
      <c r="C1379" s="614">
        <v>1373</v>
      </c>
      <c r="D1379" s="614">
        <v>10949</v>
      </c>
      <c r="E1379" s="64" t="s">
        <v>1710</v>
      </c>
      <c r="F1379" s="64" t="s">
        <v>6835</v>
      </c>
      <c r="G1379" s="614" t="s">
        <v>35</v>
      </c>
      <c r="H1379" s="614" t="s">
        <v>682</v>
      </c>
      <c r="I1379" s="614" t="s">
        <v>1153</v>
      </c>
      <c r="J1379" s="64" t="s">
        <v>4074</v>
      </c>
      <c r="K1379" s="1940" t="s">
        <v>6836</v>
      </c>
      <c r="L1379" s="1940" t="s">
        <v>9036</v>
      </c>
      <c r="M1379" t="s">
        <v>12417</v>
      </c>
      <c r="N1379" t="s">
        <v>10751</v>
      </c>
      <c r="O1379" t="s">
        <v>6835</v>
      </c>
      <c r="P1379" s="614">
        <f>COUNTIF(EducPlans_кодНАЦИД_Спец[аФакСец],EducPlans_кодНАЦИД_Спец[[#This Row],[аФакСец]])</f>
        <v>1</v>
      </c>
    </row>
    <row r="1380" spans="3:16" x14ac:dyDescent="0.25">
      <c r="C1380" s="614">
        <v>1374</v>
      </c>
      <c r="D1380" s="614">
        <v>11002</v>
      </c>
      <c r="E1380" s="64" t="s">
        <v>1904</v>
      </c>
      <c r="F1380" s="64" t="s">
        <v>6837</v>
      </c>
      <c r="G1380" s="614" t="s">
        <v>35</v>
      </c>
      <c r="H1380" s="614" t="s">
        <v>682</v>
      </c>
      <c r="I1380" s="614" t="s">
        <v>1153</v>
      </c>
      <c r="J1380" s="64" t="s">
        <v>4076</v>
      </c>
      <c r="K1380" s="1940" t="s">
        <v>6838</v>
      </c>
      <c r="L1380" s="1940" t="s">
        <v>9037</v>
      </c>
      <c r="M1380" t="s">
        <v>12418</v>
      </c>
      <c r="N1380" t="s">
        <v>10752</v>
      </c>
      <c r="O1380" t="s">
        <v>6837</v>
      </c>
      <c r="P1380" s="614">
        <f>COUNTIF(EducPlans_кодНАЦИД_Спец[аФакСец],EducPlans_кодНАЦИД_Спец[[#This Row],[аФакСец]])</f>
        <v>1</v>
      </c>
    </row>
    <row r="1381" spans="3:16" x14ac:dyDescent="0.25">
      <c r="C1381" s="614">
        <v>1375</v>
      </c>
      <c r="D1381" s="614">
        <v>11003</v>
      </c>
      <c r="E1381" s="64" t="s">
        <v>1904</v>
      </c>
      <c r="F1381" s="64" t="s">
        <v>6839</v>
      </c>
      <c r="G1381" s="614" t="s">
        <v>35</v>
      </c>
      <c r="H1381" s="614" t="s">
        <v>682</v>
      </c>
      <c r="I1381" s="614" t="s">
        <v>1149</v>
      </c>
      <c r="J1381" s="64" t="s">
        <v>4075</v>
      </c>
      <c r="K1381" s="1940" t="s">
        <v>6840</v>
      </c>
      <c r="L1381" s="1940" t="s">
        <v>9038</v>
      </c>
      <c r="M1381" t="s">
        <v>12419</v>
      </c>
      <c r="N1381" t="s">
        <v>10753</v>
      </c>
      <c r="O1381" t="s">
        <v>6839</v>
      </c>
      <c r="P1381" s="614">
        <f>COUNTIF(EducPlans_кодНАЦИД_Спец[аФакСец],EducPlans_кодНАЦИД_Спец[[#This Row],[аФакСец]])</f>
        <v>1</v>
      </c>
    </row>
    <row r="1382" spans="3:16" x14ac:dyDescent="0.25">
      <c r="C1382" s="614">
        <v>1376</v>
      </c>
      <c r="D1382" s="614">
        <v>11012</v>
      </c>
      <c r="E1382" s="64" t="s">
        <v>1905</v>
      </c>
      <c r="F1382" s="64" t="s">
        <v>6841</v>
      </c>
      <c r="G1382" s="614" t="s">
        <v>35</v>
      </c>
      <c r="H1382" s="614" t="s">
        <v>682</v>
      </c>
      <c r="I1382" s="614" t="s">
        <v>1153</v>
      </c>
      <c r="J1382" s="64" t="s">
        <v>4077</v>
      </c>
      <c r="K1382" s="1940" t="s">
        <v>6842</v>
      </c>
      <c r="L1382" s="1940" t="s">
        <v>9039</v>
      </c>
      <c r="M1382" t="s">
        <v>12420</v>
      </c>
      <c r="N1382" t="s">
        <v>10754</v>
      </c>
      <c r="O1382" t="s">
        <v>6841</v>
      </c>
      <c r="P1382" s="614">
        <f>COUNTIF(EducPlans_кодНАЦИД_Спец[аФакСец],EducPlans_кодНАЦИД_Спец[[#This Row],[аФакСец]])</f>
        <v>1</v>
      </c>
    </row>
    <row r="1383" spans="3:16" x14ac:dyDescent="0.25">
      <c r="C1383" s="614">
        <v>1377</v>
      </c>
      <c r="D1383" s="614">
        <v>10869</v>
      </c>
      <c r="E1383" s="64" t="s">
        <v>1764</v>
      </c>
      <c r="F1383" s="64" t="s">
        <v>6843</v>
      </c>
      <c r="G1383" s="614" t="s">
        <v>35</v>
      </c>
      <c r="H1383" s="614" t="s">
        <v>681</v>
      </c>
      <c r="I1383" s="614" t="s">
        <v>1153</v>
      </c>
      <c r="J1383" s="64" t="s">
        <v>4078</v>
      </c>
      <c r="K1383" s="1940" t="s">
        <v>6844</v>
      </c>
      <c r="L1383" s="1940" t="s">
        <v>9040</v>
      </c>
      <c r="M1383" t="s">
        <v>12421</v>
      </c>
      <c r="N1383" t="s">
        <v>10755</v>
      </c>
      <c r="O1383" t="s">
        <v>6843</v>
      </c>
      <c r="P1383" s="614">
        <f>COUNTIF(EducPlans_кодНАЦИД_Спец[аФакСец],EducPlans_кодНАЦИД_Спец[[#This Row],[аФакСец]])</f>
        <v>1</v>
      </c>
    </row>
    <row r="1384" spans="3:16" x14ac:dyDescent="0.25">
      <c r="C1384" s="614">
        <v>1378</v>
      </c>
      <c r="D1384" s="614">
        <v>10870</v>
      </c>
      <c r="E1384" s="64" t="s">
        <v>1764</v>
      </c>
      <c r="F1384" s="64" t="s">
        <v>6845</v>
      </c>
      <c r="G1384" s="614" t="s">
        <v>35</v>
      </c>
      <c r="H1384" s="614" t="s">
        <v>681</v>
      </c>
      <c r="I1384" s="614" t="s">
        <v>1149</v>
      </c>
      <c r="J1384" s="64" t="s">
        <v>6846</v>
      </c>
      <c r="K1384" s="1940" t="s">
        <v>6847</v>
      </c>
      <c r="L1384" s="1940" t="s">
        <v>9041</v>
      </c>
      <c r="M1384" t="s">
        <v>12422</v>
      </c>
      <c r="N1384" t="s">
        <v>10756</v>
      </c>
      <c r="O1384" t="s">
        <v>6845</v>
      </c>
      <c r="P1384" s="614">
        <f>COUNTIF(EducPlans_кодНАЦИД_Спец[аФакСец],EducPlans_кодНАЦИД_Спец[[#This Row],[аФакСец]])</f>
        <v>1</v>
      </c>
    </row>
    <row r="1385" spans="3:16" x14ac:dyDescent="0.25">
      <c r="C1385" s="614">
        <v>1379</v>
      </c>
      <c r="D1385" s="614">
        <v>10871</v>
      </c>
      <c r="E1385" s="64" t="s">
        <v>1764</v>
      </c>
      <c r="F1385" s="64" t="s">
        <v>6848</v>
      </c>
      <c r="G1385" s="614" t="s">
        <v>35</v>
      </c>
      <c r="H1385" s="614" t="s">
        <v>682</v>
      </c>
      <c r="I1385" s="614" t="s">
        <v>1153</v>
      </c>
      <c r="J1385" s="64" t="s">
        <v>6849</v>
      </c>
      <c r="K1385" s="1940" t="s">
        <v>6850</v>
      </c>
      <c r="L1385" s="1940" t="s">
        <v>9042</v>
      </c>
      <c r="M1385" t="s">
        <v>12423</v>
      </c>
      <c r="N1385" t="s">
        <v>10757</v>
      </c>
      <c r="O1385" t="s">
        <v>6848</v>
      </c>
      <c r="P1385" s="614">
        <f>COUNTIF(EducPlans_кодНАЦИД_Спец[аФакСец],EducPlans_кодНАЦИД_Спец[[#This Row],[аФакСец]])</f>
        <v>1</v>
      </c>
    </row>
    <row r="1386" spans="3:16" x14ac:dyDescent="0.25">
      <c r="C1386" s="614">
        <v>1380</v>
      </c>
      <c r="D1386" s="614">
        <v>10872</v>
      </c>
      <c r="E1386" s="64" t="s">
        <v>1764</v>
      </c>
      <c r="F1386" s="64" t="s">
        <v>6851</v>
      </c>
      <c r="G1386" s="614" t="s">
        <v>35</v>
      </c>
      <c r="H1386" s="614" t="s">
        <v>682</v>
      </c>
      <c r="I1386" s="614" t="s">
        <v>1149</v>
      </c>
      <c r="J1386" s="64" t="s">
        <v>6852</v>
      </c>
      <c r="K1386" s="1940" t="s">
        <v>6853</v>
      </c>
      <c r="L1386" s="1940" t="s">
        <v>9043</v>
      </c>
      <c r="M1386" t="s">
        <v>12424</v>
      </c>
      <c r="N1386" t="s">
        <v>10758</v>
      </c>
      <c r="O1386" t="s">
        <v>6851</v>
      </c>
      <c r="P1386" s="614">
        <f>COUNTIF(EducPlans_кодНАЦИД_Спец[аФакСец],EducPlans_кодНАЦИД_Спец[[#This Row],[аФакСец]])</f>
        <v>1</v>
      </c>
    </row>
    <row r="1387" spans="3:16" x14ac:dyDescent="0.25">
      <c r="C1387" s="614">
        <v>1381</v>
      </c>
      <c r="D1387" s="614">
        <v>10872</v>
      </c>
      <c r="E1387" s="64" t="s">
        <v>1764</v>
      </c>
      <c r="F1387" s="64" t="s">
        <v>6854</v>
      </c>
      <c r="G1387" s="614" t="s">
        <v>35</v>
      </c>
      <c r="H1387" s="614" t="s">
        <v>682</v>
      </c>
      <c r="I1387" s="614" t="s">
        <v>1149</v>
      </c>
      <c r="J1387" s="64" t="s">
        <v>6855</v>
      </c>
      <c r="K1387" s="1940" t="s">
        <v>6853</v>
      </c>
      <c r="L1387" s="1940" t="s">
        <v>9044</v>
      </c>
      <c r="M1387" t="s">
        <v>12425</v>
      </c>
      <c r="N1387" t="s">
        <v>10759</v>
      </c>
      <c r="O1387" t="s">
        <v>6854</v>
      </c>
      <c r="P1387" s="614">
        <f>COUNTIF(EducPlans_кодНАЦИД_Спец[аФакСец],EducPlans_кодНАЦИД_Спец[[#This Row],[аФакСец]])</f>
        <v>1</v>
      </c>
    </row>
    <row r="1388" spans="3:16" x14ac:dyDescent="0.25">
      <c r="C1388" s="614">
        <v>1382</v>
      </c>
      <c r="D1388" s="614">
        <v>11014</v>
      </c>
      <c r="E1388" s="64" t="s">
        <v>1906</v>
      </c>
      <c r="F1388" s="64" t="s">
        <v>6856</v>
      </c>
      <c r="G1388" s="614" t="s">
        <v>35</v>
      </c>
      <c r="H1388" s="614" t="s">
        <v>682</v>
      </c>
      <c r="I1388" s="614" t="s">
        <v>1153</v>
      </c>
      <c r="J1388" s="64" t="s">
        <v>4080</v>
      </c>
      <c r="K1388" s="1940" t="s">
        <v>6857</v>
      </c>
      <c r="L1388" s="1940" t="s">
        <v>9045</v>
      </c>
      <c r="M1388" t="s">
        <v>12426</v>
      </c>
      <c r="N1388" t="s">
        <v>10760</v>
      </c>
      <c r="O1388" t="s">
        <v>6856</v>
      </c>
      <c r="P1388" s="614">
        <f>COUNTIF(EducPlans_кодНАЦИД_Спец[аФакСец],EducPlans_кодНАЦИД_Спец[[#This Row],[аФакСец]])</f>
        <v>1</v>
      </c>
    </row>
    <row r="1389" spans="3:16" x14ac:dyDescent="0.25">
      <c r="C1389" s="614">
        <v>1383</v>
      </c>
      <c r="D1389" s="614">
        <v>11016</v>
      </c>
      <c r="E1389" s="64" t="s">
        <v>1906</v>
      </c>
      <c r="F1389" s="64" t="s">
        <v>6858</v>
      </c>
      <c r="G1389" s="614" t="s">
        <v>35</v>
      </c>
      <c r="H1389" s="614" t="s">
        <v>682</v>
      </c>
      <c r="I1389" s="614" t="s">
        <v>1149</v>
      </c>
      <c r="J1389" s="64" t="s">
        <v>4079</v>
      </c>
      <c r="K1389" s="1940" t="s">
        <v>6859</v>
      </c>
      <c r="L1389" s="1940" t="s">
        <v>9046</v>
      </c>
      <c r="M1389" t="s">
        <v>12427</v>
      </c>
      <c r="N1389" t="s">
        <v>10761</v>
      </c>
      <c r="O1389" t="s">
        <v>6858</v>
      </c>
      <c r="P1389" s="614">
        <f>COUNTIF(EducPlans_кодНАЦИД_Спец[аФакСец],EducPlans_кодНАЦИД_Спец[[#This Row],[аФакСец]])</f>
        <v>1</v>
      </c>
    </row>
    <row r="1390" spans="3:16" x14ac:dyDescent="0.25">
      <c r="C1390" s="614">
        <v>1384</v>
      </c>
      <c r="D1390" s="614">
        <v>11000</v>
      </c>
      <c r="E1390" s="64" t="s">
        <v>1907</v>
      </c>
      <c r="F1390" s="64" t="s">
        <v>6860</v>
      </c>
      <c r="G1390" s="614" t="s">
        <v>35</v>
      </c>
      <c r="H1390" s="614" t="s">
        <v>682</v>
      </c>
      <c r="I1390" s="614" t="s">
        <v>1153</v>
      </c>
      <c r="J1390" s="64" t="s">
        <v>4085</v>
      </c>
      <c r="K1390" s="1940" t="s">
        <v>6861</v>
      </c>
      <c r="L1390" s="1940" t="s">
        <v>9047</v>
      </c>
      <c r="M1390" t="s">
        <v>12428</v>
      </c>
      <c r="N1390" t="s">
        <v>10762</v>
      </c>
      <c r="O1390" t="s">
        <v>6860</v>
      </c>
      <c r="P1390" s="614">
        <f>COUNTIF(EducPlans_кодНАЦИД_Спец[аФакСец],EducPlans_кодНАЦИД_Спец[[#This Row],[аФакСец]])</f>
        <v>1</v>
      </c>
    </row>
    <row r="1391" spans="3:16" x14ac:dyDescent="0.25">
      <c r="C1391" s="614">
        <v>1385</v>
      </c>
      <c r="D1391" s="614">
        <v>11000</v>
      </c>
      <c r="E1391" s="64" t="s">
        <v>1907</v>
      </c>
      <c r="F1391" s="64" t="s">
        <v>6862</v>
      </c>
      <c r="G1391" s="614" t="s">
        <v>35</v>
      </c>
      <c r="H1391" s="614" t="s">
        <v>682</v>
      </c>
      <c r="I1391" s="614" t="s">
        <v>1153</v>
      </c>
      <c r="J1391" s="64" t="s">
        <v>4084</v>
      </c>
      <c r="K1391" s="1940" t="s">
        <v>6861</v>
      </c>
      <c r="L1391" s="1940" t="s">
        <v>9048</v>
      </c>
      <c r="M1391" t="s">
        <v>12429</v>
      </c>
      <c r="N1391" t="s">
        <v>10763</v>
      </c>
      <c r="O1391" t="s">
        <v>6862</v>
      </c>
      <c r="P1391" s="614">
        <f>COUNTIF(EducPlans_кодНАЦИД_Спец[аФакСец],EducPlans_кодНАЦИД_Спец[[#This Row],[аФакСец]])</f>
        <v>1</v>
      </c>
    </row>
    <row r="1392" spans="3:16" x14ac:dyDescent="0.25">
      <c r="C1392" s="614">
        <v>1386</v>
      </c>
      <c r="D1392" s="614">
        <v>11000</v>
      </c>
      <c r="E1392" s="64" t="s">
        <v>1907</v>
      </c>
      <c r="F1392" s="64" t="s">
        <v>6863</v>
      </c>
      <c r="G1392" s="614" t="s">
        <v>35</v>
      </c>
      <c r="H1392" s="614" t="s">
        <v>682</v>
      </c>
      <c r="I1392" s="614" t="s">
        <v>1153</v>
      </c>
      <c r="J1392" s="64" t="s">
        <v>4083</v>
      </c>
      <c r="K1392" s="1940" t="s">
        <v>6861</v>
      </c>
      <c r="L1392" s="1940" t="s">
        <v>9049</v>
      </c>
      <c r="M1392" t="s">
        <v>12430</v>
      </c>
      <c r="N1392" t="s">
        <v>10764</v>
      </c>
      <c r="O1392" t="s">
        <v>6863</v>
      </c>
      <c r="P1392" s="614">
        <f>COUNTIF(EducPlans_кодНАЦИД_Спец[аФакСец],EducPlans_кодНАЦИД_Спец[[#This Row],[аФакСец]])</f>
        <v>1</v>
      </c>
    </row>
    <row r="1393" spans="3:16" x14ac:dyDescent="0.25">
      <c r="C1393" s="614">
        <v>1387</v>
      </c>
      <c r="D1393" s="614">
        <v>11001</v>
      </c>
      <c r="E1393" s="64" t="s">
        <v>1907</v>
      </c>
      <c r="F1393" s="64" t="s">
        <v>6864</v>
      </c>
      <c r="G1393" s="614" t="s">
        <v>35</v>
      </c>
      <c r="H1393" s="614" t="s">
        <v>682</v>
      </c>
      <c r="I1393" s="614" t="s">
        <v>1149</v>
      </c>
      <c r="J1393" s="64" t="s">
        <v>4082</v>
      </c>
      <c r="K1393" s="1940" t="s">
        <v>6865</v>
      </c>
      <c r="L1393" s="1940" t="s">
        <v>9050</v>
      </c>
      <c r="M1393" t="s">
        <v>12431</v>
      </c>
      <c r="N1393" t="s">
        <v>10765</v>
      </c>
      <c r="O1393" t="s">
        <v>6864</v>
      </c>
      <c r="P1393" s="614">
        <f>COUNTIF(EducPlans_кодНАЦИД_Спец[аФакСец],EducPlans_кодНАЦИД_Спец[[#This Row],[аФакСец]])</f>
        <v>1</v>
      </c>
    </row>
    <row r="1394" spans="3:16" x14ac:dyDescent="0.25">
      <c r="C1394" s="614">
        <v>1388</v>
      </c>
      <c r="D1394" s="614">
        <v>11001</v>
      </c>
      <c r="E1394" s="64" t="s">
        <v>1907</v>
      </c>
      <c r="F1394" s="64" t="s">
        <v>6866</v>
      </c>
      <c r="G1394" s="614" t="s">
        <v>35</v>
      </c>
      <c r="H1394" s="614" t="s">
        <v>682</v>
      </c>
      <c r="I1394" s="614" t="s">
        <v>1149</v>
      </c>
      <c r="J1394" s="64" t="s">
        <v>4081</v>
      </c>
      <c r="K1394" s="1940" t="s">
        <v>6865</v>
      </c>
      <c r="L1394" s="1940" t="s">
        <v>9051</v>
      </c>
      <c r="M1394" t="s">
        <v>12432</v>
      </c>
      <c r="N1394" t="s">
        <v>10766</v>
      </c>
      <c r="O1394" t="s">
        <v>6866</v>
      </c>
      <c r="P1394" s="614">
        <f>COUNTIF(EducPlans_кодНАЦИД_Спец[аФакСец],EducPlans_кодНАЦИД_Спец[[#This Row],[аФакСец]])</f>
        <v>1</v>
      </c>
    </row>
    <row r="1395" spans="3:16" x14ac:dyDescent="0.25">
      <c r="C1395" s="614">
        <v>1389</v>
      </c>
      <c r="D1395" s="614">
        <v>11006</v>
      </c>
      <c r="E1395" s="64" t="s">
        <v>1908</v>
      </c>
      <c r="F1395" s="64" t="s">
        <v>6867</v>
      </c>
      <c r="G1395" s="614" t="s">
        <v>35</v>
      </c>
      <c r="H1395" s="614" t="s">
        <v>682</v>
      </c>
      <c r="I1395" s="614" t="s">
        <v>1153</v>
      </c>
      <c r="J1395" s="64" t="s">
        <v>4087</v>
      </c>
      <c r="K1395" s="1940" t="s">
        <v>6868</v>
      </c>
      <c r="L1395" s="1940" t="s">
        <v>9052</v>
      </c>
      <c r="M1395" t="s">
        <v>12433</v>
      </c>
      <c r="N1395" t="s">
        <v>10767</v>
      </c>
      <c r="O1395" t="s">
        <v>6867</v>
      </c>
      <c r="P1395" s="614">
        <f>COUNTIF(EducPlans_кодНАЦИД_Спец[аФакСец],EducPlans_кодНАЦИД_Спец[[#This Row],[аФакСец]])</f>
        <v>1</v>
      </c>
    </row>
    <row r="1396" spans="3:16" x14ac:dyDescent="0.25">
      <c r="C1396" s="614">
        <v>1390</v>
      </c>
      <c r="D1396" s="614">
        <v>11006</v>
      </c>
      <c r="E1396" s="64" t="s">
        <v>1908</v>
      </c>
      <c r="F1396" s="64" t="s">
        <v>6869</v>
      </c>
      <c r="G1396" s="614" t="s">
        <v>35</v>
      </c>
      <c r="H1396" s="614" t="s">
        <v>682</v>
      </c>
      <c r="I1396" s="614" t="s">
        <v>1153</v>
      </c>
      <c r="J1396" s="64" t="s">
        <v>4086</v>
      </c>
      <c r="K1396" s="1940" t="s">
        <v>6868</v>
      </c>
      <c r="L1396" s="1940" t="s">
        <v>9053</v>
      </c>
      <c r="M1396" t="s">
        <v>12434</v>
      </c>
      <c r="N1396" t="s">
        <v>10768</v>
      </c>
      <c r="O1396" t="s">
        <v>6869</v>
      </c>
      <c r="P1396" s="614">
        <f>COUNTIF(EducPlans_кодНАЦИД_Спец[аФакСец],EducPlans_кодНАЦИД_Спец[[#This Row],[аФакСец]])</f>
        <v>1</v>
      </c>
    </row>
    <row r="1397" spans="3:16" x14ac:dyDescent="0.25">
      <c r="C1397" s="614">
        <v>1391</v>
      </c>
      <c r="D1397" s="614">
        <v>12925</v>
      </c>
      <c r="E1397" s="64" t="s">
        <v>1832</v>
      </c>
      <c r="F1397" s="64" t="s">
        <v>6870</v>
      </c>
      <c r="G1397" s="614" t="s">
        <v>42</v>
      </c>
      <c r="H1397" s="614" t="s">
        <v>682</v>
      </c>
      <c r="I1397" s="614" t="s">
        <v>1153</v>
      </c>
      <c r="J1397" s="64" t="s">
        <v>3499</v>
      </c>
      <c r="K1397" s="1940" t="s">
        <v>6871</v>
      </c>
      <c r="L1397" s="1940" t="s">
        <v>9054</v>
      </c>
      <c r="M1397" t="s">
        <v>12435</v>
      </c>
      <c r="N1397" t="s">
        <v>10769</v>
      </c>
      <c r="O1397" t="s">
        <v>6870</v>
      </c>
      <c r="P1397" s="614">
        <f>COUNTIF(EducPlans_кодНАЦИД_Спец[аФакСец],EducPlans_кодНАЦИД_Спец[[#This Row],[аФакСец]])</f>
        <v>1</v>
      </c>
    </row>
    <row r="1398" spans="3:16" x14ac:dyDescent="0.25">
      <c r="C1398" s="614">
        <v>1392</v>
      </c>
      <c r="D1398" s="614">
        <v>12926</v>
      </c>
      <c r="E1398" s="64" t="s">
        <v>1832</v>
      </c>
      <c r="F1398" s="64" t="s">
        <v>6872</v>
      </c>
      <c r="G1398" s="614" t="s">
        <v>42</v>
      </c>
      <c r="H1398" s="614" t="s">
        <v>682</v>
      </c>
      <c r="I1398" s="614" t="s">
        <v>1149</v>
      </c>
      <c r="J1398" s="64" t="s">
        <v>3497</v>
      </c>
      <c r="K1398" s="1940" t="s">
        <v>6873</v>
      </c>
      <c r="L1398" s="1940" t="s">
        <v>9055</v>
      </c>
      <c r="M1398" t="s">
        <v>12436</v>
      </c>
      <c r="N1398" t="s">
        <v>10770</v>
      </c>
      <c r="O1398" t="s">
        <v>6872</v>
      </c>
      <c r="P1398" s="614">
        <f>COUNTIF(EducPlans_кодНАЦИД_Спец[аФакСец],EducPlans_кодНАЦИД_Спец[[#This Row],[аФакСец]])</f>
        <v>1</v>
      </c>
    </row>
    <row r="1399" spans="3:16" x14ac:dyDescent="0.25">
      <c r="C1399" s="614">
        <v>1393</v>
      </c>
      <c r="D1399" s="614">
        <v>12926</v>
      </c>
      <c r="E1399" s="64" t="s">
        <v>1832</v>
      </c>
      <c r="F1399" s="64" t="s">
        <v>6874</v>
      </c>
      <c r="G1399" s="614" t="s">
        <v>42</v>
      </c>
      <c r="H1399" s="614" t="s">
        <v>682</v>
      </c>
      <c r="I1399" s="614" t="s">
        <v>1149</v>
      </c>
      <c r="J1399" s="64" t="s">
        <v>3498</v>
      </c>
      <c r="K1399" s="1940" t="s">
        <v>6873</v>
      </c>
      <c r="L1399" s="1940" t="s">
        <v>9056</v>
      </c>
      <c r="M1399" t="s">
        <v>12437</v>
      </c>
      <c r="N1399" t="s">
        <v>10771</v>
      </c>
      <c r="O1399" t="s">
        <v>6874</v>
      </c>
      <c r="P1399" s="614">
        <f>COUNTIF(EducPlans_кодНАЦИД_Спец[аФакСец],EducPlans_кодНАЦИД_Спец[[#This Row],[аФакСец]])</f>
        <v>1</v>
      </c>
    </row>
    <row r="1400" spans="3:16" x14ac:dyDescent="0.25">
      <c r="C1400" s="614">
        <v>1394</v>
      </c>
      <c r="D1400" s="614">
        <v>10866</v>
      </c>
      <c r="E1400" s="64" t="s">
        <v>1833</v>
      </c>
      <c r="F1400" s="64" t="s">
        <v>6875</v>
      </c>
      <c r="G1400" s="614" t="s">
        <v>35</v>
      </c>
      <c r="H1400" s="614" t="s">
        <v>681</v>
      </c>
      <c r="I1400" s="614" t="s">
        <v>1153</v>
      </c>
      <c r="J1400" s="64" t="s">
        <v>4088</v>
      </c>
      <c r="K1400" s="1940" t="s">
        <v>6876</v>
      </c>
      <c r="L1400" s="1940" t="s">
        <v>9057</v>
      </c>
      <c r="M1400" t="s">
        <v>12438</v>
      </c>
      <c r="N1400" t="s">
        <v>10772</v>
      </c>
      <c r="O1400" t="s">
        <v>6875</v>
      </c>
      <c r="P1400" s="614">
        <f>COUNTIF(EducPlans_кодНАЦИД_Спец[аФакСец],EducPlans_кодНАЦИД_Спец[[#This Row],[аФакСец]])</f>
        <v>1</v>
      </c>
    </row>
    <row r="1401" spans="3:16" x14ac:dyDescent="0.25">
      <c r="C1401" s="614">
        <v>1395</v>
      </c>
      <c r="D1401" s="614">
        <v>585591</v>
      </c>
      <c r="E1401" s="64" t="s">
        <v>1765</v>
      </c>
      <c r="F1401" s="64" t="s">
        <v>6877</v>
      </c>
      <c r="G1401" s="614" t="s">
        <v>35</v>
      </c>
      <c r="H1401" s="614" t="s">
        <v>682</v>
      </c>
      <c r="I1401" s="614" t="s">
        <v>1149</v>
      </c>
      <c r="J1401" s="64" t="s">
        <v>6878</v>
      </c>
      <c r="K1401" s="1940" t="s">
        <v>6879</v>
      </c>
      <c r="L1401" s="1940" t="s">
        <v>9058</v>
      </c>
      <c r="M1401" t="s">
        <v>12439</v>
      </c>
      <c r="N1401" t="s">
        <v>10773</v>
      </c>
      <c r="O1401" t="s">
        <v>6877</v>
      </c>
      <c r="P1401" s="614">
        <f>COUNTIF(EducPlans_кодНАЦИД_Спец[аФакСец],EducPlans_кодНАЦИД_Спец[[#This Row],[аФакСец]])</f>
        <v>1</v>
      </c>
    </row>
    <row r="1402" spans="3:16" x14ac:dyDescent="0.25">
      <c r="C1402" s="614">
        <v>1396</v>
      </c>
      <c r="D1402" s="614">
        <v>733396</v>
      </c>
      <c r="E1402" s="64" t="s">
        <v>13862</v>
      </c>
      <c r="F1402" s="64" t="s">
        <v>13863</v>
      </c>
      <c r="G1402" s="614" t="s">
        <v>31</v>
      </c>
      <c r="H1402" s="614" t="s">
        <v>682</v>
      </c>
      <c r="I1402" s="614" t="s">
        <v>1153</v>
      </c>
      <c r="J1402" s="64" t="s">
        <v>13864</v>
      </c>
      <c r="K1402" s="1940" t="s">
        <v>13865</v>
      </c>
      <c r="L1402" s="1940" t="s">
        <v>13866</v>
      </c>
      <c r="M1402" t="s">
        <v>13867</v>
      </c>
      <c r="N1402" t="s">
        <v>13868</v>
      </c>
      <c r="O1402" t="s">
        <v>13863</v>
      </c>
      <c r="P1402" s="614">
        <f>COUNTIF(EducPlans_кодНАЦИД_Спец[аФакСец],EducPlans_кодНАЦИД_Спец[[#This Row],[аФакСец]])</f>
        <v>1</v>
      </c>
    </row>
    <row r="1403" spans="3:16" x14ac:dyDescent="0.25">
      <c r="C1403" s="614">
        <v>1397</v>
      </c>
      <c r="D1403" s="614">
        <v>12115</v>
      </c>
      <c r="E1403" s="64" t="s">
        <v>2191</v>
      </c>
      <c r="F1403" s="64" t="s">
        <v>6880</v>
      </c>
      <c r="G1403" s="614" t="s">
        <v>29</v>
      </c>
      <c r="H1403" s="614" t="s">
        <v>682</v>
      </c>
      <c r="I1403" s="614" t="s">
        <v>1149</v>
      </c>
      <c r="J1403" s="64" t="s">
        <v>6881</v>
      </c>
      <c r="K1403" s="1940" t="s">
        <v>6882</v>
      </c>
      <c r="L1403" s="1940" t="s">
        <v>9059</v>
      </c>
      <c r="M1403" t="s">
        <v>12440</v>
      </c>
      <c r="N1403" t="s">
        <v>10774</v>
      </c>
      <c r="O1403" t="s">
        <v>6880</v>
      </c>
      <c r="P1403" s="614">
        <f>COUNTIF(EducPlans_кодНАЦИД_Спец[аФакСец],EducPlans_кодНАЦИД_Спец[[#This Row],[аФакСец]])</f>
        <v>1</v>
      </c>
    </row>
    <row r="1404" spans="3:16" x14ac:dyDescent="0.25">
      <c r="C1404" s="614">
        <v>1398</v>
      </c>
      <c r="D1404" s="614">
        <v>12110</v>
      </c>
      <c r="E1404" s="64" t="s">
        <v>2192</v>
      </c>
      <c r="F1404" s="64" t="s">
        <v>6883</v>
      </c>
      <c r="G1404" s="614" t="s">
        <v>29</v>
      </c>
      <c r="H1404" s="614" t="s">
        <v>682</v>
      </c>
      <c r="I1404" s="614" t="s">
        <v>1153</v>
      </c>
      <c r="J1404" s="64" t="s">
        <v>6884</v>
      </c>
      <c r="K1404" s="1940" t="s">
        <v>6885</v>
      </c>
      <c r="L1404" s="1940" t="s">
        <v>9060</v>
      </c>
      <c r="M1404" t="s">
        <v>12441</v>
      </c>
      <c r="N1404" t="s">
        <v>10775</v>
      </c>
      <c r="O1404" t="s">
        <v>6883</v>
      </c>
      <c r="P1404" s="614">
        <f>COUNTIF(EducPlans_кодНАЦИД_Спец[аФакСец],EducPlans_кодНАЦИД_Спец[[#This Row],[аФакСец]])</f>
        <v>1</v>
      </c>
    </row>
    <row r="1405" spans="3:16" x14ac:dyDescent="0.25">
      <c r="C1405" s="614">
        <v>1399</v>
      </c>
      <c r="D1405" s="614">
        <v>12126</v>
      </c>
      <c r="E1405" s="64" t="s">
        <v>2192</v>
      </c>
      <c r="F1405" s="64" t="s">
        <v>6886</v>
      </c>
      <c r="G1405" s="614" t="s">
        <v>29</v>
      </c>
      <c r="H1405" s="614" t="s">
        <v>682</v>
      </c>
      <c r="I1405" s="614" t="s">
        <v>1153</v>
      </c>
      <c r="J1405" s="64" t="s">
        <v>4172</v>
      </c>
      <c r="K1405" s="1940" t="s">
        <v>6887</v>
      </c>
      <c r="L1405" s="1940" t="s">
        <v>9061</v>
      </c>
      <c r="M1405" t="s">
        <v>12442</v>
      </c>
      <c r="N1405" t="s">
        <v>10776</v>
      </c>
      <c r="O1405" t="s">
        <v>6886</v>
      </c>
      <c r="P1405" s="614">
        <f>COUNTIF(EducPlans_кодНАЦИД_Спец[аФакСец],EducPlans_кодНАЦИД_Спец[[#This Row],[аФакСец]])</f>
        <v>1</v>
      </c>
    </row>
    <row r="1406" spans="3:16" x14ac:dyDescent="0.25">
      <c r="C1406" s="614">
        <v>1400</v>
      </c>
      <c r="D1406" s="614">
        <v>12111</v>
      </c>
      <c r="E1406" s="64" t="s">
        <v>2192</v>
      </c>
      <c r="F1406" s="64" t="s">
        <v>6888</v>
      </c>
      <c r="G1406" s="614" t="s">
        <v>29</v>
      </c>
      <c r="H1406" s="614" t="s">
        <v>682</v>
      </c>
      <c r="I1406" s="614" t="s">
        <v>1149</v>
      </c>
      <c r="J1406" s="64" t="s">
        <v>6889</v>
      </c>
      <c r="K1406" s="1940" t="s">
        <v>6890</v>
      </c>
      <c r="L1406" s="1940" t="s">
        <v>9062</v>
      </c>
      <c r="M1406" t="s">
        <v>12443</v>
      </c>
      <c r="N1406" t="s">
        <v>10777</v>
      </c>
      <c r="O1406" t="s">
        <v>6888</v>
      </c>
      <c r="P1406" s="614">
        <f>COUNTIF(EducPlans_кодНАЦИД_Спец[аФакСец],EducPlans_кодНАЦИД_Спец[[#This Row],[аФакСец]])</f>
        <v>1</v>
      </c>
    </row>
    <row r="1407" spans="3:16" x14ac:dyDescent="0.25">
      <c r="C1407" s="614">
        <v>1401</v>
      </c>
      <c r="D1407" s="614">
        <v>12129</v>
      </c>
      <c r="E1407" s="64" t="s">
        <v>2192</v>
      </c>
      <c r="F1407" s="64" t="s">
        <v>6891</v>
      </c>
      <c r="G1407" s="614" t="s">
        <v>29</v>
      </c>
      <c r="H1407" s="614" t="s">
        <v>682</v>
      </c>
      <c r="I1407" s="614" t="s">
        <v>1149</v>
      </c>
      <c r="J1407" s="64" t="s">
        <v>4171</v>
      </c>
      <c r="K1407" s="1940" t="s">
        <v>6892</v>
      </c>
      <c r="L1407" s="1940" t="s">
        <v>9063</v>
      </c>
      <c r="M1407" t="s">
        <v>12444</v>
      </c>
      <c r="N1407" t="s">
        <v>10778</v>
      </c>
      <c r="O1407" t="s">
        <v>6891</v>
      </c>
      <c r="P1407" s="614">
        <f>COUNTIF(EducPlans_кодНАЦИД_Спец[аФакСец],EducPlans_кодНАЦИД_Спец[[#This Row],[аФакСец]])</f>
        <v>1</v>
      </c>
    </row>
    <row r="1408" spans="3:16" x14ac:dyDescent="0.25">
      <c r="C1408" s="614">
        <v>1402</v>
      </c>
      <c r="D1408" s="614">
        <v>12132</v>
      </c>
      <c r="E1408" s="64" t="s">
        <v>2193</v>
      </c>
      <c r="F1408" s="64" t="s">
        <v>6893</v>
      </c>
      <c r="G1408" s="614" t="s">
        <v>29</v>
      </c>
      <c r="H1408" s="614" t="s">
        <v>682</v>
      </c>
      <c r="I1408" s="614" t="s">
        <v>1149</v>
      </c>
      <c r="J1408" s="64" t="s">
        <v>4173</v>
      </c>
      <c r="K1408" s="1940" t="s">
        <v>6894</v>
      </c>
      <c r="L1408" s="1940" t="s">
        <v>9064</v>
      </c>
      <c r="M1408" t="s">
        <v>12445</v>
      </c>
      <c r="N1408" t="s">
        <v>10779</v>
      </c>
      <c r="O1408" t="s">
        <v>6893</v>
      </c>
      <c r="P1408" s="614">
        <f>COUNTIF(EducPlans_кодНАЦИД_Спец[аФакСец],EducPlans_кодНАЦИД_Спец[[#This Row],[аФакСец]])</f>
        <v>1</v>
      </c>
    </row>
    <row r="1409" spans="3:16" x14ac:dyDescent="0.25">
      <c r="C1409" s="614">
        <v>1403</v>
      </c>
      <c r="D1409" s="614">
        <v>12433</v>
      </c>
      <c r="E1409" s="64" t="s">
        <v>2276</v>
      </c>
      <c r="F1409" s="64" t="s">
        <v>6895</v>
      </c>
      <c r="G1409" s="614" t="s">
        <v>50</v>
      </c>
      <c r="H1409" s="614" t="s">
        <v>682</v>
      </c>
      <c r="I1409" s="614" t="s">
        <v>1153</v>
      </c>
      <c r="J1409" s="64" t="s">
        <v>3017</v>
      </c>
      <c r="K1409" s="1940" t="s">
        <v>6896</v>
      </c>
      <c r="L1409" s="1940" t="s">
        <v>9065</v>
      </c>
      <c r="M1409" t="s">
        <v>12446</v>
      </c>
      <c r="N1409" t="s">
        <v>10780</v>
      </c>
      <c r="O1409" t="s">
        <v>6895</v>
      </c>
      <c r="P1409" s="614">
        <f>COUNTIF(EducPlans_кодНАЦИД_Спец[аФакСец],EducPlans_кодНАЦИД_Спец[[#This Row],[аФакСец]])</f>
        <v>1</v>
      </c>
    </row>
    <row r="1410" spans="3:16" x14ac:dyDescent="0.25">
      <c r="C1410" s="614">
        <v>1404</v>
      </c>
      <c r="D1410" s="614">
        <v>12433</v>
      </c>
      <c r="E1410" s="64" t="s">
        <v>2276</v>
      </c>
      <c r="F1410" s="64" t="s">
        <v>6897</v>
      </c>
      <c r="G1410" s="614" t="s">
        <v>50</v>
      </c>
      <c r="H1410" s="614" t="s">
        <v>682</v>
      </c>
      <c r="I1410" s="614" t="s">
        <v>1153</v>
      </c>
      <c r="J1410" s="64" t="s">
        <v>3019</v>
      </c>
      <c r="K1410" s="1940" t="s">
        <v>6896</v>
      </c>
      <c r="L1410" s="1940" t="s">
        <v>9066</v>
      </c>
      <c r="M1410" t="s">
        <v>12447</v>
      </c>
      <c r="N1410" t="s">
        <v>10781</v>
      </c>
      <c r="O1410" t="s">
        <v>6897</v>
      </c>
      <c r="P1410" s="614">
        <f>COUNTIF(EducPlans_кодНАЦИД_Спец[аФакСец],EducPlans_кодНАЦИД_Спец[[#This Row],[аФакСец]])</f>
        <v>1</v>
      </c>
    </row>
    <row r="1411" spans="3:16" x14ac:dyDescent="0.25">
      <c r="C1411" s="614">
        <v>1405</v>
      </c>
      <c r="D1411" s="614">
        <v>12433</v>
      </c>
      <c r="E1411" s="64" t="s">
        <v>2276</v>
      </c>
      <c r="F1411" s="64" t="s">
        <v>6898</v>
      </c>
      <c r="G1411" s="614" t="s">
        <v>50</v>
      </c>
      <c r="H1411" s="614" t="s">
        <v>682</v>
      </c>
      <c r="I1411" s="614" t="s">
        <v>1153</v>
      </c>
      <c r="J1411" s="64" t="s">
        <v>3018</v>
      </c>
      <c r="K1411" s="1940" t="s">
        <v>6896</v>
      </c>
      <c r="L1411" s="1940" t="s">
        <v>9067</v>
      </c>
      <c r="M1411" t="s">
        <v>12448</v>
      </c>
      <c r="N1411" t="s">
        <v>10782</v>
      </c>
      <c r="O1411" t="s">
        <v>6898</v>
      </c>
      <c r="P1411" s="614">
        <f>COUNTIF(EducPlans_кодНАЦИД_Спец[аФакСец],EducPlans_кодНАЦИД_Спец[[#This Row],[аФакСец]])</f>
        <v>1</v>
      </c>
    </row>
    <row r="1412" spans="3:16" x14ac:dyDescent="0.25">
      <c r="C1412" s="614">
        <v>1406</v>
      </c>
      <c r="D1412" s="614">
        <v>12434</v>
      </c>
      <c r="E1412" s="64" t="s">
        <v>2276</v>
      </c>
      <c r="F1412" s="64" t="s">
        <v>6899</v>
      </c>
      <c r="G1412" s="614" t="s">
        <v>50</v>
      </c>
      <c r="H1412" s="614" t="s">
        <v>682</v>
      </c>
      <c r="I1412" s="614" t="s">
        <v>1149</v>
      </c>
      <c r="J1412" s="64" t="s">
        <v>3016</v>
      </c>
      <c r="K1412" s="1940" t="s">
        <v>6900</v>
      </c>
      <c r="L1412" s="1940" t="s">
        <v>9068</v>
      </c>
      <c r="M1412" t="s">
        <v>12449</v>
      </c>
      <c r="N1412" t="s">
        <v>10783</v>
      </c>
      <c r="O1412" t="s">
        <v>6899</v>
      </c>
      <c r="P1412" s="614">
        <f>COUNTIF(EducPlans_кодНАЦИД_Спец[аФакСец],EducPlans_кодНАЦИД_Спец[[#This Row],[аФакСец]])</f>
        <v>1</v>
      </c>
    </row>
    <row r="1413" spans="3:16" x14ac:dyDescent="0.25">
      <c r="C1413" s="614">
        <v>1407</v>
      </c>
      <c r="D1413" s="614">
        <v>12437</v>
      </c>
      <c r="E1413" s="64" t="s">
        <v>2277</v>
      </c>
      <c r="F1413" s="64" t="s">
        <v>6901</v>
      </c>
      <c r="G1413" s="614" t="s">
        <v>50</v>
      </c>
      <c r="H1413" s="614" t="s">
        <v>682</v>
      </c>
      <c r="I1413" s="614" t="s">
        <v>1153</v>
      </c>
      <c r="J1413" s="64" t="s">
        <v>3020</v>
      </c>
      <c r="K1413" s="1940" t="s">
        <v>6902</v>
      </c>
      <c r="L1413" s="1940" t="s">
        <v>9069</v>
      </c>
      <c r="M1413" t="s">
        <v>12450</v>
      </c>
      <c r="N1413" t="s">
        <v>10784</v>
      </c>
      <c r="O1413" t="s">
        <v>6901</v>
      </c>
      <c r="P1413" s="614">
        <f>COUNTIF(EducPlans_кодНАЦИД_Спец[аФакСец],EducPlans_кодНАЦИД_Спец[[#This Row],[аФакСец]])</f>
        <v>1</v>
      </c>
    </row>
    <row r="1414" spans="3:16" x14ac:dyDescent="0.25">
      <c r="C1414" s="614">
        <v>1408</v>
      </c>
      <c r="D1414" s="614">
        <v>12438</v>
      </c>
      <c r="E1414" s="64" t="s">
        <v>2277</v>
      </c>
      <c r="F1414" s="64" t="s">
        <v>6903</v>
      </c>
      <c r="G1414" s="614" t="s">
        <v>50</v>
      </c>
      <c r="H1414" s="614" t="s">
        <v>682</v>
      </c>
      <c r="I1414" s="614" t="s">
        <v>1149</v>
      </c>
      <c r="J1414" s="64" t="s">
        <v>6904</v>
      </c>
      <c r="K1414" s="1940" t="s">
        <v>6905</v>
      </c>
      <c r="L1414" s="1940" t="s">
        <v>9070</v>
      </c>
      <c r="M1414" t="s">
        <v>12451</v>
      </c>
      <c r="N1414" t="s">
        <v>10785</v>
      </c>
      <c r="O1414" t="s">
        <v>6903</v>
      </c>
      <c r="P1414" s="614">
        <f>COUNTIF(EducPlans_кодНАЦИД_Спец[аФакСец],EducPlans_кодНАЦИД_Спец[[#This Row],[аФакСец]])</f>
        <v>1</v>
      </c>
    </row>
    <row r="1415" spans="3:16" x14ac:dyDescent="0.25">
      <c r="C1415" s="614">
        <v>1409</v>
      </c>
      <c r="D1415" s="614">
        <v>12438</v>
      </c>
      <c r="E1415" s="64" t="s">
        <v>2277</v>
      </c>
      <c r="F1415" s="64" t="s">
        <v>6906</v>
      </c>
      <c r="G1415" s="614" t="s">
        <v>50</v>
      </c>
      <c r="H1415" s="614" t="s">
        <v>682</v>
      </c>
      <c r="I1415" s="614" t="s">
        <v>1149</v>
      </c>
      <c r="J1415" s="64" t="s">
        <v>6907</v>
      </c>
      <c r="K1415" s="1940" t="s">
        <v>6905</v>
      </c>
      <c r="L1415" s="1940" t="s">
        <v>9071</v>
      </c>
      <c r="M1415" t="s">
        <v>12452</v>
      </c>
      <c r="N1415" t="s">
        <v>10786</v>
      </c>
      <c r="O1415" t="s">
        <v>6906</v>
      </c>
      <c r="P1415" s="614">
        <f>COUNTIF(EducPlans_кодНАЦИД_Спец[аФакСец],EducPlans_кодНАЦИД_Спец[[#This Row],[аФакСец]])</f>
        <v>1</v>
      </c>
    </row>
    <row r="1416" spans="3:16" x14ac:dyDescent="0.25">
      <c r="C1416" s="614">
        <v>1410</v>
      </c>
      <c r="D1416" s="614">
        <v>12438</v>
      </c>
      <c r="E1416" s="64" t="s">
        <v>2277</v>
      </c>
      <c r="F1416" s="64" t="s">
        <v>6908</v>
      </c>
      <c r="G1416" s="614" t="s">
        <v>50</v>
      </c>
      <c r="H1416" s="614" t="s">
        <v>682</v>
      </c>
      <c r="I1416" s="614" t="s">
        <v>1149</v>
      </c>
      <c r="J1416" s="64" t="s">
        <v>6909</v>
      </c>
      <c r="K1416" s="1940" t="s">
        <v>6910</v>
      </c>
      <c r="L1416" s="1940" t="s">
        <v>9072</v>
      </c>
      <c r="M1416" t="s">
        <v>12453</v>
      </c>
      <c r="N1416" t="s">
        <v>10787</v>
      </c>
      <c r="O1416" t="s">
        <v>6908</v>
      </c>
      <c r="P1416" s="614">
        <f>COUNTIF(EducPlans_кодНАЦИД_Спец[аФакСец],EducPlans_кодНАЦИД_Спец[[#This Row],[аФакСец]])</f>
        <v>1</v>
      </c>
    </row>
    <row r="1417" spans="3:16" x14ac:dyDescent="0.25">
      <c r="C1417" s="614">
        <v>1411</v>
      </c>
      <c r="D1417" s="614">
        <v>11826</v>
      </c>
      <c r="E1417" s="64" t="s">
        <v>2354</v>
      </c>
      <c r="F1417" s="64" t="s">
        <v>6911</v>
      </c>
      <c r="G1417" s="614" t="s">
        <v>26</v>
      </c>
      <c r="H1417" s="614" t="s">
        <v>682</v>
      </c>
      <c r="I1417" s="614" t="s">
        <v>1153</v>
      </c>
      <c r="J1417" s="64" t="s">
        <v>3743</v>
      </c>
      <c r="K1417" s="1940" t="s">
        <v>6912</v>
      </c>
      <c r="L1417" s="1940" t="s">
        <v>9073</v>
      </c>
      <c r="M1417" t="s">
        <v>12454</v>
      </c>
      <c r="N1417" t="s">
        <v>10788</v>
      </c>
      <c r="O1417" t="s">
        <v>6911</v>
      </c>
      <c r="P1417" s="614">
        <f>COUNTIF(EducPlans_кодНАЦИД_Спец[аФакСец],EducPlans_кодНАЦИД_Спец[[#This Row],[аФакСец]])</f>
        <v>1</v>
      </c>
    </row>
    <row r="1418" spans="3:16" x14ac:dyDescent="0.25">
      <c r="C1418" s="614">
        <v>1412</v>
      </c>
      <c r="D1418" s="614">
        <v>11826</v>
      </c>
      <c r="E1418" s="64" t="s">
        <v>2354</v>
      </c>
      <c r="F1418" s="64" t="s">
        <v>6913</v>
      </c>
      <c r="G1418" s="614" t="s">
        <v>26</v>
      </c>
      <c r="H1418" s="614" t="s">
        <v>682</v>
      </c>
      <c r="I1418" s="614" t="s">
        <v>1153</v>
      </c>
      <c r="J1418" s="64" t="s">
        <v>3744</v>
      </c>
      <c r="K1418" s="1940" t="s">
        <v>6912</v>
      </c>
      <c r="L1418" s="1940" t="s">
        <v>9074</v>
      </c>
      <c r="M1418" t="s">
        <v>12455</v>
      </c>
      <c r="N1418" t="s">
        <v>10789</v>
      </c>
      <c r="O1418" t="s">
        <v>6913</v>
      </c>
      <c r="P1418" s="614">
        <f>COUNTIF(EducPlans_кодНАЦИД_Спец[аФакСец],EducPlans_кодНАЦИД_Спец[[#This Row],[аФакСец]])</f>
        <v>1</v>
      </c>
    </row>
    <row r="1419" spans="3:16" x14ac:dyDescent="0.25">
      <c r="C1419" s="614">
        <v>1413</v>
      </c>
      <c r="D1419" s="614">
        <v>11861</v>
      </c>
      <c r="E1419" s="64" t="s">
        <v>2354</v>
      </c>
      <c r="F1419" s="64" t="s">
        <v>6914</v>
      </c>
      <c r="G1419" s="614" t="s">
        <v>26</v>
      </c>
      <c r="H1419" s="614" t="s">
        <v>682</v>
      </c>
      <c r="I1419" s="614" t="s">
        <v>1153</v>
      </c>
      <c r="J1419" s="64" t="s">
        <v>3742</v>
      </c>
      <c r="K1419" s="1940" t="s">
        <v>6915</v>
      </c>
      <c r="L1419" s="1940" t="s">
        <v>9075</v>
      </c>
      <c r="M1419" t="s">
        <v>12456</v>
      </c>
      <c r="N1419" t="s">
        <v>10790</v>
      </c>
      <c r="O1419" t="s">
        <v>6914</v>
      </c>
      <c r="P1419" s="614">
        <f>COUNTIF(EducPlans_кодНАЦИД_Спец[аФакСец],EducPlans_кодНАЦИД_Спец[[#This Row],[аФакСец]])</f>
        <v>1</v>
      </c>
    </row>
    <row r="1420" spans="3:16" x14ac:dyDescent="0.25">
      <c r="C1420" s="614">
        <v>1414</v>
      </c>
      <c r="D1420" s="614">
        <v>12675</v>
      </c>
      <c r="E1420" s="64" t="s">
        <v>1242</v>
      </c>
      <c r="F1420" s="64" t="s">
        <v>6916</v>
      </c>
      <c r="G1420" s="614" t="s">
        <v>296</v>
      </c>
      <c r="H1420" s="614" t="s">
        <v>682</v>
      </c>
      <c r="I1420" s="614" t="s">
        <v>1149</v>
      </c>
      <c r="J1420" s="64" t="s">
        <v>3836</v>
      </c>
      <c r="K1420" s="1940" t="s">
        <v>6917</v>
      </c>
      <c r="L1420" s="1940" t="s">
        <v>9076</v>
      </c>
      <c r="M1420" t="s">
        <v>12457</v>
      </c>
      <c r="N1420" t="s">
        <v>10791</v>
      </c>
      <c r="O1420" t="s">
        <v>6916</v>
      </c>
      <c r="P1420" s="614">
        <f>COUNTIF(EducPlans_кодНАЦИД_Спец[аФакСец],EducPlans_кодНАЦИД_Спец[[#This Row],[аФакСец]])</f>
        <v>1</v>
      </c>
    </row>
    <row r="1421" spans="3:16" x14ac:dyDescent="0.25">
      <c r="C1421" s="614">
        <v>1415</v>
      </c>
      <c r="D1421" s="614">
        <v>278412</v>
      </c>
      <c r="E1421" s="64" t="s">
        <v>1243</v>
      </c>
      <c r="F1421" s="64" t="s">
        <v>6918</v>
      </c>
      <c r="G1421" s="614" t="s">
        <v>296</v>
      </c>
      <c r="H1421" s="614" t="s">
        <v>682</v>
      </c>
      <c r="I1421" s="614" t="s">
        <v>1149</v>
      </c>
      <c r="J1421" s="64" t="s">
        <v>3837</v>
      </c>
      <c r="K1421" s="1940" t="s">
        <v>6919</v>
      </c>
      <c r="L1421" s="1940" t="s">
        <v>9077</v>
      </c>
      <c r="M1421" t="s">
        <v>12458</v>
      </c>
      <c r="N1421" t="s">
        <v>10792</v>
      </c>
      <c r="O1421" t="s">
        <v>6918</v>
      </c>
      <c r="P1421" s="614">
        <f>COUNTIF(EducPlans_кодНАЦИД_Спец[аФакСец],EducPlans_кодНАЦИД_Спец[[#This Row],[аФакСец]])</f>
        <v>1</v>
      </c>
    </row>
    <row r="1422" spans="3:16" x14ac:dyDescent="0.25">
      <c r="C1422" s="614">
        <v>1416</v>
      </c>
      <c r="D1422" s="614">
        <v>278411</v>
      </c>
      <c r="E1422" s="64" t="s">
        <v>1244</v>
      </c>
      <c r="F1422" s="64" t="s">
        <v>6920</v>
      </c>
      <c r="G1422" s="614" t="s">
        <v>296</v>
      </c>
      <c r="H1422" s="614" t="s">
        <v>682</v>
      </c>
      <c r="I1422" s="614" t="s">
        <v>1149</v>
      </c>
      <c r="J1422" s="64" t="s">
        <v>3838</v>
      </c>
      <c r="K1422" s="1940" t="s">
        <v>6921</v>
      </c>
      <c r="L1422" s="1940" t="s">
        <v>9078</v>
      </c>
      <c r="M1422" t="s">
        <v>12459</v>
      </c>
      <c r="N1422" t="s">
        <v>10793</v>
      </c>
      <c r="O1422" t="s">
        <v>6920</v>
      </c>
      <c r="P1422" s="614">
        <f>COUNTIF(EducPlans_кодНАЦИД_Спец[аФакСец],EducPlans_кодНАЦИД_Спец[[#This Row],[аФакСец]])</f>
        <v>1</v>
      </c>
    </row>
    <row r="1423" spans="3:16" x14ac:dyDescent="0.25">
      <c r="C1423" s="614">
        <v>1417</v>
      </c>
      <c r="D1423" s="614">
        <v>12305</v>
      </c>
      <c r="E1423" s="64" t="s">
        <v>2403</v>
      </c>
      <c r="F1423" s="64" t="s">
        <v>6922</v>
      </c>
      <c r="G1423" s="614" t="s">
        <v>31</v>
      </c>
      <c r="H1423" s="614" t="s">
        <v>682</v>
      </c>
      <c r="I1423" s="614" t="s">
        <v>1153</v>
      </c>
      <c r="J1423" s="64" t="s">
        <v>2969</v>
      </c>
      <c r="K1423" s="1940" t="s">
        <v>6923</v>
      </c>
      <c r="L1423" s="1940" t="s">
        <v>9079</v>
      </c>
      <c r="M1423" t="s">
        <v>12460</v>
      </c>
      <c r="N1423" t="s">
        <v>10794</v>
      </c>
      <c r="O1423" t="s">
        <v>6922</v>
      </c>
      <c r="P1423" s="614">
        <f>COUNTIF(EducPlans_кодНАЦИД_Спец[аФакСец],EducPlans_кодНАЦИД_Спец[[#This Row],[аФакСец]])</f>
        <v>1</v>
      </c>
    </row>
    <row r="1424" spans="3:16" x14ac:dyDescent="0.25">
      <c r="C1424" s="614">
        <v>1418</v>
      </c>
      <c r="D1424" s="614">
        <v>904071</v>
      </c>
      <c r="E1424" s="64" t="s">
        <v>2403</v>
      </c>
      <c r="F1424" s="64" t="s">
        <v>13869</v>
      </c>
      <c r="G1424" s="614" t="s">
        <v>31</v>
      </c>
      <c r="H1424" s="614" t="s">
        <v>682</v>
      </c>
      <c r="I1424" s="614" t="s">
        <v>1153</v>
      </c>
      <c r="J1424" s="64" t="s">
        <v>13870</v>
      </c>
      <c r="K1424" s="1940" t="s">
        <v>6923</v>
      </c>
      <c r="L1424" s="1940" t="s">
        <v>13871</v>
      </c>
      <c r="M1424" t="s">
        <v>13872</v>
      </c>
      <c r="N1424" t="s">
        <v>13873</v>
      </c>
      <c r="O1424" t="s">
        <v>13869</v>
      </c>
      <c r="P1424" s="614">
        <f>COUNTIF(EducPlans_кодНАЦИД_Спец[аФакСец],EducPlans_кодНАЦИД_Спец[[#This Row],[аФакСец]])</f>
        <v>1</v>
      </c>
    </row>
    <row r="1425" spans="3:16" x14ac:dyDescent="0.25">
      <c r="C1425" s="614">
        <v>1419</v>
      </c>
      <c r="D1425" s="614">
        <v>904071</v>
      </c>
      <c r="E1425" s="64" t="s">
        <v>2403</v>
      </c>
      <c r="F1425" s="64" t="s">
        <v>13874</v>
      </c>
      <c r="G1425" s="614" t="s">
        <v>31</v>
      </c>
      <c r="H1425" s="614" t="s">
        <v>682</v>
      </c>
      <c r="I1425" s="614" t="s">
        <v>1153</v>
      </c>
      <c r="J1425" s="64" t="s">
        <v>13875</v>
      </c>
      <c r="K1425" s="1940" t="s">
        <v>6923</v>
      </c>
      <c r="L1425" s="1940" t="s">
        <v>13876</v>
      </c>
      <c r="M1425" t="s">
        <v>13877</v>
      </c>
      <c r="N1425" t="s">
        <v>13878</v>
      </c>
      <c r="O1425" t="s">
        <v>13874</v>
      </c>
      <c r="P1425" s="614">
        <f>COUNTIF(EducPlans_кодНАЦИД_Спец[аФакСец],EducPlans_кодНАЦИД_Спец[[#This Row],[аФакСец]])</f>
        <v>1</v>
      </c>
    </row>
    <row r="1426" spans="3:16" x14ac:dyDescent="0.25">
      <c r="C1426" s="614">
        <v>1420</v>
      </c>
      <c r="D1426" s="614">
        <v>281062</v>
      </c>
      <c r="E1426" s="64" t="s">
        <v>2403</v>
      </c>
      <c r="F1426" s="64" t="s">
        <v>6924</v>
      </c>
      <c r="G1426" s="614" t="s">
        <v>31</v>
      </c>
      <c r="H1426" s="614" t="s">
        <v>682</v>
      </c>
      <c r="I1426" s="614" t="s">
        <v>1149</v>
      </c>
      <c r="J1426" s="64" t="s">
        <v>2968</v>
      </c>
      <c r="K1426" s="1940" t="s">
        <v>6925</v>
      </c>
      <c r="L1426" s="1940" t="s">
        <v>9080</v>
      </c>
      <c r="M1426" t="s">
        <v>12461</v>
      </c>
      <c r="N1426" t="s">
        <v>10795</v>
      </c>
      <c r="O1426" t="s">
        <v>6924</v>
      </c>
      <c r="P1426" s="614">
        <f>COUNTIF(EducPlans_кодНАЦИД_Спец[аФакСец],EducPlans_кодНАЦИД_Спец[[#This Row],[аФакСец]])</f>
        <v>1</v>
      </c>
    </row>
    <row r="1427" spans="3:16" x14ac:dyDescent="0.25">
      <c r="C1427" s="614">
        <v>1421</v>
      </c>
      <c r="D1427" s="614">
        <v>12423</v>
      </c>
      <c r="E1427" s="64" t="s">
        <v>2278</v>
      </c>
      <c r="F1427" s="64" t="s">
        <v>6926</v>
      </c>
      <c r="G1427" s="614" t="s">
        <v>50</v>
      </c>
      <c r="H1427" s="614" t="s">
        <v>682</v>
      </c>
      <c r="I1427" s="614" t="s">
        <v>1153</v>
      </c>
      <c r="J1427" s="64" t="s">
        <v>3021</v>
      </c>
      <c r="K1427" s="1940" t="s">
        <v>6927</v>
      </c>
      <c r="L1427" s="1940" t="s">
        <v>9081</v>
      </c>
      <c r="M1427" t="s">
        <v>12462</v>
      </c>
      <c r="N1427" t="s">
        <v>10796</v>
      </c>
      <c r="O1427" t="s">
        <v>6926</v>
      </c>
      <c r="P1427" s="614">
        <f>COUNTIF(EducPlans_кодНАЦИД_Спец[аФакСец],EducPlans_кодНАЦИД_Спец[[#This Row],[аФакСец]])</f>
        <v>1</v>
      </c>
    </row>
    <row r="1428" spans="3:16" x14ac:dyDescent="0.25">
      <c r="C1428" s="614">
        <v>1422</v>
      </c>
      <c r="D1428" s="614">
        <v>12424</v>
      </c>
      <c r="E1428" s="64" t="s">
        <v>2278</v>
      </c>
      <c r="F1428" s="64" t="s">
        <v>6928</v>
      </c>
      <c r="G1428" s="614" t="s">
        <v>50</v>
      </c>
      <c r="H1428" s="614" t="s">
        <v>682</v>
      </c>
      <c r="I1428" s="614" t="s">
        <v>1149</v>
      </c>
      <c r="J1428" s="64" t="s">
        <v>6929</v>
      </c>
      <c r="K1428" s="1940" t="s">
        <v>6930</v>
      </c>
      <c r="L1428" s="1940" t="s">
        <v>9082</v>
      </c>
      <c r="M1428" t="s">
        <v>12463</v>
      </c>
      <c r="N1428" t="s">
        <v>10797</v>
      </c>
      <c r="O1428" t="s">
        <v>6928</v>
      </c>
      <c r="P1428" s="614">
        <f>COUNTIF(EducPlans_кодНАЦИД_Спец[аФакСец],EducPlans_кодНАЦИД_Спец[[#This Row],[аФакСец]])</f>
        <v>1</v>
      </c>
    </row>
    <row r="1429" spans="3:16" x14ac:dyDescent="0.25">
      <c r="C1429" s="614">
        <v>1423</v>
      </c>
      <c r="D1429" s="614">
        <v>12380</v>
      </c>
      <c r="E1429" s="64" t="s">
        <v>1910</v>
      </c>
      <c r="F1429" s="64" t="s">
        <v>6931</v>
      </c>
      <c r="G1429" s="614" t="s">
        <v>50</v>
      </c>
      <c r="H1429" s="614" t="s">
        <v>682</v>
      </c>
      <c r="I1429" s="614" t="s">
        <v>1153</v>
      </c>
      <c r="J1429" s="64" t="s">
        <v>3024</v>
      </c>
      <c r="K1429" s="1940" t="s">
        <v>6932</v>
      </c>
      <c r="L1429" s="1940" t="s">
        <v>9083</v>
      </c>
      <c r="M1429" t="s">
        <v>12464</v>
      </c>
      <c r="N1429" t="s">
        <v>10798</v>
      </c>
      <c r="O1429" t="s">
        <v>6931</v>
      </c>
      <c r="P1429" s="614">
        <f>COUNTIF(EducPlans_кодНАЦИД_Спец[аФакСец],EducPlans_кодНАЦИД_Спец[[#This Row],[аФакСец]])</f>
        <v>1</v>
      </c>
    </row>
    <row r="1430" spans="3:16" x14ac:dyDescent="0.25">
      <c r="C1430" s="614">
        <v>1424</v>
      </c>
      <c r="D1430" s="614">
        <v>12380</v>
      </c>
      <c r="E1430" s="64" t="s">
        <v>1910</v>
      </c>
      <c r="F1430" s="64" t="s">
        <v>6933</v>
      </c>
      <c r="G1430" s="614" t="s">
        <v>50</v>
      </c>
      <c r="H1430" s="614" t="s">
        <v>682</v>
      </c>
      <c r="I1430" s="614" t="s">
        <v>1153</v>
      </c>
      <c r="J1430" s="64" t="s">
        <v>3023</v>
      </c>
      <c r="K1430" s="1940" t="s">
        <v>6932</v>
      </c>
      <c r="L1430" s="1940" t="s">
        <v>9084</v>
      </c>
      <c r="M1430" t="s">
        <v>12465</v>
      </c>
      <c r="N1430" t="s">
        <v>10799</v>
      </c>
      <c r="O1430" t="s">
        <v>6933</v>
      </c>
      <c r="P1430" s="614">
        <f>COUNTIF(EducPlans_кодНАЦИД_Спец[аФакСец],EducPlans_кодНАЦИД_Спец[[#This Row],[аФакСец]])</f>
        <v>1</v>
      </c>
    </row>
    <row r="1431" spans="3:16" x14ac:dyDescent="0.25">
      <c r="C1431" s="614">
        <v>1425</v>
      </c>
      <c r="D1431" s="614">
        <v>12381</v>
      </c>
      <c r="E1431" s="64" t="s">
        <v>1910</v>
      </c>
      <c r="F1431" s="64" t="s">
        <v>6934</v>
      </c>
      <c r="G1431" s="614" t="s">
        <v>50</v>
      </c>
      <c r="H1431" s="614" t="s">
        <v>682</v>
      </c>
      <c r="I1431" s="614" t="s">
        <v>1149</v>
      </c>
      <c r="J1431" s="64" t="s">
        <v>3022</v>
      </c>
      <c r="K1431" s="1940" t="s">
        <v>6935</v>
      </c>
      <c r="L1431" s="1940" t="s">
        <v>9085</v>
      </c>
      <c r="M1431" t="s">
        <v>12466</v>
      </c>
      <c r="N1431" t="s">
        <v>10800</v>
      </c>
      <c r="O1431" t="s">
        <v>6934</v>
      </c>
      <c r="P1431" s="614">
        <f>COUNTIF(EducPlans_кодНАЦИД_Спец[аФакСец],EducPlans_кодНАЦИД_Спец[[#This Row],[аФакСец]])</f>
        <v>1</v>
      </c>
    </row>
    <row r="1432" spans="3:16" x14ac:dyDescent="0.25">
      <c r="C1432" s="614">
        <v>1426</v>
      </c>
      <c r="D1432" s="614">
        <v>12322</v>
      </c>
      <c r="E1432" s="64" t="s">
        <v>1911</v>
      </c>
      <c r="F1432" s="64" t="s">
        <v>6936</v>
      </c>
      <c r="G1432" s="614" t="s">
        <v>50</v>
      </c>
      <c r="H1432" s="614" t="s">
        <v>682</v>
      </c>
      <c r="I1432" s="614" t="s">
        <v>1153</v>
      </c>
      <c r="J1432" s="64" t="s">
        <v>3026</v>
      </c>
      <c r="K1432" s="1940" t="s">
        <v>6937</v>
      </c>
      <c r="L1432" s="1940" t="s">
        <v>9086</v>
      </c>
      <c r="M1432" t="s">
        <v>12467</v>
      </c>
      <c r="N1432" t="s">
        <v>10801</v>
      </c>
      <c r="O1432" t="s">
        <v>6936</v>
      </c>
      <c r="P1432" s="614">
        <f>COUNTIF(EducPlans_кодНАЦИД_Спец[аФакСец],EducPlans_кодНАЦИД_Спец[[#This Row],[аФакСец]])</f>
        <v>1</v>
      </c>
    </row>
    <row r="1433" spans="3:16" x14ac:dyDescent="0.25">
      <c r="C1433" s="614">
        <v>1427</v>
      </c>
      <c r="D1433" s="614">
        <v>12383</v>
      </c>
      <c r="E1433" s="64" t="s">
        <v>1912</v>
      </c>
      <c r="F1433" s="64" t="s">
        <v>6938</v>
      </c>
      <c r="G1433" s="614" t="s">
        <v>50</v>
      </c>
      <c r="H1433" s="614" t="s">
        <v>682</v>
      </c>
      <c r="I1433" s="614" t="s">
        <v>1153</v>
      </c>
      <c r="J1433" s="64" t="s">
        <v>3031</v>
      </c>
      <c r="K1433" s="1940" t="s">
        <v>6939</v>
      </c>
      <c r="L1433" s="1940" t="s">
        <v>9087</v>
      </c>
      <c r="M1433" t="s">
        <v>12468</v>
      </c>
      <c r="N1433" t="s">
        <v>10802</v>
      </c>
      <c r="O1433" t="s">
        <v>6938</v>
      </c>
      <c r="P1433" s="614">
        <f>COUNTIF(EducPlans_кодНАЦИД_Спец[аФакСец],EducPlans_кодНАЦИД_Спец[[#This Row],[аФакСец]])</f>
        <v>1</v>
      </c>
    </row>
    <row r="1434" spans="3:16" x14ac:dyDescent="0.25">
      <c r="C1434" s="614">
        <v>1428</v>
      </c>
      <c r="D1434" s="614">
        <v>12383</v>
      </c>
      <c r="E1434" s="64" t="s">
        <v>1912</v>
      </c>
      <c r="F1434" s="64" t="s">
        <v>6940</v>
      </c>
      <c r="G1434" s="614" t="s">
        <v>50</v>
      </c>
      <c r="H1434" s="614" t="s">
        <v>682</v>
      </c>
      <c r="I1434" s="614" t="s">
        <v>1153</v>
      </c>
      <c r="J1434" s="64" t="s">
        <v>3029</v>
      </c>
      <c r="K1434" s="1940" t="s">
        <v>6939</v>
      </c>
      <c r="L1434" s="1940" t="s">
        <v>9088</v>
      </c>
      <c r="M1434" t="s">
        <v>12469</v>
      </c>
      <c r="N1434" t="s">
        <v>10803</v>
      </c>
      <c r="O1434" t="s">
        <v>6940</v>
      </c>
      <c r="P1434" s="614">
        <f>COUNTIF(EducPlans_кодНАЦИД_Спец[аФакСец],EducPlans_кодНАЦИД_Спец[[#This Row],[аФакСец]])</f>
        <v>1</v>
      </c>
    </row>
    <row r="1435" spans="3:16" x14ac:dyDescent="0.25">
      <c r="C1435" s="614">
        <v>1429</v>
      </c>
      <c r="D1435" s="614">
        <v>12383</v>
      </c>
      <c r="E1435" s="64" t="s">
        <v>1912</v>
      </c>
      <c r="F1435" s="64" t="s">
        <v>6941</v>
      </c>
      <c r="G1435" s="614" t="s">
        <v>50</v>
      </c>
      <c r="H1435" s="614" t="s">
        <v>682</v>
      </c>
      <c r="I1435" s="614" t="s">
        <v>1153</v>
      </c>
      <c r="J1435" s="64" t="s">
        <v>3030</v>
      </c>
      <c r="K1435" s="1940" t="s">
        <v>6939</v>
      </c>
      <c r="L1435" s="1940" t="s">
        <v>9089</v>
      </c>
      <c r="M1435" t="s">
        <v>12470</v>
      </c>
      <c r="N1435" t="s">
        <v>10804</v>
      </c>
      <c r="O1435" t="s">
        <v>6941</v>
      </c>
      <c r="P1435" s="614">
        <f>COUNTIF(EducPlans_кодНАЦИД_Спец[аФакСец],EducPlans_кодНАЦИД_Спец[[#This Row],[аФакСец]])</f>
        <v>1</v>
      </c>
    </row>
    <row r="1436" spans="3:16" x14ac:dyDescent="0.25">
      <c r="C1436" s="614">
        <v>1430</v>
      </c>
      <c r="D1436" s="614">
        <v>12384</v>
      </c>
      <c r="E1436" s="64" t="s">
        <v>1912</v>
      </c>
      <c r="F1436" s="64" t="s">
        <v>6942</v>
      </c>
      <c r="G1436" s="614" t="s">
        <v>50</v>
      </c>
      <c r="H1436" s="614" t="s">
        <v>682</v>
      </c>
      <c r="I1436" s="614" t="s">
        <v>1149</v>
      </c>
      <c r="J1436" s="64" t="s">
        <v>3027</v>
      </c>
      <c r="K1436" s="1940" t="s">
        <v>6943</v>
      </c>
      <c r="L1436" s="1940" t="s">
        <v>9090</v>
      </c>
      <c r="M1436" t="s">
        <v>12471</v>
      </c>
      <c r="N1436" t="s">
        <v>10805</v>
      </c>
      <c r="O1436" t="s">
        <v>6942</v>
      </c>
      <c r="P1436" s="614">
        <f>COUNTIF(EducPlans_кодНАЦИД_Спец[аФакСец],EducPlans_кодНАЦИД_Спец[[#This Row],[аФакСец]])</f>
        <v>1</v>
      </c>
    </row>
    <row r="1437" spans="3:16" x14ac:dyDescent="0.25">
      <c r="C1437" s="614">
        <v>1431</v>
      </c>
      <c r="D1437" s="614">
        <v>12384</v>
      </c>
      <c r="E1437" s="64" t="s">
        <v>1912</v>
      </c>
      <c r="F1437" s="64" t="s">
        <v>6944</v>
      </c>
      <c r="G1437" s="614" t="s">
        <v>50</v>
      </c>
      <c r="H1437" s="614" t="s">
        <v>682</v>
      </c>
      <c r="I1437" s="614" t="s">
        <v>1149</v>
      </c>
      <c r="J1437" s="64" t="s">
        <v>3028</v>
      </c>
      <c r="K1437" s="1940" t="s">
        <v>6943</v>
      </c>
      <c r="L1437" s="1940" t="s">
        <v>9091</v>
      </c>
      <c r="M1437" t="s">
        <v>12472</v>
      </c>
      <c r="N1437" t="s">
        <v>10806</v>
      </c>
      <c r="O1437" t="s">
        <v>6944</v>
      </c>
      <c r="P1437" s="614">
        <f>COUNTIF(EducPlans_кодНАЦИД_Спец[аФакСец],EducPlans_кодНАЦИД_Спец[[#This Row],[аФакСец]])</f>
        <v>1</v>
      </c>
    </row>
    <row r="1438" spans="3:16" x14ac:dyDescent="0.25">
      <c r="C1438" s="614">
        <v>1432</v>
      </c>
      <c r="D1438" s="614">
        <v>12321</v>
      </c>
      <c r="E1438" s="64" t="s">
        <v>1913</v>
      </c>
      <c r="F1438" s="64" t="s">
        <v>6945</v>
      </c>
      <c r="G1438" s="614" t="s">
        <v>50</v>
      </c>
      <c r="H1438" s="614" t="s">
        <v>682</v>
      </c>
      <c r="I1438" s="614" t="s">
        <v>1149</v>
      </c>
      <c r="J1438" s="64" t="s">
        <v>3033</v>
      </c>
      <c r="K1438" s="1940" t="s">
        <v>6946</v>
      </c>
      <c r="L1438" s="1940" t="s">
        <v>9092</v>
      </c>
      <c r="M1438" t="s">
        <v>12473</v>
      </c>
      <c r="N1438" t="s">
        <v>10807</v>
      </c>
      <c r="O1438" t="s">
        <v>6945</v>
      </c>
      <c r="P1438" s="614">
        <f>COUNTIF(EducPlans_кодНАЦИД_Спец[аФакСец],EducPlans_кодНАЦИД_Спец[[#This Row],[аФакСец]])</f>
        <v>1</v>
      </c>
    </row>
    <row r="1439" spans="3:16" x14ac:dyDescent="0.25">
      <c r="C1439" s="614">
        <v>1433</v>
      </c>
      <c r="D1439" s="614">
        <v>12396</v>
      </c>
      <c r="E1439" s="64" t="s">
        <v>1914</v>
      </c>
      <c r="F1439" s="64" t="s">
        <v>6947</v>
      </c>
      <c r="G1439" s="614" t="s">
        <v>50</v>
      </c>
      <c r="H1439" s="614" t="s">
        <v>682</v>
      </c>
      <c r="I1439" s="614" t="s">
        <v>1153</v>
      </c>
      <c r="J1439" s="64" t="s">
        <v>3035</v>
      </c>
      <c r="K1439" s="1940" t="s">
        <v>6948</v>
      </c>
      <c r="L1439" s="1940" t="s">
        <v>9093</v>
      </c>
      <c r="M1439" t="s">
        <v>12474</v>
      </c>
      <c r="N1439" t="s">
        <v>10808</v>
      </c>
      <c r="O1439" t="s">
        <v>6947</v>
      </c>
      <c r="P1439" s="614">
        <f>COUNTIF(EducPlans_кодНАЦИД_Спец[аФакСец],EducPlans_кодНАЦИД_Спец[[#This Row],[аФакСец]])</f>
        <v>1</v>
      </c>
    </row>
    <row r="1440" spans="3:16" x14ac:dyDescent="0.25">
      <c r="C1440" s="614">
        <v>1434</v>
      </c>
      <c r="D1440" s="614">
        <v>12397</v>
      </c>
      <c r="E1440" s="64" t="s">
        <v>1914</v>
      </c>
      <c r="F1440" s="64" t="s">
        <v>6949</v>
      </c>
      <c r="G1440" s="614" t="s">
        <v>50</v>
      </c>
      <c r="H1440" s="614" t="s">
        <v>682</v>
      </c>
      <c r="I1440" s="614" t="s">
        <v>1149</v>
      </c>
      <c r="J1440" s="64" t="s">
        <v>3034</v>
      </c>
      <c r="K1440" s="1940" t="s">
        <v>6950</v>
      </c>
      <c r="L1440" s="1940" t="s">
        <v>9094</v>
      </c>
      <c r="M1440" t="s">
        <v>12475</v>
      </c>
      <c r="N1440" t="s">
        <v>10809</v>
      </c>
      <c r="O1440" t="s">
        <v>6949</v>
      </c>
      <c r="P1440" s="614">
        <f>COUNTIF(EducPlans_кодНАЦИД_Спец[аФакСец],EducPlans_кодНАЦИД_Спец[[#This Row],[аФакСец]])</f>
        <v>1</v>
      </c>
    </row>
    <row r="1441" spans="3:16" x14ac:dyDescent="0.25">
      <c r="C1441" s="614">
        <v>1435</v>
      </c>
      <c r="D1441" s="614">
        <v>12319</v>
      </c>
      <c r="E1441" s="64" t="s">
        <v>1915</v>
      </c>
      <c r="F1441" s="64" t="s">
        <v>6951</v>
      </c>
      <c r="G1441" s="614" t="s">
        <v>50</v>
      </c>
      <c r="H1441" s="614" t="s">
        <v>682</v>
      </c>
      <c r="I1441" s="614" t="s">
        <v>1149</v>
      </c>
      <c r="J1441" s="64" t="s">
        <v>3036</v>
      </c>
      <c r="K1441" s="1940" t="s">
        <v>6952</v>
      </c>
      <c r="L1441" s="1940" t="s">
        <v>9095</v>
      </c>
      <c r="M1441" t="s">
        <v>12476</v>
      </c>
      <c r="N1441" t="s">
        <v>10810</v>
      </c>
      <c r="O1441" t="s">
        <v>6951</v>
      </c>
      <c r="P1441" s="614">
        <f>COUNTIF(EducPlans_кодНАЦИД_Спец[аФакСец],EducPlans_кодНАЦИД_Спец[[#This Row],[аФакСец]])</f>
        <v>1</v>
      </c>
    </row>
    <row r="1442" spans="3:16" x14ac:dyDescent="0.25">
      <c r="C1442" s="614">
        <v>1436</v>
      </c>
      <c r="D1442" s="614">
        <v>12317</v>
      </c>
      <c r="E1442" s="64" t="s">
        <v>1916</v>
      </c>
      <c r="F1442" s="64" t="s">
        <v>6953</v>
      </c>
      <c r="G1442" s="614" t="s">
        <v>50</v>
      </c>
      <c r="H1442" s="614" t="s">
        <v>682</v>
      </c>
      <c r="I1442" s="614" t="s">
        <v>1153</v>
      </c>
      <c r="J1442" s="64" t="s">
        <v>3037</v>
      </c>
      <c r="K1442" s="1940" t="s">
        <v>6954</v>
      </c>
      <c r="L1442" s="1940" t="s">
        <v>9096</v>
      </c>
      <c r="M1442" t="s">
        <v>12477</v>
      </c>
      <c r="N1442" t="s">
        <v>10811</v>
      </c>
      <c r="O1442" t="s">
        <v>6953</v>
      </c>
      <c r="P1442" s="614">
        <f>COUNTIF(EducPlans_кодНАЦИД_Спец[аФакСец],EducPlans_кодНАЦИД_Спец[[#This Row],[аФакСец]])</f>
        <v>1</v>
      </c>
    </row>
    <row r="1443" spans="3:16" x14ac:dyDescent="0.25">
      <c r="C1443" s="614">
        <v>1437</v>
      </c>
      <c r="D1443" s="614">
        <v>12441</v>
      </c>
      <c r="E1443" s="64" t="s">
        <v>2280</v>
      </c>
      <c r="F1443" s="64" t="s">
        <v>6955</v>
      </c>
      <c r="G1443" s="614" t="s">
        <v>50</v>
      </c>
      <c r="H1443" s="614" t="s">
        <v>682</v>
      </c>
      <c r="I1443" s="614" t="s">
        <v>1153</v>
      </c>
      <c r="J1443" s="64" t="s">
        <v>3038</v>
      </c>
      <c r="K1443" s="1940" t="s">
        <v>6956</v>
      </c>
      <c r="L1443" s="1940" t="s">
        <v>9097</v>
      </c>
      <c r="M1443" t="s">
        <v>12478</v>
      </c>
      <c r="N1443" t="s">
        <v>10812</v>
      </c>
      <c r="O1443" t="s">
        <v>6955</v>
      </c>
      <c r="P1443" s="614">
        <f>COUNTIF(EducPlans_кодНАЦИД_Спец[аФакСец],EducPlans_кодНАЦИД_Спец[[#This Row],[аФакСец]])</f>
        <v>1</v>
      </c>
    </row>
    <row r="1444" spans="3:16" x14ac:dyDescent="0.25">
      <c r="C1444" s="614">
        <v>1438</v>
      </c>
      <c r="D1444" s="614">
        <v>745945</v>
      </c>
      <c r="E1444" s="64" t="s">
        <v>13879</v>
      </c>
      <c r="F1444" s="64" t="s">
        <v>13880</v>
      </c>
      <c r="G1444" s="614" t="s">
        <v>48</v>
      </c>
      <c r="H1444" s="614" t="s">
        <v>682</v>
      </c>
      <c r="I1444" s="614" t="s">
        <v>1153</v>
      </c>
      <c r="J1444" s="64" t="s">
        <v>13881</v>
      </c>
      <c r="K1444" s="1940" t="s">
        <v>13882</v>
      </c>
      <c r="L1444" s="1940" t="s">
        <v>13883</v>
      </c>
      <c r="M1444" t="s">
        <v>13884</v>
      </c>
      <c r="N1444" t="s">
        <v>13885</v>
      </c>
      <c r="O1444" t="s">
        <v>13880</v>
      </c>
      <c r="P1444" s="614">
        <f>COUNTIF(EducPlans_кодНАЦИД_Спец[аФакСец],EducPlans_кодНАЦИД_Спец[[#This Row],[аФакСец]])</f>
        <v>1</v>
      </c>
    </row>
    <row r="1445" spans="3:16" x14ac:dyDescent="0.25">
      <c r="C1445" s="614">
        <v>1439</v>
      </c>
      <c r="D1445" s="614">
        <v>284197</v>
      </c>
      <c r="E1445" s="64" t="s">
        <v>2282</v>
      </c>
      <c r="F1445" s="64" t="s">
        <v>6957</v>
      </c>
      <c r="G1445" s="614" t="s">
        <v>50</v>
      </c>
      <c r="H1445" s="614" t="s">
        <v>682</v>
      </c>
      <c r="I1445" s="614" t="s">
        <v>1153</v>
      </c>
      <c r="J1445" s="64" t="s">
        <v>3039</v>
      </c>
      <c r="K1445" s="1940" t="s">
        <v>6958</v>
      </c>
      <c r="L1445" s="1940" t="s">
        <v>9098</v>
      </c>
      <c r="M1445" t="s">
        <v>12479</v>
      </c>
      <c r="N1445" t="s">
        <v>10813</v>
      </c>
      <c r="O1445" t="s">
        <v>6957</v>
      </c>
      <c r="P1445" s="614">
        <f>COUNTIF(EducPlans_кодНАЦИД_Спец[аФакСец],EducPlans_кодНАЦИД_Спец[[#This Row],[аФакСец]])</f>
        <v>1</v>
      </c>
    </row>
    <row r="1446" spans="3:16" x14ac:dyDescent="0.25">
      <c r="C1446" s="614">
        <v>1440</v>
      </c>
      <c r="D1446" s="614">
        <v>12313</v>
      </c>
      <c r="E1446" s="64" t="s">
        <v>1918</v>
      </c>
      <c r="F1446" s="64" t="s">
        <v>6959</v>
      </c>
      <c r="G1446" s="614" t="s">
        <v>50</v>
      </c>
      <c r="H1446" s="614" t="s">
        <v>681</v>
      </c>
      <c r="I1446" s="614" t="s">
        <v>1153</v>
      </c>
      <c r="J1446" s="64" t="s">
        <v>3040</v>
      </c>
      <c r="K1446" s="1940" t="s">
        <v>6960</v>
      </c>
      <c r="L1446" s="1940" t="s">
        <v>9099</v>
      </c>
      <c r="M1446" t="s">
        <v>12480</v>
      </c>
      <c r="N1446" t="s">
        <v>10814</v>
      </c>
      <c r="O1446" t="s">
        <v>6959</v>
      </c>
      <c r="P1446" s="614">
        <f>COUNTIF(EducPlans_кодНАЦИД_Спец[аФакСец],EducPlans_кодНАЦИД_Спец[[#This Row],[аФакСец]])</f>
        <v>1</v>
      </c>
    </row>
    <row r="1447" spans="3:16" x14ac:dyDescent="0.25">
      <c r="C1447" s="614">
        <v>1441</v>
      </c>
      <c r="D1447" s="614">
        <v>12313</v>
      </c>
      <c r="E1447" s="64" t="s">
        <v>1918</v>
      </c>
      <c r="F1447" s="64" t="s">
        <v>6961</v>
      </c>
      <c r="G1447" s="614" t="s">
        <v>50</v>
      </c>
      <c r="H1447" s="614" t="s">
        <v>681</v>
      </c>
      <c r="I1447" s="614" t="s">
        <v>1153</v>
      </c>
      <c r="J1447" s="64" t="s">
        <v>3041</v>
      </c>
      <c r="K1447" s="1940" t="s">
        <v>6960</v>
      </c>
      <c r="L1447" s="1940" t="s">
        <v>9100</v>
      </c>
      <c r="M1447" t="s">
        <v>12481</v>
      </c>
      <c r="N1447" t="s">
        <v>10815</v>
      </c>
      <c r="O1447" t="s">
        <v>6961</v>
      </c>
      <c r="P1447" s="614">
        <f>COUNTIF(EducPlans_кодНАЦИД_Спец[аФакСец],EducPlans_кодНАЦИД_Спец[[#This Row],[аФакСец]])</f>
        <v>1</v>
      </c>
    </row>
    <row r="1448" spans="3:16" x14ac:dyDescent="0.25">
      <c r="C1448" s="614">
        <v>1442</v>
      </c>
      <c r="D1448" s="614">
        <v>12425</v>
      </c>
      <c r="E1448" s="64" t="s">
        <v>2283</v>
      </c>
      <c r="F1448" s="64" t="s">
        <v>13886</v>
      </c>
      <c r="G1448" s="614" t="s">
        <v>50</v>
      </c>
      <c r="H1448" s="614" t="s">
        <v>682</v>
      </c>
      <c r="I1448" s="614" t="s">
        <v>1153</v>
      </c>
      <c r="J1448" s="64" t="s">
        <v>13887</v>
      </c>
      <c r="K1448" s="1940" t="s">
        <v>6963</v>
      </c>
      <c r="L1448" s="1940" t="s">
        <v>13888</v>
      </c>
      <c r="M1448" t="s">
        <v>13889</v>
      </c>
      <c r="N1448" t="s">
        <v>13890</v>
      </c>
      <c r="O1448" t="s">
        <v>13886</v>
      </c>
      <c r="P1448" s="614">
        <f>COUNTIF(EducPlans_кодНАЦИД_Спец[аФакСец],EducPlans_кодНАЦИД_Спец[[#This Row],[аФакСец]])</f>
        <v>1</v>
      </c>
    </row>
    <row r="1449" spans="3:16" x14ac:dyDescent="0.25">
      <c r="C1449" s="614">
        <v>1443</v>
      </c>
      <c r="D1449" s="614">
        <v>12425</v>
      </c>
      <c r="E1449" s="64" t="s">
        <v>2283</v>
      </c>
      <c r="F1449" s="64" t="s">
        <v>13891</v>
      </c>
      <c r="G1449" s="614" t="s">
        <v>50</v>
      </c>
      <c r="H1449" s="614" t="s">
        <v>682</v>
      </c>
      <c r="I1449" s="614" t="s">
        <v>1153</v>
      </c>
      <c r="J1449" s="64" t="s">
        <v>13892</v>
      </c>
      <c r="K1449" s="1940" t="s">
        <v>6963</v>
      </c>
      <c r="L1449" s="1940" t="s">
        <v>13893</v>
      </c>
      <c r="M1449" t="s">
        <v>13894</v>
      </c>
      <c r="N1449" t="s">
        <v>13895</v>
      </c>
      <c r="O1449" t="s">
        <v>13891</v>
      </c>
      <c r="P1449" s="614">
        <f>COUNTIF(EducPlans_кодНАЦИД_Спец[аФакСец],EducPlans_кодНАЦИД_Спец[[#This Row],[аФакСец]])</f>
        <v>1</v>
      </c>
    </row>
    <row r="1450" spans="3:16" x14ac:dyDescent="0.25">
      <c r="C1450" s="614">
        <v>1444</v>
      </c>
      <c r="D1450" s="614">
        <v>12425</v>
      </c>
      <c r="E1450" s="64" t="s">
        <v>2283</v>
      </c>
      <c r="F1450" s="64" t="s">
        <v>6962</v>
      </c>
      <c r="G1450" s="614" t="s">
        <v>50</v>
      </c>
      <c r="H1450" s="614" t="s">
        <v>682</v>
      </c>
      <c r="I1450" s="614" t="s">
        <v>1153</v>
      </c>
      <c r="J1450" s="64" t="s">
        <v>3045</v>
      </c>
      <c r="K1450" s="1940" t="s">
        <v>6963</v>
      </c>
      <c r="L1450" s="1940" t="s">
        <v>9101</v>
      </c>
      <c r="M1450" t="s">
        <v>12482</v>
      </c>
      <c r="N1450" t="s">
        <v>10816</v>
      </c>
      <c r="O1450" t="s">
        <v>6962</v>
      </c>
      <c r="P1450" s="614">
        <f>COUNTIF(EducPlans_кодНАЦИД_Спец[аФакСец],EducPlans_кодНАЦИД_Спец[[#This Row],[аФакСец]])</f>
        <v>1</v>
      </c>
    </row>
    <row r="1451" spans="3:16" x14ac:dyDescent="0.25">
      <c r="C1451" s="614">
        <v>1445</v>
      </c>
      <c r="D1451" s="614">
        <v>12432</v>
      </c>
      <c r="E1451" s="64" t="s">
        <v>2283</v>
      </c>
      <c r="F1451" s="64" t="s">
        <v>6964</v>
      </c>
      <c r="G1451" s="614" t="s">
        <v>50</v>
      </c>
      <c r="H1451" s="614" t="s">
        <v>682</v>
      </c>
      <c r="I1451" s="614" t="s">
        <v>1153</v>
      </c>
      <c r="J1451" s="64" t="s">
        <v>3049</v>
      </c>
      <c r="K1451" s="1940" t="s">
        <v>6965</v>
      </c>
      <c r="L1451" s="1940" t="s">
        <v>9102</v>
      </c>
      <c r="M1451" t="s">
        <v>12483</v>
      </c>
      <c r="N1451" t="s">
        <v>10817</v>
      </c>
      <c r="O1451" t="s">
        <v>6964</v>
      </c>
      <c r="P1451" s="614">
        <f>COUNTIF(EducPlans_кодНАЦИД_Спец[аФакСец],EducPlans_кодНАЦИД_Спец[[#This Row],[аФакСец]])</f>
        <v>1</v>
      </c>
    </row>
    <row r="1452" spans="3:16" x14ac:dyDescent="0.25">
      <c r="C1452" s="614">
        <v>1446</v>
      </c>
      <c r="D1452" s="614">
        <v>12432</v>
      </c>
      <c r="E1452" s="64" t="s">
        <v>2283</v>
      </c>
      <c r="F1452" s="64" t="s">
        <v>6966</v>
      </c>
      <c r="G1452" s="614" t="s">
        <v>50</v>
      </c>
      <c r="H1452" s="614" t="s">
        <v>682</v>
      </c>
      <c r="I1452" s="614" t="s">
        <v>1153</v>
      </c>
      <c r="J1452" s="64" t="s">
        <v>3048</v>
      </c>
      <c r="K1452" s="1940" t="s">
        <v>6965</v>
      </c>
      <c r="L1452" s="1940" t="s">
        <v>9103</v>
      </c>
      <c r="M1452" t="s">
        <v>12484</v>
      </c>
      <c r="N1452" t="s">
        <v>10818</v>
      </c>
      <c r="O1452" t="s">
        <v>6966</v>
      </c>
      <c r="P1452" s="614">
        <f>COUNTIF(EducPlans_кодНАЦИД_Спец[аФакСец],EducPlans_кодНАЦИД_Спец[[#This Row],[аФакСец]])</f>
        <v>1</v>
      </c>
    </row>
    <row r="1453" spans="3:16" x14ac:dyDescent="0.25">
      <c r="C1453" s="614">
        <v>1447</v>
      </c>
      <c r="D1453" s="614">
        <v>12457</v>
      </c>
      <c r="E1453" s="64" t="s">
        <v>2283</v>
      </c>
      <c r="F1453" s="64" t="s">
        <v>6967</v>
      </c>
      <c r="G1453" s="614" t="s">
        <v>50</v>
      </c>
      <c r="H1453" s="614" t="s">
        <v>682</v>
      </c>
      <c r="I1453" s="614" t="s">
        <v>1153</v>
      </c>
      <c r="J1453" s="64" t="s">
        <v>3046</v>
      </c>
      <c r="K1453" s="1940" t="s">
        <v>6968</v>
      </c>
      <c r="L1453" s="1940" t="s">
        <v>9104</v>
      </c>
      <c r="M1453" t="s">
        <v>12485</v>
      </c>
      <c r="N1453" t="s">
        <v>10819</v>
      </c>
      <c r="O1453" t="s">
        <v>6967</v>
      </c>
      <c r="P1453" s="614">
        <f>COUNTIF(EducPlans_кодНАЦИД_Спец[аФакСец],EducPlans_кодНАЦИД_Спец[[#This Row],[аФакСец]])</f>
        <v>1</v>
      </c>
    </row>
    <row r="1454" spans="3:16" x14ac:dyDescent="0.25">
      <c r="C1454" s="614">
        <v>1448</v>
      </c>
      <c r="D1454" s="614">
        <v>12457</v>
      </c>
      <c r="E1454" s="64" t="s">
        <v>2283</v>
      </c>
      <c r="F1454" s="64" t="s">
        <v>6969</v>
      </c>
      <c r="G1454" s="614" t="s">
        <v>50</v>
      </c>
      <c r="H1454" s="614" t="s">
        <v>682</v>
      </c>
      <c r="I1454" s="614" t="s">
        <v>1153</v>
      </c>
      <c r="J1454" s="64" t="s">
        <v>3047</v>
      </c>
      <c r="K1454" s="1940" t="s">
        <v>6968</v>
      </c>
      <c r="L1454" s="1940" t="s">
        <v>9105</v>
      </c>
      <c r="M1454" t="s">
        <v>12486</v>
      </c>
      <c r="N1454" t="s">
        <v>10820</v>
      </c>
      <c r="O1454" t="s">
        <v>6969</v>
      </c>
      <c r="P1454" s="614">
        <f>COUNTIF(EducPlans_кодНАЦИД_Спец[аФакСец],EducPlans_кодНАЦИД_Спец[[#This Row],[аФакСец]])</f>
        <v>1</v>
      </c>
    </row>
    <row r="1455" spans="3:16" x14ac:dyDescent="0.25">
      <c r="C1455" s="614">
        <v>1449</v>
      </c>
      <c r="D1455" s="614">
        <v>12426</v>
      </c>
      <c r="E1455" s="64" t="s">
        <v>2283</v>
      </c>
      <c r="F1455" s="64" t="s">
        <v>6970</v>
      </c>
      <c r="G1455" s="614" t="s">
        <v>50</v>
      </c>
      <c r="H1455" s="614" t="s">
        <v>682</v>
      </c>
      <c r="I1455" s="614" t="s">
        <v>1149</v>
      </c>
      <c r="J1455" s="64" t="s">
        <v>3042</v>
      </c>
      <c r="K1455" s="1940" t="s">
        <v>6971</v>
      </c>
      <c r="L1455" s="1940" t="s">
        <v>9106</v>
      </c>
      <c r="M1455" t="s">
        <v>12487</v>
      </c>
      <c r="N1455" t="s">
        <v>10821</v>
      </c>
      <c r="O1455" t="s">
        <v>6970</v>
      </c>
      <c r="P1455" s="614">
        <f>COUNTIF(EducPlans_кодНАЦИД_Спец[аФакСец],EducPlans_кодНАЦИД_Спец[[#This Row],[аФакСец]])</f>
        <v>1</v>
      </c>
    </row>
    <row r="1456" spans="3:16" x14ac:dyDescent="0.25">
      <c r="C1456" s="614">
        <v>1450</v>
      </c>
      <c r="D1456" s="614">
        <v>12426</v>
      </c>
      <c r="E1456" s="64" t="s">
        <v>2283</v>
      </c>
      <c r="F1456" s="64" t="s">
        <v>6972</v>
      </c>
      <c r="G1456" s="614" t="s">
        <v>50</v>
      </c>
      <c r="H1456" s="614" t="s">
        <v>682</v>
      </c>
      <c r="I1456" s="614" t="s">
        <v>1149</v>
      </c>
      <c r="J1456" s="64" t="s">
        <v>3044</v>
      </c>
      <c r="K1456" s="1940" t="s">
        <v>6971</v>
      </c>
      <c r="L1456" s="1940" t="s">
        <v>9107</v>
      </c>
      <c r="M1456" t="s">
        <v>12488</v>
      </c>
      <c r="N1456" t="s">
        <v>10822</v>
      </c>
      <c r="O1456" t="s">
        <v>6972</v>
      </c>
      <c r="P1456" s="614">
        <f>COUNTIF(EducPlans_кодНАЦИД_Спец[аФакСец],EducPlans_кодНАЦИД_Спец[[#This Row],[аФакСец]])</f>
        <v>1</v>
      </c>
    </row>
    <row r="1457" spans="3:16" x14ac:dyDescent="0.25">
      <c r="C1457" s="614">
        <v>1451</v>
      </c>
      <c r="D1457" s="614">
        <v>12427</v>
      </c>
      <c r="E1457" s="64" t="s">
        <v>2283</v>
      </c>
      <c r="F1457" s="64" t="s">
        <v>6973</v>
      </c>
      <c r="G1457" s="614" t="s">
        <v>50</v>
      </c>
      <c r="H1457" s="614" t="s">
        <v>682</v>
      </c>
      <c r="I1457" s="614" t="s">
        <v>1149</v>
      </c>
      <c r="J1457" s="64" t="s">
        <v>3043</v>
      </c>
      <c r="K1457" s="1940" t="s">
        <v>6971</v>
      </c>
      <c r="L1457" s="1940" t="s">
        <v>9108</v>
      </c>
      <c r="M1457" t="s">
        <v>12489</v>
      </c>
      <c r="N1457" t="s">
        <v>10823</v>
      </c>
      <c r="O1457" t="s">
        <v>6973</v>
      </c>
      <c r="P1457" s="614">
        <f>COUNTIF(EducPlans_кодНАЦИД_Спец[аФакСец],EducPlans_кодНАЦИД_Спец[[#This Row],[аФакСец]])</f>
        <v>1</v>
      </c>
    </row>
    <row r="1458" spans="3:16" x14ac:dyDescent="0.25">
      <c r="C1458" s="614">
        <v>1452</v>
      </c>
      <c r="D1458" s="614">
        <v>12435</v>
      </c>
      <c r="E1458" s="64" t="s">
        <v>2284</v>
      </c>
      <c r="F1458" s="64" t="s">
        <v>6974</v>
      </c>
      <c r="G1458" s="614" t="s">
        <v>50</v>
      </c>
      <c r="H1458" s="614" t="s">
        <v>682</v>
      </c>
      <c r="I1458" s="614" t="s">
        <v>1149</v>
      </c>
      <c r="J1458" s="64" t="s">
        <v>3050</v>
      </c>
      <c r="K1458" s="1940" t="s">
        <v>6975</v>
      </c>
      <c r="L1458" s="1940" t="s">
        <v>9109</v>
      </c>
      <c r="M1458" t="s">
        <v>12490</v>
      </c>
      <c r="N1458" t="s">
        <v>10824</v>
      </c>
      <c r="O1458" t="s">
        <v>6974</v>
      </c>
      <c r="P1458" s="614">
        <f>COUNTIF(EducPlans_кодНАЦИД_Спец[аФакСец],EducPlans_кодНАЦИД_Спец[[#This Row],[аФакСец]])</f>
        <v>1</v>
      </c>
    </row>
    <row r="1459" spans="3:16" x14ac:dyDescent="0.25">
      <c r="C1459" s="614">
        <v>1453</v>
      </c>
      <c r="D1459" s="614">
        <v>66653</v>
      </c>
      <c r="E1459" s="64" t="s">
        <v>2285</v>
      </c>
      <c r="F1459" s="64" t="s">
        <v>6976</v>
      </c>
      <c r="G1459" s="614" t="s">
        <v>50</v>
      </c>
      <c r="H1459" s="614" t="s">
        <v>682</v>
      </c>
      <c r="I1459" s="614" t="s">
        <v>1149</v>
      </c>
      <c r="J1459" s="64" t="s">
        <v>3052</v>
      </c>
      <c r="K1459" s="1940" t="s">
        <v>6977</v>
      </c>
      <c r="L1459" s="1940" t="s">
        <v>9110</v>
      </c>
      <c r="M1459" t="s">
        <v>12491</v>
      </c>
      <c r="N1459" t="s">
        <v>10825</v>
      </c>
      <c r="O1459" t="s">
        <v>6976</v>
      </c>
      <c r="P1459" s="614">
        <f>COUNTIF(EducPlans_кодНАЦИД_Спец[аФакСец],EducPlans_кодНАЦИД_Спец[[#This Row],[аФакСец]])</f>
        <v>1</v>
      </c>
    </row>
    <row r="1460" spans="3:16" x14ac:dyDescent="0.25">
      <c r="C1460" s="614">
        <v>1454</v>
      </c>
      <c r="D1460" s="614">
        <v>66653</v>
      </c>
      <c r="E1460" s="64" t="s">
        <v>2285</v>
      </c>
      <c r="F1460" s="64" t="s">
        <v>6978</v>
      </c>
      <c r="G1460" s="614" t="s">
        <v>50</v>
      </c>
      <c r="H1460" s="614" t="s">
        <v>682</v>
      </c>
      <c r="I1460" s="614" t="s">
        <v>1149</v>
      </c>
      <c r="J1460" s="64" t="s">
        <v>3051</v>
      </c>
      <c r="K1460" s="1940" t="s">
        <v>6977</v>
      </c>
      <c r="L1460" s="1940" t="s">
        <v>9111</v>
      </c>
      <c r="M1460" t="s">
        <v>12492</v>
      </c>
      <c r="N1460" t="s">
        <v>10826</v>
      </c>
      <c r="O1460" t="s">
        <v>6978</v>
      </c>
      <c r="P1460" s="614">
        <f>COUNTIF(EducPlans_кодНАЦИД_Спец[аФакСец],EducPlans_кодНАЦИД_Спец[[#This Row],[аФакСец]])</f>
        <v>1</v>
      </c>
    </row>
    <row r="1461" spans="3:16" x14ac:dyDescent="0.25">
      <c r="C1461" s="614">
        <v>1455</v>
      </c>
      <c r="D1461" s="614">
        <v>12917</v>
      </c>
      <c r="E1461" s="64" t="s">
        <v>1835</v>
      </c>
      <c r="F1461" s="64" t="s">
        <v>6979</v>
      </c>
      <c r="G1461" s="614" t="s">
        <v>42</v>
      </c>
      <c r="H1461" s="614" t="s">
        <v>682</v>
      </c>
      <c r="I1461" s="614" t="s">
        <v>1149</v>
      </c>
      <c r="J1461" s="64" t="s">
        <v>3500</v>
      </c>
      <c r="K1461" s="1940" t="s">
        <v>6980</v>
      </c>
      <c r="L1461" s="1940" t="s">
        <v>9112</v>
      </c>
      <c r="M1461" t="s">
        <v>12493</v>
      </c>
      <c r="N1461" t="s">
        <v>10827</v>
      </c>
      <c r="O1461" t="s">
        <v>6979</v>
      </c>
      <c r="P1461" s="614">
        <f>COUNTIF(EducPlans_кодНАЦИД_Спец[аФакСец],EducPlans_кодНАЦИД_Спец[[#This Row],[аФакСец]])</f>
        <v>1</v>
      </c>
    </row>
    <row r="1462" spans="3:16" x14ac:dyDescent="0.25">
      <c r="C1462" s="614">
        <v>1456</v>
      </c>
      <c r="D1462" s="614">
        <v>12928</v>
      </c>
      <c r="E1462" s="64" t="s">
        <v>1835</v>
      </c>
      <c r="F1462" s="64" t="s">
        <v>6981</v>
      </c>
      <c r="G1462" s="614" t="s">
        <v>42</v>
      </c>
      <c r="H1462" s="614" t="s">
        <v>682</v>
      </c>
      <c r="I1462" s="614" t="s">
        <v>1149</v>
      </c>
      <c r="J1462" s="64" t="s">
        <v>3501</v>
      </c>
      <c r="K1462" s="1940" t="s">
        <v>6982</v>
      </c>
      <c r="L1462" s="1940" t="s">
        <v>9113</v>
      </c>
      <c r="M1462" t="s">
        <v>12494</v>
      </c>
      <c r="N1462" t="s">
        <v>10828</v>
      </c>
      <c r="O1462" t="s">
        <v>6981</v>
      </c>
      <c r="P1462" s="614">
        <f>COUNTIF(EducPlans_кодНАЦИД_Спец[аФакСец],EducPlans_кодНАЦИД_Спец[[#This Row],[аФакСец]])</f>
        <v>1</v>
      </c>
    </row>
    <row r="1463" spans="3:16" x14ac:dyDescent="0.25">
      <c r="C1463" s="614">
        <v>1457</v>
      </c>
      <c r="D1463" s="614">
        <v>12719</v>
      </c>
      <c r="E1463" s="64" t="s">
        <v>1337</v>
      </c>
      <c r="F1463" s="64" t="s">
        <v>6983</v>
      </c>
      <c r="G1463" s="614" t="s">
        <v>296</v>
      </c>
      <c r="H1463" s="614" t="s">
        <v>682</v>
      </c>
      <c r="I1463" s="614" t="s">
        <v>1153</v>
      </c>
      <c r="J1463" s="64" t="s">
        <v>3839</v>
      </c>
      <c r="K1463" s="1940" t="s">
        <v>6984</v>
      </c>
      <c r="L1463" s="1940" t="s">
        <v>9114</v>
      </c>
      <c r="M1463" t="s">
        <v>12495</v>
      </c>
      <c r="N1463" t="s">
        <v>10829</v>
      </c>
      <c r="O1463" t="s">
        <v>6983</v>
      </c>
      <c r="P1463" s="614">
        <f>COUNTIF(EducPlans_кодНАЦИД_Спец[аФакСец],EducPlans_кодНАЦИД_Спец[[#This Row],[аФакСец]])</f>
        <v>1</v>
      </c>
    </row>
    <row r="1464" spans="3:16" x14ac:dyDescent="0.25">
      <c r="C1464" s="614">
        <v>1458</v>
      </c>
      <c r="D1464" s="614">
        <v>12718</v>
      </c>
      <c r="E1464" s="64" t="s">
        <v>1338</v>
      </c>
      <c r="F1464" s="64" t="s">
        <v>6985</v>
      </c>
      <c r="G1464" s="614" t="s">
        <v>296</v>
      </c>
      <c r="H1464" s="614" t="s">
        <v>682</v>
      </c>
      <c r="I1464" s="614" t="s">
        <v>1153</v>
      </c>
      <c r="J1464" s="64" t="s">
        <v>3840</v>
      </c>
      <c r="K1464" s="1940" t="s">
        <v>6986</v>
      </c>
      <c r="L1464" s="1940" t="s">
        <v>9115</v>
      </c>
      <c r="M1464" t="s">
        <v>12496</v>
      </c>
      <c r="N1464" t="s">
        <v>10830</v>
      </c>
      <c r="O1464" t="s">
        <v>6985</v>
      </c>
      <c r="P1464" s="614">
        <f>COUNTIF(EducPlans_кодНАЦИД_Спец[аФакСец],EducPlans_кодНАЦИД_Спец[[#This Row],[аФакСец]])</f>
        <v>1</v>
      </c>
    </row>
    <row r="1465" spans="3:16" x14ac:dyDescent="0.25">
      <c r="C1465" s="614">
        <v>1459</v>
      </c>
      <c r="D1465" s="614">
        <v>11475</v>
      </c>
      <c r="E1465" s="64" t="s">
        <v>1635</v>
      </c>
      <c r="F1465" s="64" t="s">
        <v>6987</v>
      </c>
      <c r="G1465" s="614" t="s">
        <v>2788</v>
      </c>
      <c r="H1465" s="614" t="s">
        <v>682</v>
      </c>
      <c r="I1465" s="614" t="s">
        <v>1149</v>
      </c>
      <c r="J1465" s="64" t="s">
        <v>4342</v>
      </c>
      <c r="K1465" s="1940" t="s">
        <v>6988</v>
      </c>
      <c r="L1465" s="1940" t="s">
        <v>9116</v>
      </c>
      <c r="M1465" t="s">
        <v>12497</v>
      </c>
      <c r="N1465" t="s">
        <v>10831</v>
      </c>
      <c r="O1465" t="s">
        <v>6987</v>
      </c>
      <c r="P1465" s="614">
        <f>COUNTIF(EducPlans_кодНАЦИД_Спец[аФакСец],EducPlans_кодНАЦИД_Спец[[#This Row],[аФакСец]])</f>
        <v>1</v>
      </c>
    </row>
    <row r="1466" spans="3:16" x14ac:dyDescent="0.25">
      <c r="C1466" s="614">
        <v>1460</v>
      </c>
      <c r="D1466" s="614">
        <v>11477</v>
      </c>
      <c r="E1466" s="64" t="s">
        <v>1635</v>
      </c>
      <c r="F1466" s="64" t="s">
        <v>6989</v>
      </c>
      <c r="G1466" s="614" t="s">
        <v>2788</v>
      </c>
      <c r="H1466" s="614" t="s">
        <v>682</v>
      </c>
      <c r="I1466" s="614" t="s">
        <v>1149</v>
      </c>
      <c r="J1466" s="64" t="s">
        <v>4343</v>
      </c>
      <c r="K1466" s="1940" t="s">
        <v>6990</v>
      </c>
      <c r="L1466" s="1940" t="s">
        <v>9117</v>
      </c>
      <c r="M1466" t="s">
        <v>12498</v>
      </c>
      <c r="N1466" t="s">
        <v>10832</v>
      </c>
      <c r="O1466" t="s">
        <v>6989</v>
      </c>
      <c r="P1466" s="614">
        <f>COUNTIF(EducPlans_кодНАЦИД_Спец[аФакСец],EducPlans_кодНАЦИД_Спец[[#This Row],[аФакСец]])</f>
        <v>1</v>
      </c>
    </row>
    <row r="1467" spans="3:16" x14ac:dyDescent="0.25">
      <c r="C1467" s="614">
        <v>1461</v>
      </c>
      <c r="D1467" s="614">
        <v>11457</v>
      </c>
      <c r="E1467" s="64" t="s">
        <v>1636</v>
      </c>
      <c r="F1467" s="64" t="s">
        <v>6991</v>
      </c>
      <c r="G1467" s="614" t="s">
        <v>2788</v>
      </c>
      <c r="H1467" s="614" t="s">
        <v>681</v>
      </c>
      <c r="I1467" s="614" t="s">
        <v>1153</v>
      </c>
      <c r="J1467" s="64" t="s">
        <v>4345</v>
      </c>
      <c r="K1467" s="1940" t="s">
        <v>6992</v>
      </c>
      <c r="L1467" s="1940" t="s">
        <v>9118</v>
      </c>
      <c r="M1467" t="s">
        <v>12499</v>
      </c>
      <c r="N1467" t="s">
        <v>10833</v>
      </c>
      <c r="O1467" t="s">
        <v>6991</v>
      </c>
      <c r="P1467" s="614">
        <f>COUNTIF(EducPlans_кодНАЦИД_Спец[аФакСец],EducPlans_кодНАЦИД_Спец[[#This Row],[аФакСец]])</f>
        <v>1</v>
      </c>
    </row>
    <row r="1468" spans="3:16" x14ac:dyDescent="0.25">
      <c r="C1468" s="614">
        <v>1462</v>
      </c>
      <c r="D1468" s="614">
        <v>11459</v>
      </c>
      <c r="E1468" s="64" t="s">
        <v>1636</v>
      </c>
      <c r="F1468" s="64" t="s">
        <v>6993</v>
      </c>
      <c r="G1468" s="614" t="s">
        <v>2788</v>
      </c>
      <c r="H1468" s="614" t="s">
        <v>681</v>
      </c>
      <c r="I1468" s="614" t="s">
        <v>1149</v>
      </c>
      <c r="J1468" s="64" t="s">
        <v>4344</v>
      </c>
      <c r="K1468" s="1940" t="s">
        <v>6994</v>
      </c>
      <c r="L1468" s="1940" t="s">
        <v>9119</v>
      </c>
      <c r="M1468" t="s">
        <v>12500</v>
      </c>
      <c r="N1468" t="s">
        <v>10834</v>
      </c>
      <c r="O1468" t="s">
        <v>6993</v>
      </c>
      <c r="P1468" s="614">
        <f>COUNTIF(EducPlans_кодНАЦИД_Спец[аФакСец],EducPlans_кодНАЦИД_Спец[[#This Row],[аФакСец]])</f>
        <v>1</v>
      </c>
    </row>
    <row r="1469" spans="3:16" x14ac:dyDescent="0.25">
      <c r="C1469" s="614">
        <v>1463</v>
      </c>
      <c r="D1469" s="614">
        <v>10904</v>
      </c>
      <c r="E1469" s="64" t="s">
        <v>1607</v>
      </c>
      <c r="F1469" s="64" t="s">
        <v>6995</v>
      </c>
      <c r="G1469" s="614" t="s">
        <v>35</v>
      </c>
      <c r="H1469" s="614" t="s">
        <v>682</v>
      </c>
      <c r="I1469" s="614" t="s">
        <v>1153</v>
      </c>
      <c r="J1469" s="64" t="s">
        <v>4092</v>
      </c>
      <c r="K1469" s="1940" t="s">
        <v>6996</v>
      </c>
      <c r="L1469" s="1940" t="s">
        <v>9120</v>
      </c>
      <c r="M1469" t="s">
        <v>12501</v>
      </c>
      <c r="N1469" t="s">
        <v>10835</v>
      </c>
      <c r="O1469" t="s">
        <v>6995</v>
      </c>
      <c r="P1469" s="614">
        <f>COUNTIF(EducPlans_кодНАЦИД_Спец[аФакСец],EducPlans_кодНАЦИД_Спец[[#This Row],[аФакСец]])</f>
        <v>1</v>
      </c>
    </row>
    <row r="1470" spans="3:16" x14ac:dyDescent="0.25">
      <c r="C1470" s="614">
        <v>1464</v>
      </c>
      <c r="D1470" s="614">
        <v>10904</v>
      </c>
      <c r="E1470" s="64" t="s">
        <v>1607</v>
      </c>
      <c r="F1470" s="64" t="s">
        <v>6997</v>
      </c>
      <c r="G1470" s="614" t="s">
        <v>35</v>
      </c>
      <c r="H1470" s="614" t="s">
        <v>682</v>
      </c>
      <c r="I1470" s="614" t="s">
        <v>1153</v>
      </c>
      <c r="J1470" s="64" t="s">
        <v>4093</v>
      </c>
      <c r="K1470" s="1940" t="s">
        <v>6996</v>
      </c>
      <c r="L1470" s="1940" t="s">
        <v>9121</v>
      </c>
      <c r="M1470" t="s">
        <v>12502</v>
      </c>
      <c r="N1470" t="s">
        <v>10836</v>
      </c>
      <c r="O1470" t="s">
        <v>6997</v>
      </c>
      <c r="P1470" s="614">
        <f>COUNTIF(EducPlans_кодНАЦИД_Спец[аФакСец],EducPlans_кодНАЦИД_Спец[[#This Row],[аФакСец]])</f>
        <v>1</v>
      </c>
    </row>
    <row r="1471" spans="3:16" x14ac:dyDescent="0.25">
      <c r="C1471" s="614">
        <v>1465</v>
      </c>
      <c r="D1471" s="614">
        <v>10905</v>
      </c>
      <c r="E1471" s="64" t="s">
        <v>1607</v>
      </c>
      <c r="F1471" s="64" t="s">
        <v>13896</v>
      </c>
      <c r="G1471" s="614" t="s">
        <v>35</v>
      </c>
      <c r="H1471" s="614" t="s">
        <v>682</v>
      </c>
      <c r="I1471" s="614" t="s">
        <v>1149</v>
      </c>
      <c r="J1471" s="64" t="s">
        <v>4099</v>
      </c>
      <c r="K1471" s="1940" t="s">
        <v>6999</v>
      </c>
      <c r="L1471" s="1940" t="s">
        <v>9129</v>
      </c>
      <c r="M1471" t="s">
        <v>13897</v>
      </c>
      <c r="N1471" t="s">
        <v>10844</v>
      </c>
      <c r="O1471" t="s">
        <v>13896</v>
      </c>
      <c r="P1471" s="614">
        <f>COUNTIF(EducPlans_кодНАЦИД_Спец[аФакСец],EducPlans_кодНАЦИД_Спец[[#This Row],[аФакСец]])</f>
        <v>1</v>
      </c>
    </row>
    <row r="1472" spans="3:16" x14ac:dyDescent="0.25">
      <c r="C1472" s="614">
        <v>1466</v>
      </c>
      <c r="D1472" s="614">
        <v>10905</v>
      </c>
      <c r="E1472" s="64" t="s">
        <v>1607</v>
      </c>
      <c r="F1472" s="64" t="s">
        <v>13898</v>
      </c>
      <c r="G1472" s="614" t="s">
        <v>35</v>
      </c>
      <c r="H1472" s="614" t="s">
        <v>682</v>
      </c>
      <c r="I1472" s="614" t="s">
        <v>1149</v>
      </c>
      <c r="J1472" s="64" t="s">
        <v>4096</v>
      </c>
      <c r="K1472" s="1940" t="s">
        <v>6999</v>
      </c>
      <c r="L1472" s="1940" t="s">
        <v>9130</v>
      </c>
      <c r="M1472" t="s">
        <v>13899</v>
      </c>
      <c r="N1472" t="s">
        <v>10845</v>
      </c>
      <c r="O1472" t="s">
        <v>13898</v>
      </c>
      <c r="P1472" s="614">
        <f>COUNTIF(EducPlans_кодНАЦИД_Спец[аФакСец],EducPlans_кодНАЦИД_Спец[[#This Row],[аФакСец]])</f>
        <v>1</v>
      </c>
    </row>
    <row r="1473" spans="3:16" x14ac:dyDescent="0.25">
      <c r="C1473" s="614">
        <v>1467</v>
      </c>
      <c r="D1473" s="614">
        <v>10905</v>
      </c>
      <c r="E1473" s="64" t="s">
        <v>1607</v>
      </c>
      <c r="F1473" s="64" t="s">
        <v>6998</v>
      </c>
      <c r="G1473" s="614" t="s">
        <v>35</v>
      </c>
      <c r="H1473" s="614" t="s">
        <v>682</v>
      </c>
      <c r="I1473" s="614" t="s">
        <v>1149</v>
      </c>
      <c r="J1473" s="64" t="s">
        <v>4090</v>
      </c>
      <c r="K1473" s="1940" t="s">
        <v>6999</v>
      </c>
      <c r="L1473" s="1940" t="s">
        <v>9122</v>
      </c>
      <c r="M1473" t="s">
        <v>12503</v>
      </c>
      <c r="N1473" t="s">
        <v>10837</v>
      </c>
      <c r="O1473" t="s">
        <v>6998</v>
      </c>
      <c r="P1473" s="614">
        <f>COUNTIF(EducPlans_кодНАЦИД_Спец[аФакСец],EducPlans_кодНАЦИД_Спец[[#This Row],[аФакСец]])</f>
        <v>1</v>
      </c>
    </row>
    <row r="1474" spans="3:16" x14ac:dyDescent="0.25">
      <c r="C1474" s="614">
        <v>1468</v>
      </c>
      <c r="D1474" s="614">
        <v>10905</v>
      </c>
      <c r="E1474" s="64" t="s">
        <v>1607</v>
      </c>
      <c r="F1474" s="64" t="s">
        <v>13900</v>
      </c>
      <c r="G1474" s="614" t="s">
        <v>35</v>
      </c>
      <c r="H1474" s="614" t="s">
        <v>682</v>
      </c>
      <c r="I1474" s="614" t="s">
        <v>1149</v>
      </c>
      <c r="J1474" s="64" t="s">
        <v>4097</v>
      </c>
      <c r="K1474" s="1940" t="s">
        <v>6999</v>
      </c>
      <c r="L1474" s="1940" t="s">
        <v>9133</v>
      </c>
      <c r="M1474" t="s">
        <v>13901</v>
      </c>
      <c r="N1474" t="s">
        <v>10848</v>
      </c>
      <c r="O1474" t="s">
        <v>13900</v>
      </c>
      <c r="P1474" s="614">
        <f>COUNTIF(EducPlans_кодНАЦИД_Спец[аФакСец],EducPlans_кодНАЦИД_Спец[[#This Row],[аФакСец]])</f>
        <v>1</v>
      </c>
    </row>
    <row r="1475" spans="3:16" x14ac:dyDescent="0.25">
      <c r="C1475" s="614">
        <v>1469</v>
      </c>
      <c r="D1475" s="614">
        <v>10905</v>
      </c>
      <c r="E1475" s="64" t="s">
        <v>1607</v>
      </c>
      <c r="F1475" s="64" t="s">
        <v>7000</v>
      </c>
      <c r="G1475" s="614" t="s">
        <v>35</v>
      </c>
      <c r="H1475" s="614" t="s">
        <v>682</v>
      </c>
      <c r="I1475" s="614" t="s">
        <v>1149</v>
      </c>
      <c r="J1475" s="64" t="s">
        <v>4089</v>
      </c>
      <c r="K1475" s="1940" t="s">
        <v>6999</v>
      </c>
      <c r="L1475" s="1940" t="s">
        <v>9123</v>
      </c>
      <c r="M1475" t="s">
        <v>12504</v>
      </c>
      <c r="N1475" t="s">
        <v>10838</v>
      </c>
      <c r="O1475" t="s">
        <v>7000</v>
      </c>
      <c r="P1475" s="614">
        <f>COUNTIF(EducPlans_кодНАЦИД_Спец[аФакСец],EducPlans_кодНАЦИД_Спец[[#This Row],[аФакСец]])</f>
        <v>1</v>
      </c>
    </row>
    <row r="1476" spans="3:16" x14ac:dyDescent="0.25">
      <c r="C1476" s="614">
        <v>1470</v>
      </c>
      <c r="D1476" s="614">
        <v>10905</v>
      </c>
      <c r="E1476" s="64" t="s">
        <v>1607</v>
      </c>
      <c r="F1476" s="64" t="s">
        <v>7001</v>
      </c>
      <c r="G1476" s="614" t="s">
        <v>35</v>
      </c>
      <c r="H1476" s="614" t="s">
        <v>682</v>
      </c>
      <c r="I1476" s="614" t="s">
        <v>1149</v>
      </c>
      <c r="J1476" s="64" t="s">
        <v>4091</v>
      </c>
      <c r="K1476" s="1940" t="s">
        <v>6999</v>
      </c>
      <c r="L1476" s="1940" t="s">
        <v>9124</v>
      </c>
      <c r="M1476" t="s">
        <v>12505</v>
      </c>
      <c r="N1476" t="s">
        <v>10839</v>
      </c>
      <c r="O1476" t="s">
        <v>7001</v>
      </c>
      <c r="P1476" s="614">
        <f>COUNTIF(EducPlans_кодНАЦИД_Спец[аФакСец],EducPlans_кодНАЦИД_Спец[[#This Row],[аФакСец]])</f>
        <v>1</v>
      </c>
    </row>
    <row r="1477" spans="3:16" x14ac:dyDescent="0.25">
      <c r="C1477" s="614">
        <v>1471</v>
      </c>
      <c r="D1477" s="614">
        <v>10743</v>
      </c>
      <c r="E1477" s="64" t="s">
        <v>1608</v>
      </c>
      <c r="F1477" s="64" t="s">
        <v>7002</v>
      </c>
      <c r="G1477" s="614" t="s">
        <v>35</v>
      </c>
      <c r="H1477" s="614" t="s">
        <v>682</v>
      </c>
      <c r="I1477" s="614" t="s">
        <v>1153</v>
      </c>
      <c r="J1477" s="64" t="s">
        <v>4100</v>
      </c>
      <c r="K1477" s="1940" t="s">
        <v>7003</v>
      </c>
      <c r="L1477" s="1940" t="s">
        <v>9125</v>
      </c>
      <c r="M1477" t="s">
        <v>12506</v>
      </c>
      <c r="N1477" t="s">
        <v>10840</v>
      </c>
      <c r="O1477" t="s">
        <v>7002</v>
      </c>
      <c r="P1477" s="614">
        <f>COUNTIF(EducPlans_кодНАЦИД_Спец[аФакСец],EducPlans_кодНАЦИД_Спец[[#This Row],[аФакСец]])</f>
        <v>1</v>
      </c>
    </row>
    <row r="1478" spans="3:16" x14ac:dyDescent="0.25">
      <c r="C1478" s="614">
        <v>1472</v>
      </c>
      <c r="D1478" s="614">
        <v>10743</v>
      </c>
      <c r="E1478" s="64" t="s">
        <v>1608</v>
      </c>
      <c r="F1478" s="64" t="s">
        <v>7004</v>
      </c>
      <c r="G1478" s="614" t="s">
        <v>35</v>
      </c>
      <c r="H1478" s="614" t="s">
        <v>682</v>
      </c>
      <c r="I1478" s="614" t="s">
        <v>1153</v>
      </c>
      <c r="J1478" s="64" t="s">
        <v>4102</v>
      </c>
      <c r="K1478" s="1940" t="s">
        <v>7003</v>
      </c>
      <c r="L1478" s="1940" t="s">
        <v>9126</v>
      </c>
      <c r="M1478" t="s">
        <v>12507</v>
      </c>
      <c r="N1478" t="s">
        <v>10841</v>
      </c>
      <c r="O1478" t="s">
        <v>7004</v>
      </c>
      <c r="P1478" s="614">
        <f>COUNTIF(EducPlans_кодНАЦИД_Спец[аФакСец],EducPlans_кодНАЦИД_Спец[[#This Row],[аФакСец]])</f>
        <v>1</v>
      </c>
    </row>
    <row r="1479" spans="3:16" x14ac:dyDescent="0.25">
      <c r="C1479" s="614">
        <v>1473</v>
      </c>
      <c r="D1479" s="614">
        <v>10743</v>
      </c>
      <c r="E1479" s="64" t="s">
        <v>1608</v>
      </c>
      <c r="F1479" s="64" t="s">
        <v>7005</v>
      </c>
      <c r="G1479" s="614" t="s">
        <v>35</v>
      </c>
      <c r="H1479" s="614" t="s">
        <v>682</v>
      </c>
      <c r="I1479" s="614" t="s">
        <v>1153</v>
      </c>
      <c r="J1479" s="64" t="s">
        <v>4101</v>
      </c>
      <c r="K1479" s="1940" t="s">
        <v>7003</v>
      </c>
      <c r="L1479" s="1940" t="s">
        <v>9127</v>
      </c>
      <c r="M1479" t="s">
        <v>12508</v>
      </c>
      <c r="N1479" t="s">
        <v>10842</v>
      </c>
      <c r="O1479" t="s">
        <v>7005</v>
      </c>
      <c r="P1479" s="614">
        <f>COUNTIF(EducPlans_кодНАЦИД_Спец[аФакСец],EducPlans_кодНАЦИД_Спец[[#This Row],[аФакСец]])</f>
        <v>1</v>
      </c>
    </row>
    <row r="1480" spans="3:16" x14ac:dyDescent="0.25">
      <c r="C1480" s="614">
        <v>1474</v>
      </c>
      <c r="D1480" s="614">
        <v>10743</v>
      </c>
      <c r="E1480" s="64" t="s">
        <v>1608</v>
      </c>
      <c r="F1480" s="64" t="s">
        <v>7006</v>
      </c>
      <c r="G1480" s="614" t="s">
        <v>35</v>
      </c>
      <c r="H1480" s="614" t="s">
        <v>682</v>
      </c>
      <c r="I1480" s="614" t="s">
        <v>1153</v>
      </c>
      <c r="J1480" s="64" t="s">
        <v>4103</v>
      </c>
      <c r="K1480" s="1940" t="s">
        <v>7003</v>
      </c>
      <c r="L1480" s="1940" t="s">
        <v>9128</v>
      </c>
      <c r="M1480" t="s">
        <v>12509</v>
      </c>
      <c r="N1480" t="s">
        <v>10843</v>
      </c>
      <c r="O1480" t="s">
        <v>7006</v>
      </c>
      <c r="P1480" s="614">
        <f>COUNTIF(EducPlans_кодНАЦИД_Спец[аФакСец],EducPlans_кодНАЦИД_Спец[[#This Row],[аФакСец]])</f>
        <v>1</v>
      </c>
    </row>
    <row r="1481" spans="3:16" x14ac:dyDescent="0.25">
      <c r="C1481" s="614">
        <v>1475</v>
      </c>
      <c r="D1481" s="614">
        <v>10746</v>
      </c>
      <c r="E1481" s="64" t="s">
        <v>1608</v>
      </c>
      <c r="F1481" s="64" t="s">
        <v>7008</v>
      </c>
      <c r="G1481" s="614" t="s">
        <v>35</v>
      </c>
      <c r="H1481" s="614" t="s">
        <v>682</v>
      </c>
      <c r="I1481" s="614" t="s">
        <v>1149</v>
      </c>
      <c r="J1481" s="64" t="s">
        <v>4095</v>
      </c>
      <c r="K1481" s="1940" t="s">
        <v>7007</v>
      </c>
      <c r="L1481" s="1940" t="s">
        <v>9131</v>
      </c>
      <c r="M1481" t="s">
        <v>12510</v>
      </c>
      <c r="N1481" t="s">
        <v>10846</v>
      </c>
      <c r="O1481" t="s">
        <v>7008</v>
      </c>
      <c r="P1481" s="614">
        <f>COUNTIF(EducPlans_кодНАЦИД_Спец[аФакСец],EducPlans_кодНАЦИД_Спец[[#This Row],[аФакСец]])</f>
        <v>1</v>
      </c>
    </row>
    <row r="1482" spans="3:16" x14ac:dyDescent="0.25">
      <c r="C1482" s="614">
        <v>1476</v>
      </c>
      <c r="D1482" s="614">
        <v>10746</v>
      </c>
      <c r="E1482" s="64" t="s">
        <v>1608</v>
      </c>
      <c r="F1482" s="64" t="s">
        <v>7009</v>
      </c>
      <c r="G1482" s="614" t="s">
        <v>35</v>
      </c>
      <c r="H1482" s="614" t="s">
        <v>682</v>
      </c>
      <c r="I1482" s="614" t="s">
        <v>1149</v>
      </c>
      <c r="J1482" s="64" t="s">
        <v>4098</v>
      </c>
      <c r="K1482" s="1940" t="s">
        <v>7007</v>
      </c>
      <c r="L1482" s="1940" t="s">
        <v>9132</v>
      </c>
      <c r="M1482" t="s">
        <v>12511</v>
      </c>
      <c r="N1482" t="s">
        <v>10847</v>
      </c>
      <c r="O1482" t="s">
        <v>7009</v>
      </c>
      <c r="P1482" s="614">
        <f>COUNTIF(EducPlans_кодНАЦИД_Спец[аФакСец],EducPlans_кодНАЦИД_Спец[[#This Row],[аФакСец]])</f>
        <v>1</v>
      </c>
    </row>
    <row r="1483" spans="3:16" x14ac:dyDescent="0.25">
      <c r="C1483" s="614">
        <v>1477</v>
      </c>
      <c r="D1483" s="614">
        <v>10746</v>
      </c>
      <c r="E1483" s="64" t="s">
        <v>1608</v>
      </c>
      <c r="F1483" s="64" t="s">
        <v>7010</v>
      </c>
      <c r="G1483" s="614" t="s">
        <v>35</v>
      </c>
      <c r="H1483" s="614" t="s">
        <v>682</v>
      </c>
      <c r="I1483" s="614" t="s">
        <v>1149</v>
      </c>
      <c r="J1483" s="64" t="s">
        <v>4094</v>
      </c>
      <c r="K1483" s="1940" t="s">
        <v>7007</v>
      </c>
      <c r="L1483" s="1940" t="s">
        <v>9134</v>
      </c>
      <c r="M1483" t="s">
        <v>12512</v>
      </c>
      <c r="N1483" t="s">
        <v>10849</v>
      </c>
      <c r="O1483" t="s">
        <v>7010</v>
      </c>
      <c r="P1483" s="614">
        <f>COUNTIF(EducPlans_кодНАЦИД_Спец[аФакСец],EducPlans_кодНАЦИД_Спец[[#This Row],[аФакСец]])</f>
        <v>1</v>
      </c>
    </row>
    <row r="1484" spans="3:16" x14ac:dyDescent="0.25">
      <c r="C1484" s="614">
        <v>1478</v>
      </c>
      <c r="D1484" s="614">
        <v>11532</v>
      </c>
      <c r="E1484" s="64" t="s">
        <v>919</v>
      </c>
      <c r="F1484" s="64" t="s">
        <v>7011</v>
      </c>
      <c r="G1484" s="614" t="s">
        <v>33</v>
      </c>
      <c r="H1484" s="614" t="s">
        <v>681</v>
      </c>
      <c r="I1484" s="614" t="s">
        <v>1153</v>
      </c>
      <c r="J1484" s="64" t="s">
        <v>3621</v>
      </c>
      <c r="K1484" s="1940" t="s">
        <v>7012</v>
      </c>
      <c r="L1484" s="1940" t="s">
        <v>9135</v>
      </c>
      <c r="M1484" t="s">
        <v>12513</v>
      </c>
      <c r="N1484" t="s">
        <v>10850</v>
      </c>
      <c r="O1484" t="s">
        <v>7011</v>
      </c>
      <c r="P1484" s="614">
        <f>COUNTIF(EducPlans_кодНАЦИД_Спец[аФакСец],EducPlans_кодНАЦИД_Спец[[#This Row],[аФакСец]])</f>
        <v>1</v>
      </c>
    </row>
    <row r="1485" spans="3:16" x14ac:dyDescent="0.25">
      <c r="C1485" s="614">
        <v>1479</v>
      </c>
      <c r="D1485" s="614">
        <v>11532</v>
      </c>
      <c r="E1485" s="64" t="s">
        <v>919</v>
      </c>
      <c r="F1485" s="64" t="s">
        <v>7013</v>
      </c>
      <c r="G1485" s="614" t="s">
        <v>33</v>
      </c>
      <c r="H1485" s="614" t="s">
        <v>681</v>
      </c>
      <c r="I1485" s="614" t="s">
        <v>1153</v>
      </c>
      <c r="J1485" s="64" t="s">
        <v>920</v>
      </c>
      <c r="K1485" s="1940" t="s">
        <v>7012</v>
      </c>
      <c r="L1485" s="1940" t="s">
        <v>9136</v>
      </c>
      <c r="M1485" t="s">
        <v>12514</v>
      </c>
      <c r="N1485" t="s">
        <v>10851</v>
      </c>
      <c r="O1485" t="s">
        <v>7013</v>
      </c>
      <c r="P1485" s="614">
        <f>COUNTIF(EducPlans_кодНАЦИД_Спец[аФакСец],EducPlans_кодНАЦИД_Спец[[#This Row],[аФакСец]])</f>
        <v>1</v>
      </c>
    </row>
    <row r="1486" spans="3:16" x14ac:dyDescent="0.25">
      <c r="C1486" s="614">
        <v>1480</v>
      </c>
      <c r="D1486" s="614">
        <v>11444</v>
      </c>
      <c r="E1486" s="64" t="s">
        <v>1469</v>
      </c>
      <c r="F1486" s="64" t="s">
        <v>7014</v>
      </c>
      <c r="G1486" s="614" t="s">
        <v>647</v>
      </c>
      <c r="H1486" s="614" t="s">
        <v>682</v>
      </c>
      <c r="I1486" s="614" t="s">
        <v>1153</v>
      </c>
      <c r="J1486" s="64" t="s">
        <v>3958</v>
      </c>
      <c r="K1486" s="1940" t="s">
        <v>7015</v>
      </c>
      <c r="L1486" s="1940" t="s">
        <v>9137</v>
      </c>
      <c r="M1486" t="s">
        <v>12515</v>
      </c>
      <c r="N1486" t="s">
        <v>10852</v>
      </c>
      <c r="O1486" t="s">
        <v>7014</v>
      </c>
      <c r="P1486" s="614">
        <f>COUNTIF(EducPlans_кодНАЦИД_Спец[аФакСец],EducPlans_кодНАЦИД_Спец[[#This Row],[аФакСец]])</f>
        <v>1</v>
      </c>
    </row>
    <row r="1487" spans="3:16" x14ac:dyDescent="0.25">
      <c r="C1487" s="614">
        <v>1481</v>
      </c>
      <c r="D1487" s="614">
        <v>11446</v>
      </c>
      <c r="E1487" s="64" t="s">
        <v>1470</v>
      </c>
      <c r="F1487" s="64" t="s">
        <v>7016</v>
      </c>
      <c r="G1487" s="614" t="s">
        <v>647</v>
      </c>
      <c r="H1487" s="614" t="s">
        <v>682</v>
      </c>
      <c r="I1487" s="614" t="s">
        <v>1153</v>
      </c>
      <c r="J1487" s="64" t="s">
        <v>3959</v>
      </c>
      <c r="K1487" s="1940" t="s">
        <v>7017</v>
      </c>
      <c r="L1487" s="1940" t="s">
        <v>9138</v>
      </c>
      <c r="M1487" t="s">
        <v>12516</v>
      </c>
      <c r="N1487" t="s">
        <v>10853</v>
      </c>
      <c r="O1487" t="s">
        <v>7016</v>
      </c>
      <c r="P1487" s="614">
        <f>COUNTIF(EducPlans_кодНАЦИД_Спец[аФакСец],EducPlans_кодНАЦИД_Спец[[#This Row],[аФакСец]])</f>
        <v>1</v>
      </c>
    </row>
    <row r="1488" spans="3:16" x14ac:dyDescent="0.25">
      <c r="C1488" s="614">
        <v>1482</v>
      </c>
      <c r="D1488" s="614">
        <v>11330</v>
      </c>
      <c r="E1488" s="64" t="s">
        <v>1471</v>
      </c>
      <c r="F1488" s="64" t="s">
        <v>7018</v>
      </c>
      <c r="G1488" s="614" t="s">
        <v>647</v>
      </c>
      <c r="H1488" s="614" t="s">
        <v>681</v>
      </c>
      <c r="I1488" s="614" t="s">
        <v>1153</v>
      </c>
      <c r="J1488" s="64" t="s">
        <v>3621</v>
      </c>
      <c r="K1488" s="1940" t="s">
        <v>7019</v>
      </c>
      <c r="L1488" s="1940" t="s">
        <v>9139</v>
      </c>
      <c r="M1488" t="s">
        <v>12517</v>
      </c>
      <c r="N1488" t="s">
        <v>10854</v>
      </c>
      <c r="O1488" t="s">
        <v>7018</v>
      </c>
      <c r="P1488" s="614">
        <f>COUNTIF(EducPlans_кодНАЦИД_Спец[аФакСец],EducPlans_кодНАЦИД_Спец[[#This Row],[аФакСец]])</f>
        <v>1</v>
      </c>
    </row>
    <row r="1489" spans="3:16" x14ac:dyDescent="0.25">
      <c r="C1489" s="614">
        <v>1483</v>
      </c>
      <c r="D1489" s="614">
        <v>11331</v>
      </c>
      <c r="E1489" s="64" t="s">
        <v>1471</v>
      </c>
      <c r="F1489" s="64" t="s">
        <v>7020</v>
      </c>
      <c r="G1489" s="614" t="s">
        <v>647</v>
      </c>
      <c r="H1489" s="614" t="s">
        <v>681</v>
      </c>
      <c r="I1489" s="614" t="s">
        <v>1149</v>
      </c>
      <c r="J1489" s="64" t="s">
        <v>7021</v>
      </c>
      <c r="K1489" s="1940" t="s">
        <v>7022</v>
      </c>
      <c r="L1489" s="1940" t="s">
        <v>9140</v>
      </c>
      <c r="M1489" t="s">
        <v>12518</v>
      </c>
      <c r="N1489" t="s">
        <v>10855</v>
      </c>
      <c r="O1489" t="s">
        <v>7020</v>
      </c>
      <c r="P1489" s="614">
        <f>COUNTIF(EducPlans_кодНАЦИД_Спец[аФакСец],EducPlans_кодНАЦИД_Спец[[#This Row],[аФакСец]])</f>
        <v>1</v>
      </c>
    </row>
    <row r="1490" spans="3:16" x14ac:dyDescent="0.25">
      <c r="C1490" s="614">
        <v>1484</v>
      </c>
      <c r="D1490" s="614">
        <v>584932</v>
      </c>
      <c r="E1490" s="64" t="s">
        <v>1471</v>
      </c>
      <c r="F1490" s="64" t="s">
        <v>7023</v>
      </c>
      <c r="G1490" s="614" t="s">
        <v>647</v>
      </c>
      <c r="H1490" s="614" t="s">
        <v>682</v>
      </c>
      <c r="I1490" s="614" t="s">
        <v>1153</v>
      </c>
      <c r="J1490" s="64" t="s">
        <v>7024</v>
      </c>
      <c r="K1490" s="1940" t="s">
        <v>7025</v>
      </c>
      <c r="L1490" s="1940" t="s">
        <v>9141</v>
      </c>
      <c r="M1490" t="s">
        <v>12519</v>
      </c>
      <c r="N1490" t="s">
        <v>10856</v>
      </c>
      <c r="O1490" t="s">
        <v>7023</v>
      </c>
      <c r="P1490" s="614">
        <f>COUNTIF(EducPlans_кодНАЦИД_Спец[аФакСец],EducPlans_кодНАЦИД_Спец[[#This Row],[аФакСец]])</f>
        <v>1</v>
      </c>
    </row>
    <row r="1491" spans="3:16" x14ac:dyDescent="0.25">
      <c r="C1491" s="614">
        <v>1485</v>
      </c>
      <c r="D1491" s="614">
        <v>583179</v>
      </c>
      <c r="E1491" s="64" t="s">
        <v>1248</v>
      </c>
      <c r="F1491" s="64" t="s">
        <v>7026</v>
      </c>
      <c r="G1491" s="614" t="s">
        <v>296</v>
      </c>
      <c r="H1491" s="614" t="s">
        <v>682</v>
      </c>
      <c r="I1491" s="614" t="s">
        <v>1149</v>
      </c>
      <c r="J1491" s="64" t="s">
        <v>7027</v>
      </c>
      <c r="K1491" s="1940" t="s">
        <v>7028</v>
      </c>
      <c r="L1491" s="1940" t="s">
        <v>9142</v>
      </c>
      <c r="M1491" t="s">
        <v>12520</v>
      </c>
      <c r="N1491" t="s">
        <v>10857</v>
      </c>
      <c r="O1491" t="s">
        <v>7026</v>
      </c>
      <c r="P1491" s="614">
        <f>COUNTIF(EducPlans_кодНАЦИД_Спец[аФакСец],EducPlans_кодНАЦИД_Спец[[#This Row],[аФакСец]])</f>
        <v>1</v>
      </c>
    </row>
    <row r="1492" spans="3:16" x14ac:dyDescent="0.25">
      <c r="C1492" s="614">
        <v>1486</v>
      </c>
      <c r="D1492" s="614">
        <v>12696</v>
      </c>
      <c r="E1492" s="64" t="s">
        <v>1249</v>
      </c>
      <c r="F1492" s="64" t="s">
        <v>7029</v>
      </c>
      <c r="G1492" s="614" t="s">
        <v>296</v>
      </c>
      <c r="H1492" s="614" t="s">
        <v>682</v>
      </c>
      <c r="I1492" s="614" t="s">
        <v>1153</v>
      </c>
      <c r="J1492" s="64" t="s">
        <v>7030</v>
      </c>
      <c r="K1492" s="1940" t="s">
        <v>7031</v>
      </c>
      <c r="L1492" s="1940" t="s">
        <v>9143</v>
      </c>
      <c r="M1492" t="s">
        <v>12521</v>
      </c>
      <c r="N1492" t="s">
        <v>10858</v>
      </c>
      <c r="O1492" t="s">
        <v>7029</v>
      </c>
      <c r="P1492" s="614">
        <f>COUNTIF(EducPlans_кодНАЦИД_Спец[аФакСец],EducPlans_кодНАЦИД_Спец[[#This Row],[аФакСец]])</f>
        <v>1</v>
      </c>
    </row>
    <row r="1493" spans="3:16" x14ac:dyDescent="0.25">
      <c r="C1493" s="614">
        <v>1487</v>
      </c>
      <c r="D1493" s="614">
        <v>12696</v>
      </c>
      <c r="E1493" s="64" t="s">
        <v>1249</v>
      </c>
      <c r="F1493" s="64" t="s">
        <v>7032</v>
      </c>
      <c r="G1493" s="614" t="s">
        <v>296</v>
      </c>
      <c r="H1493" s="614" t="s">
        <v>682</v>
      </c>
      <c r="I1493" s="614" t="s">
        <v>1153</v>
      </c>
      <c r="J1493" s="64" t="s">
        <v>7033</v>
      </c>
      <c r="K1493" s="1940" t="s">
        <v>7031</v>
      </c>
      <c r="L1493" s="1940" t="s">
        <v>9144</v>
      </c>
      <c r="M1493" t="s">
        <v>12522</v>
      </c>
      <c r="N1493" t="s">
        <v>10859</v>
      </c>
      <c r="O1493" t="s">
        <v>7032</v>
      </c>
      <c r="P1493" s="614">
        <f>COUNTIF(EducPlans_кодНАЦИД_Спец[аФакСец],EducPlans_кодНАЦИД_Спец[[#This Row],[аФакСец]])</f>
        <v>1</v>
      </c>
    </row>
    <row r="1494" spans="3:16" x14ac:dyDescent="0.25">
      <c r="C1494" s="614">
        <v>1488</v>
      </c>
      <c r="D1494" s="614">
        <v>12697</v>
      </c>
      <c r="E1494" s="64" t="s">
        <v>1249</v>
      </c>
      <c r="F1494" s="64" t="s">
        <v>7034</v>
      </c>
      <c r="G1494" s="614" t="s">
        <v>296</v>
      </c>
      <c r="H1494" s="614" t="s">
        <v>682</v>
      </c>
      <c r="I1494" s="614" t="s">
        <v>1149</v>
      </c>
      <c r="J1494" s="64" t="s">
        <v>7035</v>
      </c>
      <c r="K1494" s="1940" t="s">
        <v>7036</v>
      </c>
      <c r="L1494" s="1940" t="s">
        <v>9145</v>
      </c>
      <c r="M1494" t="s">
        <v>12523</v>
      </c>
      <c r="N1494" t="s">
        <v>10860</v>
      </c>
      <c r="O1494" t="s">
        <v>7034</v>
      </c>
      <c r="P1494" s="614">
        <f>COUNTIF(EducPlans_кодНАЦИД_Спец[аФакСец],EducPlans_кодНАЦИД_Спец[[#This Row],[аФакСец]])</f>
        <v>1</v>
      </c>
    </row>
    <row r="1495" spans="3:16" x14ac:dyDescent="0.25">
      <c r="C1495" s="614">
        <v>1489</v>
      </c>
      <c r="D1495" s="614">
        <v>12698</v>
      </c>
      <c r="E1495" s="64" t="s">
        <v>1250</v>
      </c>
      <c r="F1495" s="64" t="s">
        <v>7037</v>
      </c>
      <c r="G1495" s="614" t="s">
        <v>296</v>
      </c>
      <c r="H1495" s="614" t="s">
        <v>682</v>
      </c>
      <c r="I1495" s="614" t="s">
        <v>1153</v>
      </c>
      <c r="J1495" s="64" t="s">
        <v>3843</v>
      </c>
      <c r="K1495" s="1940" t="s">
        <v>7038</v>
      </c>
      <c r="L1495" s="1940" t="s">
        <v>9146</v>
      </c>
      <c r="M1495" t="s">
        <v>12524</v>
      </c>
      <c r="N1495" t="s">
        <v>10861</v>
      </c>
      <c r="O1495" t="s">
        <v>7037</v>
      </c>
      <c r="P1495" s="614">
        <f>COUNTIF(EducPlans_кодНАЦИД_Спец[аФакСец],EducPlans_кодНАЦИД_Спец[[#This Row],[аФакСец]])</f>
        <v>1</v>
      </c>
    </row>
    <row r="1496" spans="3:16" x14ac:dyDescent="0.25">
      <c r="C1496" s="614">
        <v>1490</v>
      </c>
      <c r="D1496" s="614">
        <v>12698</v>
      </c>
      <c r="E1496" s="64" t="s">
        <v>1250</v>
      </c>
      <c r="F1496" s="64" t="s">
        <v>7039</v>
      </c>
      <c r="G1496" s="614" t="s">
        <v>296</v>
      </c>
      <c r="H1496" s="614" t="s">
        <v>682</v>
      </c>
      <c r="I1496" s="614" t="s">
        <v>1153</v>
      </c>
      <c r="J1496" s="64" t="s">
        <v>3842</v>
      </c>
      <c r="K1496" s="1940" t="s">
        <v>7038</v>
      </c>
      <c r="L1496" s="1940" t="s">
        <v>9147</v>
      </c>
      <c r="M1496" t="s">
        <v>12525</v>
      </c>
      <c r="N1496" t="s">
        <v>10862</v>
      </c>
      <c r="O1496" t="s">
        <v>7039</v>
      </c>
      <c r="P1496" s="614">
        <f>COUNTIF(EducPlans_кодНАЦИД_Спец[аФакСец],EducPlans_кодНАЦИД_Спец[[#This Row],[аФакСец]])</f>
        <v>1</v>
      </c>
    </row>
    <row r="1497" spans="3:16" x14ac:dyDescent="0.25">
      <c r="C1497" s="614">
        <v>1491</v>
      </c>
      <c r="D1497" s="614">
        <v>276191</v>
      </c>
      <c r="E1497" s="64" t="s">
        <v>1250</v>
      </c>
      <c r="F1497" s="64" t="s">
        <v>7040</v>
      </c>
      <c r="G1497" s="614" t="s">
        <v>296</v>
      </c>
      <c r="H1497" s="614" t="s">
        <v>682</v>
      </c>
      <c r="I1497" s="614" t="s">
        <v>1149</v>
      </c>
      <c r="J1497" s="64" t="s">
        <v>3841</v>
      </c>
      <c r="K1497" s="1940" t="s">
        <v>7041</v>
      </c>
      <c r="L1497" s="1940" t="s">
        <v>9148</v>
      </c>
      <c r="M1497" t="s">
        <v>12526</v>
      </c>
      <c r="N1497" t="s">
        <v>10863</v>
      </c>
      <c r="O1497" t="s">
        <v>7040</v>
      </c>
      <c r="P1497" s="614">
        <f>COUNTIF(EducPlans_кодНАЦИД_Спец[аФакСец],EducPlans_кодНАЦИД_Спец[[#This Row],[аФакСец]])</f>
        <v>1</v>
      </c>
    </row>
    <row r="1498" spans="3:16" x14ac:dyDescent="0.25">
      <c r="C1498" s="614">
        <v>1492</v>
      </c>
      <c r="D1498" s="614">
        <v>11649</v>
      </c>
      <c r="E1498" s="64" t="s">
        <v>1474</v>
      </c>
      <c r="F1498" s="64" t="s">
        <v>7045</v>
      </c>
      <c r="G1498" s="614" t="s">
        <v>33</v>
      </c>
      <c r="H1498" s="614" t="s">
        <v>682</v>
      </c>
      <c r="I1498" s="614" t="s">
        <v>1153</v>
      </c>
      <c r="J1498" s="64" t="s">
        <v>3624</v>
      </c>
      <c r="K1498" s="1940" t="s">
        <v>7046</v>
      </c>
      <c r="L1498" s="1940" t="s">
        <v>9151</v>
      </c>
      <c r="M1498" t="s">
        <v>12527</v>
      </c>
      <c r="N1498" t="s">
        <v>10866</v>
      </c>
      <c r="O1498" t="s">
        <v>7045</v>
      </c>
      <c r="P1498" s="614">
        <f>COUNTIF(EducPlans_кодНАЦИД_Спец[аФакСец],EducPlans_кодНАЦИД_Спец[[#This Row],[аФакСец]])</f>
        <v>1</v>
      </c>
    </row>
    <row r="1499" spans="3:16" x14ac:dyDescent="0.25">
      <c r="C1499" s="614">
        <v>1493</v>
      </c>
      <c r="D1499" s="614">
        <v>11649</v>
      </c>
      <c r="E1499" s="64" t="s">
        <v>1474</v>
      </c>
      <c r="F1499" s="64" t="s">
        <v>7047</v>
      </c>
      <c r="G1499" s="614" t="s">
        <v>33</v>
      </c>
      <c r="H1499" s="614" t="s">
        <v>682</v>
      </c>
      <c r="I1499" s="614" t="s">
        <v>1153</v>
      </c>
      <c r="J1499" s="64" t="s">
        <v>3623</v>
      </c>
      <c r="K1499" s="1940" t="s">
        <v>7046</v>
      </c>
      <c r="L1499" s="1940" t="s">
        <v>9152</v>
      </c>
      <c r="M1499" t="s">
        <v>12528</v>
      </c>
      <c r="N1499" t="s">
        <v>10867</v>
      </c>
      <c r="O1499" t="s">
        <v>7047</v>
      </c>
      <c r="P1499" s="614">
        <f>COUNTIF(EducPlans_кодНАЦИД_Спец[аФакСец],EducPlans_кодНАЦИД_Спец[[#This Row],[аФакСец]])</f>
        <v>1</v>
      </c>
    </row>
    <row r="1500" spans="3:16" x14ac:dyDescent="0.25">
      <c r="C1500" s="614">
        <v>1494</v>
      </c>
      <c r="D1500" s="614">
        <v>628587</v>
      </c>
      <c r="E1500" s="64" t="s">
        <v>7048</v>
      </c>
      <c r="F1500" s="64" t="s">
        <v>7049</v>
      </c>
      <c r="G1500" s="614" t="s">
        <v>33</v>
      </c>
      <c r="H1500" s="614" t="s">
        <v>682</v>
      </c>
      <c r="I1500" s="614" t="s">
        <v>1153</v>
      </c>
      <c r="J1500" s="64" t="s">
        <v>7050</v>
      </c>
      <c r="K1500" s="1940" t="s">
        <v>7051</v>
      </c>
      <c r="L1500" s="1940" t="s">
        <v>9153</v>
      </c>
      <c r="M1500" t="s">
        <v>12529</v>
      </c>
      <c r="N1500" t="s">
        <v>10868</v>
      </c>
      <c r="O1500" t="s">
        <v>7049</v>
      </c>
      <c r="P1500" s="614">
        <f>COUNTIF(EducPlans_кодНАЦИД_Спец[аФакСец],EducPlans_кодНАЦИД_Спец[[#This Row],[аФакСец]])</f>
        <v>1</v>
      </c>
    </row>
    <row r="1501" spans="3:16" x14ac:dyDescent="0.25">
      <c r="C1501" s="614">
        <v>1495</v>
      </c>
      <c r="D1501" s="614">
        <v>11645</v>
      </c>
      <c r="E1501" s="64" t="s">
        <v>13902</v>
      </c>
      <c r="F1501" s="64" t="s">
        <v>7042</v>
      </c>
      <c r="G1501" s="614" t="s">
        <v>33</v>
      </c>
      <c r="H1501" s="614" t="s">
        <v>682</v>
      </c>
      <c r="I1501" s="614" t="s">
        <v>1153</v>
      </c>
      <c r="J1501" s="64" t="s">
        <v>3622</v>
      </c>
      <c r="K1501" s="1940" t="s">
        <v>7043</v>
      </c>
      <c r="L1501" s="1940" t="s">
        <v>9149</v>
      </c>
      <c r="M1501" t="s">
        <v>13903</v>
      </c>
      <c r="N1501" t="s">
        <v>10864</v>
      </c>
      <c r="O1501" t="s">
        <v>7042</v>
      </c>
      <c r="P1501" s="614">
        <f>COUNTIF(EducPlans_кодНАЦИД_Спец[аФакСец],EducPlans_кодНАЦИД_Спец[[#This Row],[аФакСец]])</f>
        <v>1</v>
      </c>
    </row>
    <row r="1502" spans="3:16" x14ac:dyDescent="0.25">
      <c r="C1502" s="614">
        <v>1496</v>
      </c>
      <c r="D1502" s="614">
        <v>11645</v>
      </c>
      <c r="E1502" s="64" t="s">
        <v>13902</v>
      </c>
      <c r="F1502" s="64" t="s">
        <v>7044</v>
      </c>
      <c r="G1502" s="614" t="s">
        <v>33</v>
      </c>
      <c r="H1502" s="614" t="s">
        <v>682</v>
      </c>
      <c r="I1502" s="614" t="s">
        <v>1153</v>
      </c>
      <c r="J1502" s="64" t="s">
        <v>3625</v>
      </c>
      <c r="K1502" s="1940" t="s">
        <v>7043</v>
      </c>
      <c r="L1502" s="1940" t="s">
        <v>9150</v>
      </c>
      <c r="M1502" t="s">
        <v>13904</v>
      </c>
      <c r="N1502" t="s">
        <v>10865</v>
      </c>
      <c r="O1502" t="s">
        <v>7044</v>
      </c>
      <c r="P1502" s="614">
        <f>COUNTIF(EducPlans_кодНАЦИД_Спец[аФакСец],EducPlans_кодНАЦИД_Спец[[#This Row],[аФакСец]])</f>
        <v>1</v>
      </c>
    </row>
    <row r="1503" spans="3:16" x14ac:dyDescent="0.25">
      <c r="C1503" s="614">
        <v>1497</v>
      </c>
      <c r="D1503" s="614">
        <v>11649</v>
      </c>
      <c r="E1503" s="64" t="s">
        <v>13902</v>
      </c>
      <c r="F1503" s="64" t="s">
        <v>13905</v>
      </c>
      <c r="G1503" s="614" t="s">
        <v>33</v>
      </c>
      <c r="H1503" s="614" t="s">
        <v>682</v>
      </c>
      <c r="I1503" s="614" t="s">
        <v>1153</v>
      </c>
      <c r="J1503" s="64" t="s">
        <v>13906</v>
      </c>
      <c r="K1503" s="1940" t="s">
        <v>7043</v>
      </c>
      <c r="L1503" s="1940" t="s">
        <v>13907</v>
      </c>
      <c r="M1503" t="s">
        <v>13908</v>
      </c>
      <c r="N1503" t="s">
        <v>13909</v>
      </c>
      <c r="O1503" t="s">
        <v>13905</v>
      </c>
      <c r="P1503" s="614">
        <f>COUNTIF(EducPlans_кодНАЦИД_Спец[аФакСец],EducPlans_кодНАЦИД_Спец[[#This Row],[аФакСец]])</f>
        <v>1</v>
      </c>
    </row>
    <row r="1504" spans="3:16" x14ac:dyDescent="0.25">
      <c r="C1504" s="614">
        <v>1498</v>
      </c>
      <c r="D1504" s="614">
        <v>11647</v>
      </c>
      <c r="E1504" s="64" t="s">
        <v>1475</v>
      </c>
      <c r="F1504" s="64" t="s">
        <v>7052</v>
      </c>
      <c r="G1504" s="614" t="s">
        <v>33</v>
      </c>
      <c r="H1504" s="614" t="s">
        <v>682</v>
      </c>
      <c r="I1504" s="614" t="s">
        <v>1153</v>
      </c>
      <c r="J1504" s="64" t="s">
        <v>3626</v>
      </c>
      <c r="K1504" s="1940" t="s">
        <v>7053</v>
      </c>
      <c r="L1504" s="1940" t="s">
        <v>9154</v>
      </c>
      <c r="M1504" t="s">
        <v>12530</v>
      </c>
      <c r="N1504" t="s">
        <v>10869</v>
      </c>
      <c r="O1504" t="s">
        <v>7052</v>
      </c>
      <c r="P1504" s="614">
        <f>COUNTIF(EducPlans_кодНАЦИД_Спец[аФакСец],EducPlans_кодНАЦИД_Спец[[#This Row],[аФакСец]])</f>
        <v>1</v>
      </c>
    </row>
    <row r="1505" spans="3:16" x14ac:dyDescent="0.25">
      <c r="C1505" s="614">
        <v>1499</v>
      </c>
      <c r="D1505" s="614">
        <v>11647</v>
      </c>
      <c r="E1505" s="64" t="s">
        <v>1475</v>
      </c>
      <c r="F1505" s="64" t="s">
        <v>7054</v>
      </c>
      <c r="G1505" s="614" t="s">
        <v>33</v>
      </c>
      <c r="H1505" s="614" t="s">
        <v>682</v>
      </c>
      <c r="I1505" s="614" t="s">
        <v>1153</v>
      </c>
      <c r="J1505" s="64" t="s">
        <v>3627</v>
      </c>
      <c r="K1505" s="1940" t="s">
        <v>7053</v>
      </c>
      <c r="L1505" s="1940" t="s">
        <v>9155</v>
      </c>
      <c r="M1505" t="s">
        <v>12531</v>
      </c>
      <c r="N1505" t="s">
        <v>10870</v>
      </c>
      <c r="O1505" t="s">
        <v>7054</v>
      </c>
      <c r="P1505" s="614">
        <f>COUNTIF(EducPlans_кодНАЦИД_Спец[аФакСец],EducPlans_кодНАЦИД_Спец[[#This Row],[аФакСец]])</f>
        <v>1</v>
      </c>
    </row>
    <row r="1506" spans="3:16" x14ac:dyDescent="0.25">
      <c r="C1506" s="614">
        <v>1500</v>
      </c>
      <c r="D1506" s="614">
        <v>11541</v>
      </c>
      <c r="E1506" s="64" t="s">
        <v>1476</v>
      </c>
      <c r="F1506" s="64" t="s">
        <v>7055</v>
      </c>
      <c r="G1506" s="614" t="s">
        <v>33</v>
      </c>
      <c r="H1506" s="614" t="s">
        <v>681</v>
      </c>
      <c r="I1506" s="614" t="s">
        <v>1153</v>
      </c>
      <c r="J1506" s="64" t="s">
        <v>3628</v>
      </c>
      <c r="K1506" s="1940" t="s">
        <v>7056</v>
      </c>
      <c r="L1506" s="1940" t="s">
        <v>9156</v>
      </c>
      <c r="M1506" t="s">
        <v>12532</v>
      </c>
      <c r="N1506" t="s">
        <v>10871</v>
      </c>
      <c r="O1506" t="s">
        <v>7055</v>
      </c>
      <c r="P1506" s="614">
        <f>COUNTIF(EducPlans_кодНАЦИД_Спец[аФакСец],EducPlans_кодНАЦИД_Спец[[#This Row],[аФакСец]])</f>
        <v>1</v>
      </c>
    </row>
    <row r="1507" spans="3:16" x14ac:dyDescent="0.25">
      <c r="C1507" s="614">
        <v>1501</v>
      </c>
      <c r="D1507" s="614">
        <v>11539</v>
      </c>
      <c r="E1507" s="64" t="s">
        <v>1476</v>
      </c>
      <c r="F1507" s="64" t="s">
        <v>7057</v>
      </c>
      <c r="G1507" s="614" t="s">
        <v>33</v>
      </c>
      <c r="H1507" s="614" t="s">
        <v>682</v>
      </c>
      <c r="I1507" s="614" t="s">
        <v>1153</v>
      </c>
      <c r="J1507" s="64" t="s">
        <v>7058</v>
      </c>
      <c r="K1507" s="1940" t="s">
        <v>7059</v>
      </c>
      <c r="L1507" s="1940" t="s">
        <v>9157</v>
      </c>
      <c r="M1507" t="s">
        <v>12533</v>
      </c>
      <c r="N1507" t="s">
        <v>10872</v>
      </c>
      <c r="O1507" t="s">
        <v>7057</v>
      </c>
      <c r="P1507" s="614">
        <f>COUNTIF(EducPlans_кодНАЦИД_Спец[аФакСец],EducPlans_кодНАЦИД_Спец[[#This Row],[аФакСец]])</f>
        <v>1</v>
      </c>
    </row>
    <row r="1508" spans="3:16" x14ac:dyDescent="0.25">
      <c r="C1508" s="614">
        <v>1502</v>
      </c>
      <c r="D1508" s="614">
        <v>11333</v>
      </c>
      <c r="E1508" s="64" t="s">
        <v>1478</v>
      </c>
      <c r="F1508" s="64" t="s">
        <v>7060</v>
      </c>
      <c r="G1508" s="614" t="s">
        <v>647</v>
      </c>
      <c r="H1508" s="614" t="s">
        <v>682</v>
      </c>
      <c r="I1508" s="614" t="s">
        <v>1153</v>
      </c>
      <c r="J1508" s="64" t="s">
        <v>3960</v>
      </c>
      <c r="K1508" s="1940" t="s">
        <v>7061</v>
      </c>
      <c r="L1508" s="1940" t="s">
        <v>9158</v>
      </c>
      <c r="M1508" t="s">
        <v>12534</v>
      </c>
      <c r="N1508" t="s">
        <v>10873</v>
      </c>
      <c r="O1508" t="s">
        <v>7060</v>
      </c>
      <c r="P1508" s="614">
        <f>COUNTIF(EducPlans_кодНАЦИД_Спец[аФакСец],EducPlans_кодНАЦИД_Спец[[#This Row],[аФакСец]])</f>
        <v>1</v>
      </c>
    </row>
    <row r="1509" spans="3:16" x14ac:dyDescent="0.25">
      <c r="C1509" s="614">
        <v>1503</v>
      </c>
      <c r="D1509" s="614">
        <v>12614</v>
      </c>
      <c r="E1509" s="64" t="s">
        <v>1252</v>
      </c>
      <c r="F1509" s="64" t="s">
        <v>7062</v>
      </c>
      <c r="G1509" s="614" t="s">
        <v>296</v>
      </c>
      <c r="H1509" s="614" t="s">
        <v>682</v>
      </c>
      <c r="I1509" s="614" t="s">
        <v>1153</v>
      </c>
      <c r="J1509" s="64" t="s">
        <v>3845</v>
      </c>
      <c r="K1509" s="1940" t="s">
        <v>7063</v>
      </c>
      <c r="L1509" s="1940" t="s">
        <v>9159</v>
      </c>
      <c r="M1509" t="s">
        <v>12535</v>
      </c>
      <c r="N1509" t="s">
        <v>10874</v>
      </c>
      <c r="O1509" t="s">
        <v>7062</v>
      </c>
      <c r="P1509" s="614">
        <f>COUNTIF(EducPlans_кодНАЦИД_Спец[аФакСец],EducPlans_кодНАЦИД_Спец[[#This Row],[аФакСец]])</f>
        <v>1</v>
      </c>
    </row>
    <row r="1510" spans="3:16" x14ac:dyDescent="0.25">
      <c r="C1510" s="614">
        <v>1504</v>
      </c>
      <c r="D1510" s="614">
        <v>12615</v>
      </c>
      <c r="E1510" s="64" t="s">
        <v>1252</v>
      </c>
      <c r="F1510" s="64" t="s">
        <v>7064</v>
      </c>
      <c r="G1510" s="614" t="s">
        <v>296</v>
      </c>
      <c r="H1510" s="614" t="s">
        <v>682</v>
      </c>
      <c r="I1510" s="614" t="s">
        <v>1149</v>
      </c>
      <c r="J1510" s="64" t="s">
        <v>3844</v>
      </c>
      <c r="K1510" s="1940" t="s">
        <v>7065</v>
      </c>
      <c r="L1510" s="1940" t="s">
        <v>9160</v>
      </c>
      <c r="M1510" t="s">
        <v>12536</v>
      </c>
      <c r="N1510" t="s">
        <v>10875</v>
      </c>
      <c r="O1510" t="s">
        <v>7064</v>
      </c>
      <c r="P1510" s="614">
        <f>COUNTIF(EducPlans_кодНАЦИД_Спец[аФакСец],EducPlans_кодНАЦИД_Спец[[#This Row],[аФакСец]])</f>
        <v>1</v>
      </c>
    </row>
    <row r="1511" spans="3:16" x14ac:dyDescent="0.25">
      <c r="C1511" s="614">
        <v>1505</v>
      </c>
      <c r="D1511" s="614">
        <v>278416</v>
      </c>
      <c r="E1511" s="64" t="s">
        <v>1253</v>
      </c>
      <c r="F1511" s="64" t="s">
        <v>7066</v>
      </c>
      <c r="G1511" s="614" t="s">
        <v>296</v>
      </c>
      <c r="H1511" s="614" t="s">
        <v>682</v>
      </c>
      <c r="I1511" s="614" t="s">
        <v>1149</v>
      </c>
      <c r="J1511" s="64" t="s">
        <v>3846</v>
      </c>
      <c r="K1511" s="1940" t="s">
        <v>7067</v>
      </c>
      <c r="L1511" s="1940" t="s">
        <v>9161</v>
      </c>
      <c r="M1511" t="s">
        <v>12537</v>
      </c>
      <c r="N1511" t="s">
        <v>10876</v>
      </c>
      <c r="O1511" t="s">
        <v>7066</v>
      </c>
      <c r="P1511" s="614">
        <f>COUNTIF(EducPlans_кодНАЦИД_Спец[аФакСец],EducPlans_кодНАЦИД_Спец[[#This Row],[аФакСец]])</f>
        <v>1</v>
      </c>
    </row>
    <row r="1512" spans="3:16" x14ac:dyDescent="0.25">
      <c r="C1512" s="614">
        <v>1506</v>
      </c>
      <c r="D1512" s="614">
        <v>278416</v>
      </c>
      <c r="E1512" s="64" t="s">
        <v>1253</v>
      </c>
      <c r="F1512" s="64" t="s">
        <v>7068</v>
      </c>
      <c r="G1512" s="614" t="s">
        <v>296</v>
      </c>
      <c r="H1512" s="614" t="s">
        <v>682</v>
      </c>
      <c r="I1512" s="614" t="s">
        <v>1149</v>
      </c>
      <c r="J1512" s="64" t="s">
        <v>4579</v>
      </c>
      <c r="K1512" s="1940" t="s">
        <v>7067</v>
      </c>
      <c r="L1512" s="1940" t="s">
        <v>9162</v>
      </c>
      <c r="M1512" t="s">
        <v>12538</v>
      </c>
      <c r="N1512" t="s">
        <v>10877</v>
      </c>
      <c r="O1512" t="s">
        <v>7068</v>
      </c>
      <c r="P1512" s="614">
        <f>COUNTIF(EducPlans_кодНАЦИД_Спец[аФакСец],EducPlans_кодНАЦИД_Спец[[#This Row],[аФакСец]])</f>
        <v>1</v>
      </c>
    </row>
    <row r="1513" spans="3:16" x14ac:dyDescent="0.25">
      <c r="C1513" s="614">
        <v>1507</v>
      </c>
      <c r="D1513" s="614">
        <v>11828</v>
      </c>
      <c r="E1513" s="64" t="s">
        <v>2355</v>
      </c>
      <c r="F1513" s="64" t="s">
        <v>7069</v>
      </c>
      <c r="G1513" s="614" t="s">
        <v>26</v>
      </c>
      <c r="H1513" s="614" t="s">
        <v>682</v>
      </c>
      <c r="I1513" s="614" t="s">
        <v>1153</v>
      </c>
      <c r="J1513" s="64" t="s">
        <v>3747</v>
      </c>
      <c r="K1513" s="1940" t="s">
        <v>7070</v>
      </c>
      <c r="L1513" s="1940" t="s">
        <v>9163</v>
      </c>
      <c r="M1513" t="s">
        <v>12539</v>
      </c>
      <c r="N1513" t="s">
        <v>10878</v>
      </c>
      <c r="O1513" t="s">
        <v>7069</v>
      </c>
      <c r="P1513" s="614">
        <f>COUNTIF(EducPlans_кодНАЦИД_Спец[аФакСец],EducPlans_кодНАЦИД_Спец[[#This Row],[аФакСец]])</f>
        <v>1</v>
      </c>
    </row>
    <row r="1514" spans="3:16" x14ac:dyDescent="0.25">
      <c r="C1514" s="614">
        <v>1508</v>
      </c>
      <c r="D1514" s="614">
        <v>11828</v>
      </c>
      <c r="E1514" s="64" t="s">
        <v>2355</v>
      </c>
      <c r="F1514" s="64" t="s">
        <v>7071</v>
      </c>
      <c r="G1514" s="614" t="s">
        <v>26</v>
      </c>
      <c r="H1514" s="614" t="s">
        <v>682</v>
      </c>
      <c r="I1514" s="614" t="s">
        <v>1153</v>
      </c>
      <c r="J1514" s="64" t="s">
        <v>3746</v>
      </c>
      <c r="K1514" s="1940" t="s">
        <v>7070</v>
      </c>
      <c r="L1514" s="1940" t="s">
        <v>9164</v>
      </c>
      <c r="M1514" t="s">
        <v>12540</v>
      </c>
      <c r="N1514" t="s">
        <v>10879</v>
      </c>
      <c r="O1514" t="s">
        <v>7071</v>
      </c>
      <c r="P1514" s="614">
        <f>COUNTIF(EducPlans_кодНАЦИД_Спец[аФакСец],EducPlans_кодНАЦИД_Спец[[#This Row],[аФакСец]])</f>
        <v>1</v>
      </c>
    </row>
    <row r="1515" spans="3:16" x14ac:dyDescent="0.25">
      <c r="C1515" s="614">
        <v>1509</v>
      </c>
      <c r="D1515" s="614">
        <v>11828</v>
      </c>
      <c r="E1515" s="64" t="s">
        <v>2355</v>
      </c>
      <c r="F1515" s="64" t="s">
        <v>7072</v>
      </c>
      <c r="G1515" s="614" t="s">
        <v>26</v>
      </c>
      <c r="H1515" s="614" t="s">
        <v>682</v>
      </c>
      <c r="I1515" s="614" t="s">
        <v>1153</v>
      </c>
      <c r="J1515" s="64" t="s">
        <v>3745</v>
      </c>
      <c r="K1515" s="1940" t="s">
        <v>7070</v>
      </c>
      <c r="L1515" s="1940" t="s">
        <v>9165</v>
      </c>
      <c r="M1515" t="s">
        <v>12541</v>
      </c>
      <c r="N1515" t="s">
        <v>10880</v>
      </c>
      <c r="O1515" t="s">
        <v>7072</v>
      </c>
      <c r="P1515" s="614">
        <f>COUNTIF(EducPlans_кодНАЦИД_Спец[аФакСец],EducPlans_кодНАЦИД_Спец[[#This Row],[аФакСец]])</f>
        <v>1</v>
      </c>
    </row>
    <row r="1516" spans="3:16" x14ac:dyDescent="0.25">
      <c r="C1516" s="614">
        <v>1510</v>
      </c>
      <c r="D1516" s="614">
        <v>11760</v>
      </c>
      <c r="E1516" s="64" t="s">
        <v>2357</v>
      </c>
      <c r="F1516" s="64" t="s">
        <v>7073</v>
      </c>
      <c r="G1516" s="614" t="s">
        <v>26</v>
      </c>
      <c r="H1516" s="614" t="s">
        <v>681</v>
      </c>
      <c r="I1516" s="614" t="s">
        <v>1153</v>
      </c>
      <c r="J1516" s="64" t="s">
        <v>3748</v>
      </c>
      <c r="K1516" s="1940" t="s">
        <v>7074</v>
      </c>
      <c r="L1516" s="1940" t="s">
        <v>9166</v>
      </c>
      <c r="M1516" t="s">
        <v>12542</v>
      </c>
      <c r="N1516" t="s">
        <v>10881</v>
      </c>
      <c r="O1516" t="s">
        <v>7073</v>
      </c>
      <c r="P1516" s="614">
        <f>COUNTIF(EducPlans_кодНАЦИД_Спец[аФакСец],EducPlans_кодНАЦИД_Спец[[#This Row],[аФакСец]])</f>
        <v>1</v>
      </c>
    </row>
    <row r="1517" spans="3:16" x14ac:dyDescent="0.25">
      <c r="C1517" s="614">
        <v>1511</v>
      </c>
      <c r="D1517" s="614">
        <v>141646</v>
      </c>
      <c r="E1517" s="64" t="s">
        <v>1711</v>
      </c>
      <c r="F1517" s="64" t="s">
        <v>7075</v>
      </c>
      <c r="G1517" s="614" t="s">
        <v>35</v>
      </c>
      <c r="H1517" s="614" t="s">
        <v>682</v>
      </c>
      <c r="I1517" s="614" t="s">
        <v>1153</v>
      </c>
      <c r="J1517" s="64" t="s">
        <v>4104</v>
      </c>
      <c r="K1517" s="1940" t="s">
        <v>7076</v>
      </c>
      <c r="L1517" s="1940" t="s">
        <v>9167</v>
      </c>
      <c r="M1517" t="s">
        <v>12543</v>
      </c>
      <c r="N1517" t="s">
        <v>10882</v>
      </c>
      <c r="O1517" t="s">
        <v>7075</v>
      </c>
      <c r="P1517" s="614">
        <f>COUNTIF(EducPlans_кодНАЦИД_Спец[аФакСец],EducPlans_кодНАЦИД_Спец[[#This Row],[аФакСец]])</f>
        <v>1</v>
      </c>
    </row>
    <row r="1518" spans="3:16" x14ac:dyDescent="0.25">
      <c r="C1518" s="614">
        <v>1512</v>
      </c>
      <c r="D1518" s="614">
        <v>557880</v>
      </c>
      <c r="E1518" s="64" t="s">
        <v>7077</v>
      </c>
      <c r="F1518" s="64" t="s">
        <v>7078</v>
      </c>
      <c r="G1518" s="614" t="s">
        <v>35</v>
      </c>
      <c r="H1518" s="614" t="s">
        <v>682</v>
      </c>
      <c r="I1518" s="614" t="s">
        <v>1153</v>
      </c>
      <c r="J1518" s="64" t="s">
        <v>7079</v>
      </c>
      <c r="K1518" s="1940" t="s">
        <v>7080</v>
      </c>
      <c r="L1518" s="1940" t="s">
        <v>9168</v>
      </c>
      <c r="M1518" t="s">
        <v>12544</v>
      </c>
      <c r="N1518" t="s">
        <v>10883</v>
      </c>
      <c r="O1518" t="s">
        <v>7078</v>
      </c>
      <c r="P1518" s="614">
        <f>COUNTIF(EducPlans_кодНАЦИД_Спец[аФакСец],EducPlans_кодНАЦИД_Спец[[#This Row],[аФакСец]])</f>
        <v>1</v>
      </c>
    </row>
    <row r="1519" spans="3:16" x14ac:dyDescent="0.25">
      <c r="C1519" s="614">
        <v>1513</v>
      </c>
      <c r="D1519" s="614">
        <v>557881</v>
      </c>
      <c r="E1519" s="64" t="s">
        <v>7081</v>
      </c>
      <c r="F1519" s="64" t="s">
        <v>7082</v>
      </c>
      <c r="G1519" s="614" t="s">
        <v>35</v>
      </c>
      <c r="H1519" s="614" t="s">
        <v>682</v>
      </c>
      <c r="I1519" s="614" t="s">
        <v>1153</v>
      </c>
      <c r="J1519" s="64" t="s">
        <v>7083</v>
      </c>
      <c r="K1519" s="1940" t="s">
        <v>7084</v>
      </c>
      <c r="L1519" s="1940" t="s">
        <v>9169</v>
      </c>
      <c r="M1519" t="s">
        <v>12545</v>
      </c>
      <c r="N1519" t="s">
        <v>10884</v>
      </c>
      <c r="O1519" t="s">
        <v>7082</v>
      </c>
      <c r="P1519" s="614">
        <f>COUNTIF(EducPlans_кодНАЦИД_Спец[аФакСец],EducPlans_кодНАЦИД_Спец[[#This Row],[аФакСец]])</f>
        <v>1</v>
      </c>
    </row>
    <row r="1520" spans="3:16" x14ac:dyDescent="0.25">
      <c r="C1520" s="614">
        <v>1514</v>
      </c>
      <c r="D1520" s="614">
        <v>10940</v>
      </c>
      <c r="E1520" s="64" t="s">
        <v>1712</v>
      </c>
      <c r="F1520" s="64" t="s">
        <v>7085</v>
      </c>
      <c r="G1520" s="614" t="s">
        <v>35</v>
      </c>
      <c r="H1520" s="614" t="s">
        <v>682</v>
      </c>
      <c r="I1520" s="614" t="s">
        <v>1153</v>
      </c>
      <c r="J1520" s="64" t="s">
        <v>4106</v>
      </c>
      <c r="K1520" s="1940" t="s">
        <v>7086</v>
      </c>
      <c r="L1520" s="1940" t="s">
        <v>9170</v>
      </c>
      <c r="M1520" t="s">
        <v>12546</v>
      </c>
      <c r="N1520" t="s">
        <v>10885</v>
      </c>
      <c r="O1520" t="s">
        <v>7085</v>
      </c>
      <c r="P1520" s="614">
        <f>COUNTIF(EducPlans_кодНАЦИД_Спец[аФакСец],EducPlans_кодНАЦИД_Спец[[#This Row],[аФакСец]])</f>
        <v>1</v>
      </c>
    </row>
    <row r="1521" spans="3:16" x14ac:dyDescent="0.25">
      <c r="C1521" s="614">
        <v>1515</v>
      </c>
      <c r="D1521" s="614">
        <v>10940</v>
      </c>
      <c r="E1521" s="64" t="s">
        <v>1712</v>
      </c>
      <c r="F1521" s="64" t="s">
        <v>7087</v>
      </c>
      <c r="G1521" s="614" t="s">
        <v>35</v>
      </c>
      <c r="H1521" s="614" t="s">
        <v>682</v>
      </c>
      <c r="I1521" s="614" t="s">
        <v>1153</v>
      </c>
      <c r="J1521" s="64" t="s">
        <v>4105</v>
      </c>
      <c r="K1521" s="1940" t="s">
        <v>7086</v>
      </c>
      <c r="L1521" s="1940" t="s">
        <v>9171</v>
      </c>
      <c r="M1521" t="s">
        <v>12547</v>
      </c>
      <c r="N1521" t="s">
        <v>10886</v>
      </c>
      <c r="O1521" t="s">
        <v>7087</v>
      </c>
      <c r="P1521" s="614">
        <f>COUNTIF(EducPlans_кодНАЦИД_Спец[аФакСец],EducPlans_кодНАЦИД_Спец[[#This Row],[аФакСец]])</f>
        <v>1</v>
      </c>
    </row>
    <row r="1522" spans="3:16" x14ac:dyDescent="0.25">
      <c r="C1522" s="614">
        <v>1516</v>
      </c>
      <c r="D1522" s="614">
        <v>12574</v>
      </c>
      <c r="E1522" s="64" t="s">
        <v>1254</v>
      </c>
      <c r="F1522" s="64" t="s">
        <v>7088</v>
      </c>
      <c r="G1522" s="614" t="s">
        <v>296</v>
      </c>
      <c r="H1522" s="614" t="s">
        <v>681</v>
      </c>
      <c r="I1522" s="614" t="s">
        <v>1153</v>
      </c>
      <c r="J1522" s="64" t="s">
        <v>3847</v>
      </c>
      <c r="K1522" s="1940" t="s">
        <v>7089</v>
      </c>
      <c r="L1522" s="1940" t="s">
        <v>9172</v>
      </c>
      <c r="M1522" t="s">
        <v>12548</v>
      </c>
      <c r="N1522" t="s">
        <v>10887</v>
      </c>
      <c r="O1522" t="s">
        <v>7088</v>
      </c>
      <c r="P1522" s="614">
        <f>COUNTIF(EducPlans_кодНАЦИД_Спец[аФакСец],EducPlans_кодНАЦИД_Спец[[#This Row],[аФакСец]])</f>
        <v>1</v>
      </c>
    </row>
    <row r="1523" spans="3:16" x14ac:dyDescent="0.25">
      <c r="C1523" s="614">
        <v>1517</v>
      </c>
      <c r="D1523" s="614">
        <v>12576</v>
      </c>
      <c r="E1523" s="64" t="s">
        <v>1254</v>
      </c>
      <c r="F1523" s="64" t="s">
        <v>7090</v>
      </c>
      <c r="G1523" s="614" t="s">
        <v>296</v>
      </c>
      <c r="H1523" s="614" t="s">
        <v>681</v>
      </c>
      <c r="I1523" s="614" t="s">
        <v>1149</v>
      </c>
      <c r="J1523" s="64" t="s">
        <v>7091</v>
      </c>
      <c r="K1523" s="1940" t="s">
        <v>7092</v>
      </c>
      <c r="L1523" s="1940" t="s">
        <v>9173</v>
      </c>
      <c r="M1523" t="s">
        <v>12549</v>
      </c>
      <c r="N1523" t="s">
        <v>10888</v>
      </c>
      <c r="O1523" t="s">
        <v>7090</v>
      </c>
      <c r="P1523" s="614">
        <f>COUNTIF(EducPlans_кодНАЦИД_Спец[аФакСец],EducPlans_кодНАЦИД_Спец[[#This Row],[аФакСец]])</f>
        <v>1</v>
      </c>
    </row>
    <row r="1524" spans="3:16" x14ac:dyDescent="0.25">
      <c r="C1524" s="614">
        <v>1518</v>
      </c>
      <c r="D1524" s="614">
        <v>12610</v>
      </c>
      <c r="E1524" s="64" t="s">
        <v>1255</v>
      </c>
      <c r="F1524" s="64" t="s">
        <v>7093</v>
      </c>
      <c r="G1524" s="614" t="s">
        <v>296</v>
      </c>
      <c r="H1524" s="614" t="s">
        <v>681</v>
      </c>
      <c r="I1524" s="614" t="s">
        <v>1149</v>
      </c>
      <c r="J1524" s="64" t="s">
        <v>3848</v>
      </c>
      <c r="K1524" s="1940" t="s">
        <v>7094</v>
      </c>
      <c r="L1524" s="1940" t="s">
        <v>9174</v>
      </c>
      <c r="M1524" t="s">
        <v>12550</v>
      </c>
      <c r="N1524" t="s">
        <v>10889</v>
      </c>
      <c r="O1524" t="s">
        <v>7093</v>
      </c>
      <c r="P1524" s="614">
        <f>COUNTIF(EducPlans_кодНАЦИД_Спец[аФакСец],EducPlans_кодНАЦИД_Спец[[#This Row],[аФакСец]])</f>
        <v>1</v>
      </c>
    </row>
    <row r="1525" spans="3:16" x14ac:dyDescent="0.25">
      <c r="C1525" s="614">
        <v>1519</v>
      </c>
      <c r="D1525" s="614">
        <v>11289</v>
      </c>
      <c r="E1525" s="64" t="s">
        <v>1773</v>
      </c>
      <c r="F1525" s="64" t="s">
        <v>7095</v>
      </c>
      <c r="G1525" s="614" t="s">
        <v>39</v>
      </c>
      <c r="H1525" s="614" t="s">
        <v>682</v>
      </c>
      <c r="I1525" s="614" t="s">
        <v>1149</v>
      </c>
      <c r="J1525" s="64" t="s">
        <v>7096</v>
      </c>
      <c r="K1525" s="1940" t="s">
        <v>7097</v>
      </c>
      <c r="L1525" s="1940" t="s">
        <v>9175</v>
      </c>
      <c r="M1525" t="s">
        <v>12551</v>
      </c>
      <c r="N1525" t="s">
        <v>10890</v>
      </c>
      <c r="O1525" t="s">
        <v>7095</v>
      </c>
      <c r="P1525" s="614">
        <f>COUNTIF(EducPlans_кодНАЦИД_Спец[аФакСец],EducPlans_кодНАЦИД_Спец[[#This Row],[аФакСец]])</f>
        <v>1</v>
      </c>
    </row>
    <row r="1526" spans="3:16" x14ac:dyDescent="0.25">
      <c r="C1526" s="614">
        <v>1520</v>
      </c>
      <c r="D1526" s="614">
        <v>11309</v>
      </c>
      <c r="E1526" s="64" t="s">
        <v>1774</v>
      </c>
      <c r="F1526" s="64" t="s">
        <v>7098</v>
      </c>
      <c r="G1526" s="614" t="s">
        <v>39</v>
      </c>
      <c r="H1526" s="614" t="s">
        <v>682</v>
      </c>
      <c r="I1526" s="614" t="s">
        <v>1149</v>
      </c>
      <c r="J1526" s="64" t="s">
        <v>3897</v>
      </c>
      <c r="K1526" s="1940" t="s">
        <v>7099</v>
      </c>
      <c r="L1526" s="1940" t="s">
        <v>9176</v>
      </c>
      <c r="M1526" t="s">
        <v>12552</v>
      </c>
      <c r="N1526" t="s">
        <v>10891</v>
      </c>
      <c r="O1526" t="s">
        <v>7098</v>
      </c>
      <c r="P1526" s="614">
        <f>COUNTIF(EducPlans_кодНАЦИД_Спец[аФакСец],EducPlans_кодНАЦИД_Спец[[#This Row],[аФакСец]])</f>
        <v>1</v>
      </c>
    </row>
    <row r="1527" spans="3:16" x14ac:dyDescent="0.25">
      <c r="C1527" s="614">
        <v>1521</v>
      </c>
      <c r="D1527" s="614">
        <v>11307</v>
      </c>
      <c r="E1527" s="64" t="s">
        <v>1775</v>
      </c>
      <c r="F1527" s="64" t="s">
        <v>7100</v>
      </c>
      <c r="G1527" s="614" t="s">
        <v>39</v>
      </c>
      <c r="H1527" s="614" t="s">
        <v>682</v>
      </c>
      <c r="I1527" s="614" t="s">
        <v>1149</v>
      </c>
      <c r="J1527" s="64" t="s">
        <v>3898</v>
      </c>
      <c r="K1527" s="1940" t="s">
        <v>7101</v>
      </c>
      <c r="L1527" s="1940" t="s">
        <v>9177</v>
      </c>
      <c r="M1527" t="s">
        <v>12553</v>
      </c>
      <c r="N1527" t="s">
        <v>10892</v>
      </c>
      <c r="O1527" t="s">
        <v>7100</v>
      </c>
      <c r="P1527" s="614">
        <f>COUNTIF(EducPlans_кодНАЦИД_Спец[аФакСец],EducPlans_кодНАЦИД_Спец[[#This Row],[аФакСец]])</f>
        <v>1</v>
      </c>
    </row>
    <row r="1528" spans="3:16" x14ac:dyDescent="0.25">
      <c r="C1528" s="614">
        <v>1522</v>
      </c>
      <c r="D1528" s="614">
        <v>11290</v>
      </c>
      <c r="E1528" s="64" t="s">
        <v>1776</v>
      </c>
      <c r="F1528" s="64" t="s">
        <v>7102</v>
      </c>
      <c r="G1528" s="614" t="s">
        <v>39</v>
      </c>
      <c r="H1528" s="614" t="s">
        <v>682</v>
      </c>
      <c r="I1528" s="614" t="s">
        <v>1149</v>
      </c>
      <c r="J1528" s="64" t="s">
        <v>7103</v>
      </c>
      <c r="K1528" s="1940" t="s">
        <v>7104</v>
      </c>
      <c r="L1528" s="1940" t="s">
        <v>9178</v>
      </c>
      <c r="M1528" t="s">
        <v>12554</v>
      </c>
      <c r="N1528" t="s">
        <v>10893</v>
      </c>
      <c r="O1528" t="s">
        <v>7102</v>
      </c>
      <c r="P1528" s="614">
        <f>COUNTIF(EducPlans_кодНАЦИД_Спец[аФакСец],EducPlans_кодНАЦИД_Спец[[#This Row],[аФакСец]])</f>
        <v>1</v>
      </c>
    </row>
    <row r="1529" spans="3:16" x14ac:dyDescent="0.25">
      <c r="C1529" s="614">
        <v>1523</v>
      </c>
      <c r="D1529" s="614">
        <v>11291</v>
      </c>
      <c r="E1529" s="64" t="s">
        <v>1776</v>
      </c>
      <c r="F1529" s="64" t="s">
        <v>7105</v>
      </c>
      <c r="G1529" s="614" t="s">
        <v>39</v>
      </c>
      <c r="H1529" s="614" t="s">
        <v>682</v>
      </c>
      <c r="I1529" s="614" t="s">
        <v>1149</v>
      </c>
      <c r="J1529" s="64" t="s">
        <v>7106</v>
      </c>
      <c r="K1529" s="1940" t="s">
        <v>7107</v>
      </c>
      <c r="L1529" s="1940" t="s">
        <v>9179</v>
      </c>
      <c r="M1529" t="s">
        <v>12555</v>
      </c>
      <c r="N1529" t="s">
        <v>10894</v>
      </c>
      <c r="O1529" t="s">
        <v>7105</v>
      </c>
      <c r="P1529" s="614">
        <f>COUNTIF(EducPlans_кодНАЦИД_Спец[аФакСец],EducPlans_кодНАЦИД_Спец[[#This Row],[аФакСец]])</f>
        <v>1</v>
      </c>
    </row>
    <row r="1530" spans="3:16" x14ac:dyDescent="0.25">
      <c r="C1530" s="614">
        <v>1524</v>
      </c>
      <c r="D1530" s="614">
        <v>11299</v>
      </c>
      <c r="E1530" s="64" t="s">
        <v>1777</v>
      </c>
      <c r="F1530" s="64" t="s">
        <v>7108</v>
      </c>
      <c r="G1530" s="614" t="s">
        <v>39</v>
      </c>
      <c r="H1530" s="614" t="s">
        <v>682</v>
      </c>
      <c r="I1530" s="614" t="s">
        <v>1153</v>
      </c>
      <c r="J1530" s="64" t="s">
        <v>3901</v>
      </c>
      <c r="K1530" s="1940" t="s">
        <v>7109</v>
      </c>
      <c r="L1530" s="1940" t="s">
        <v>9180</v>
      </c>
      <c r="M1530" t="s">
        <v>12556</v>
      </c>
      <c r="N1530" t="s">
        <v>10895</v>
      </c>
      <c r="O1530" t="s">
        <v>7108</v>
      </c>
      <c r="P1530" s="614">
        <f>COUNTIF(EducPlans_кодНАЦИД_Спец[аФакСец],EducPlans_кодНАЦИД_Спец[[#This Row],[аФакСец]])</f>
        <v>1</v>
      </c>
    </row>
    <row r="1531" spans="3:16" x14ac:dyDescent="0.25">
      <c r="C1531" s="614">
        <v>1525</v>
      </c>
      <c r="D1531" s="614">
        <v>11302</v>
      </c>
      <c r="E1531" s="64" t="s">
        <v>1777</v>
      </c>
      <c r="F1531" s="64" t="s">
        <v>7110</v>
      </c>
      <c r="G1531" s="614" t="s">
        <v>39</v>
      </c>
      <c r="H1531" s="614" t="s">
        <v>682</v>
      </c>
      <c r="I1531" s="614" t="s">
        <v>1153</v>
      </c>
      <c r="J1531" s="64" t="s">
        <v>3902</v>
      </c>
      <c r="K1531" s="1940" t="s">
        <v>7111</v>
      </c>
      <c r="L1531" s="1940" t="s">
        <v>9181</v>
      </c>
      <c r="M1531" t="s">
        <v>12557</v>
      </c>
      <c r="N1531" t="s">
        <v>10896</v>
      </c>
      <c r="O1531" t="s">
        <v>7110</v>
      </c>
      <c r="P1531" s="614">
        <f>COUNTIF(EducPlans_кодНАЦИД_Спец[аФакСец],EducPlans_кодНАЦИД_Спец[[#This Row],[аФакСец]])</f>
        <v>1</v>
      </c>
    </row>
    <row r="1532" spans="3:16" x14ac:dyDescent="0.25">
      <c r="C1532" s="614">
        <v>1526</v>
      </c>
      <c r="D1532" s="614">
        <v>11300</v>
      </c>
      <c r="E1532" s="64" t="s">
        <v>1777</v>
      </c>
      <c r="F1532" s="64" t="s">
        <v>7112</v>
      </c>
      <c r="G1532" s="614" t="s">
        <v>39</v>
      </c>
      <c r="H1532" s="614" t="s">
        <v>682</v>
      </c>
      <c r="I1532" s="614" t="s">
        <v>1149</v>
      </c>
      <c r="J1532" s="64" t="s">
        <v>3899</v>
      </c>
      <c r="K1532" s="1940" t="s">
        <v>7113</v>
      </c>
      <c r="L1532" s="1940" t="s">
        <v>9182</v>
      </c>
      <c r="M1532" t="s">
        <v>12558</v>
      </c>
      <c r="N1532" t="s">
        <v>10897</v>
      </c>
      <c r="O1532" t="s">
        <v>7112</v>
      </c>
      <c r="P1532" s="614">
        <f>COUNTIF(EducPlans_кодНАЦИД_Спец[аФакСец],EducPlans_кодНАЦИД_Спец[[#This Row],[аФакСец]])</f>
        <v>1</v>
      </c>
    </row>
    <row r="1533" spans="3:16" x14ac:dyDescent="0.25">
      <c r="C1533" s="614">
        <v>1527</v>
      </c>
      <c r="D1533" s="614">
        <v>11305</v>
      </c>
      <c r="E1533" s="64" t="s">
        <v>1777</v>
      </c>
      <c r="F1533" s="64" t="s">
        <v>7114</v>
      </c>
      <c r="G1533" s="614" t="s">
        <v>39</v>
      </c>
      <c r="H1533" s="614" t="s">
        <v>682</v>
      </c>
      <c r="I1533" s="614" t="s">
        <v>1149</v>
      </c>
      <c r="J1533" s="64" t="s">
        <v>3900</v>
      </c>
      <c r="K1533" s="1940" t="s">
        <v>7115</v>
      </c>
      <c r="L1533" s="1940" t="s">
        <v>9183</v>
      </c>
      <c r="M1533" t="s">
        <v>12559</v>
      </c>
      <c r="N1533" t="s">
        <v>10898</v>
      </c>
      <c r="O1533" t="s">
        <v>7114</v>
      </c>
      <c r="P1533" s="614">
        <f>COUNTIF(EducPlans_кодНАЦИД_Спец[аФакСец],EducPlans_кодНАЦИД_Спец[[#This Row],[аФакСец]])</f>
        <v>1</v>
      </c>
    </row>
    <row r="1534" spans="3:16" x14ac:dyDescent="0.25">
      <c r="C1534" s="614">
        <v>1528</v>
      </c>
      <c r="D1534" s="614">
        <v>11230</v>
      </c>
      <c r="E1534" s="64" t="s">
        <v>229</v>
      </c>
      <c r="F1534" s="64" t="s">
        <v>7116</v>
      </c>
      <c r="G1534" s="614" t="s">
        <v>39</v>
      </c>
      <c r="H1534" s="614" t="s">
        <v>681</v>
      </c>
      <c r="I1534" s="614" t="s">
        <v>1153</v>
      </c>
      <c r="J1534" s="64" t="s">
        <v>3904</v>
      </c>
      <c r="K1534" s="1940" t="s">
        <v>7117</v>
      </c>
      <c r="L1534" s="1940" t="s">
        <v>9184</v>
      </c>
      <c r="M1534" t="s">
        <v>12560</v>
      </c>
      <c r="N1534" t="s">
        <v>10899</v>
      </c>
      <c r="O1534" t="s">
        <v>7116</v>
      </c>
      <c r="P1534" s="614">
        <f>COUNTIF(EducPlans_кодНАЦИД_Спец[аФакСец],EducPlans_кодНАЦИД_Спец[[#This Row],[аФакСец]])</f>
        <v>1</v>
      </c>
    </row>
    <row r="1535" spans="3:16" x14ac:dyDescent="0.25">
      <c r="C1535" s="614">
        <v>1529</v>
      </c>
      <c r="D1535" s="614">
        <v>11232</v>
      </c>
      <c r="E1535" s="64" t="s">
        <v>229</v>
      </c>
      <c r="F1535" s="64" t="s">
        <v>7118</v>
      </c>
      <c r="G1535" s="614" t="s">
        <v>39</v>
      </c>
      <c r="H1535" s="614" t="s">
        <v>681</v>
      </c>
      <c r="I1535" s="614" t="s">
        <v>1149</v>
      </c>
      <c r="J1535" s="64" t="s">
        <v>3903</v>
      </c>
      <c r="K1535" s="1940" t="s">
        <v>7119</v>
      </c>
      <c r="L1535" s="1940" t="s">
        <v>9185</v>
      </c>
      <c r="M1535" t="s">
        <v>12561</v>
      </c>
      <c r="N1535" t="s">
        <v>10900</v>
      </c>
      <c r="O1535" t="s">
        <v>7118</v>
      </c>
      <c r="P1535" s="614">
        <f>COUNTIF(EducPlans_кодНАЦИД_Спец[аФакСец],EducPlans_кодНАЦИД_Спец[[#This Row],[аФакСец]])</f>
        <v>1</v>
      </c>
    </row>
    <row r="1536" spans="3:16" x14ac:dyDescent="0.25">
      <c r="C1536" s="614">
        <v>1530</v>
      </c>
      <c r="D1536" s="614">
        <v>10878</v>
      </c>
      <c r="E1536" s="64" t="s">
        <v>1613</v>
      </c>
      <c r="F1536" s="64" t="s">
        <v>7120</v>
      </c>
      <c r="G1536" s="614" t="s">
        <v>35</v>
      </c>
      <c r="H1536" s="614" t="s">
        <v>682</v>
      </c>
      <c r="I1536" s="614" t="s">
        <v>1153</v>
      </c>
      <c r="J1536" s="64" t="s">
        <v>4110</v>
      </c>
      <c r="K1536" s="1940" t="s">
        <v>7121</v>
      </c>
      <c r="L1536" s="1940" t="s">
        <v>9186</v>
      </c>
      <c r="M1536" t="s">
        <v>12562</v>
      </c>
      <c r="N1536" t="s">
        <v>10901</v>
      </c>
      <c r="O1536" t="s">
        <v>7120</v>
      </c>
      <c r="P1536" s="614">
        <f>COUNTIF(EducPlans_кодНАЦИД_Спец[аФакСец],EducPlans_кодНАЦИД_Спец[[#This Row],[аФакСец]])</f>
        <v>1</v>
      </c>
    </row>
    <row r="1537" spans="3:16" x14ac:dyDescent="0.25">
      <c r="C1537" s="614">
        <v>1531</v>
      </c>
      <c r="D1537" s="614">
        <v>10878</v>
      </c>
      <c r="E1537" s="64" t="s">
        <v>1613</v>
      </c>
      <c r="F1537" s="64" t="s">
        <v>7122</v>
      </c>
      <c r="G1537" s="614" t="s">
        <v>35</v>
      </c>
      <c r="H1537" s="614" t="s">
        <v>682</v>
      </c>
      <c r="I1537" s="614" t="s">
        <v>1153</v>
      </c>
      <c r="J1537" s="64" t="s">
        <v>4109</v>
      </c>
      <c r="K1537" s="1940" t="s">
        <v>7121</v>
      </c>
      <c r="L1537" s="1940" t="s">
        <v>9187</v>
      </c>
      <c r="M1537" t="s">
        <v>12563</v>
      </c>
      <c r="N1537" t="s">
        <v>10902</v>
      </c>
      <c r="O1537" t="s">
        <v>7122</v>
      </c>
      <c r="P1537" s="614">
        <f>COUNTIF(EducPlans_кодНАЦИД_Спец[аФакСец],EducPlans_кодНАЦИД_Спец[[#This Row],[аФакСец]])</f>
        <v>1</v>
      </c>
    </row>
    <row r="1538" spans="3:16" x14ac:dyDescent="0.25">
      <c r="C1538" s="614">
        <v>1532</v>
      </c>
      <c r="D1538" s="614">
        <v>10878</v>
      </c>
      <c r="E1538" s="64" t="s">
        <v>1613</v>
      </c>
      <c r="F1538" s="64" t="s">
        <v>7123</v>
      </c>
      <c r="G1538" s="614" t="s">
        <v>35</v>
      </c>
      <c r="H1538" s="614" t="s">
        <v>682</v>
      </c>
      <c r="I1538" s="614" t="s">
        <v>1153</v>
      </c>
      <c r="J1538" s="64" t="s">
        <v>4111</v>
      </c>
      <c r="K1538" s="1940" t="s">
        <v>7121</v>
      </c>
      <c r="L1538" s="1940" t="s">
        <v>9188</v>
      </c>
      <c r="M1538" t="s">
        <v>12564</v>
      </c>
      <c r="N1538" t="s">
        <v>10903</v>
      </c>
      <c r="O1538" t="s">
        <v>7123</v>
      </c>
      <c r="P1538" s="614">
        <f>COUNTIF(EducPlans_кодНАЦИД_Спец[аФакСец],EducPlans_кодНАЦИД_Спец[[#This Row],[аФакСец]])</f>
        <v>1</v>
      </c>
    </row>
    <row r="1539" spans="3:16" x14ac:dyDescent="0.25">
      <c r="C1539" s="614">
        <v>1533</v>
      </c>
      <c r="D1539" s="614">
        <v>10879</v>
      </c>
      <c r="E1539" s="64" t="s">
        <v>1613</v>
      </c>
      <c r="F1539" s="64" t="s">
        <v>7124</v>
      </c>
      <c r="G1539" s="614" t="s">
        <v>35</v>
      </c>
      <c r="H1539" s="614" t="s">
        <v>682</v>
      </c>
      <c r="I1539" s="614" t="s">
        <v>1149</v>
      </c>
      <c r="J1539" s="64" t="s">
        <v>4108</v>
      </c>
      <c r="K1539" s="1940" t="s">
        <v>7125</v>
      </c>
      <c r="L1539" s="1940" t="s">
        <v>9189</v>
      </c>
      <c r="M1539" t="s">
        <v>12565</v>
      </c>
      <c r="N1539" t="s">
        <v>10904</v>
      </c>
      <c r="O1539" t="s">
        <v>7124</v>
      </c>
      <c r="P1539" s="614">
        <f>COUNTIF(EducPlans_кодНАЦИД_Спец[аФакСец],EducPlans_кодНАЦИД_Спец[[#This Row],[аФакСец]])</f>
        <v>1</v>
      </c>
    </row>
    <row r="1540" spans="3:16" x14ac:dyDescent="0.25">
      <c r="C1540" s="614">
        <v>1534</v>
      </c>
      <c r="D1540" s="614">
        <v>10879</v>
      </c>
      <c r="E1540" s="64" t="s">
        <v>1613</v>
      </c>
      <c r="F1540" s="64" t="s">
        <v>7126</v>
      </c>
      <c r="G1540" s="614" t="s">
        <v>35</v>
      </c>
      <c r="H1540" s="614" t="s">
        <v>682</v>
      </c>
      <c r="I1540" s="614" t="s">
        <v>1149</v>
      </c>
      <c r="J1540" s="64" t="s">
        <v>4107</v>
      </c>
      <c r="K1540" s="1940" t="s">
        <v>7125</v>
      </c>
      <c r="L1540" s="1940" t="s">
        <v>9190</v>
      </c>
      <c r="M1540" t="s">
        <v>12566</v>
      </c>
      <c r="N1540" t="s">
        <v>10905</v>
      </c>
      <c r="O1540" t="s">
        <v>7126</v>
      </c>
      <c r="P1540" s="614">
        <f>COUNTIF(EducPlans_кодНАЦИД_Спец[аФакСец],EducPlans_кодНАЦИД_Спец[[#This Row],[аФакСец]])</f>
        <v>1</v>
      </c>
    </row>
    <row r="1541" spans="3:16" x14ac:dyDescent="0.25">
      <c r="C1541" s="614">
        <v>1535</v>
      </c>
      <c r="D1541" s="614">
        <v>12687</v>
      </c>
      <c r="E1541" s="64" t="s">
        <v>1257</v>
      </c>
      <c r="F1541" s="64" t="s">
        <v>7127</v>
      </c>
      <c r="G1541" s="614" t="s">
        <v>296</v>
      </c>
      <c r="H1541" s="614" t="s">
        <v>682</v>
      </c>
      <c r="I1541" s="614" t="s">
        <v>1149</v>
      </c>
      <c r="J1541" s="64" t="s">
        <v>3849</v>
      </c>
      <c r="K1541" s="1940" t="s">
        <v>7128</v>
      </c>
      <c r="L1541" s="1940" t="s">
        <v>9191</v>
      </c>
      <c r="M1541" t="s">
        <v>12567</v>
      </c>
      <c r="N1541" t="s">
        <v>10906</v>
      </c>
      <c r="O1541" t="s">
        <v>7127</v>
      </c>
      <c r="P1541" s="614">
        <f>COUNTIF(EducPlans_кодНАЦИД_Спец[аФакСец],EducPlans_кодНАЦИД_Спец[[#This Row],[аФакСец]])</f>
        <v>1</v>
      </c>
    </row>
    <row r="1542" spans="3:16" x14ac:dyDescent="0.25">
      <c r="C1542" s="614">
        <v>1536</v>
      </c>
      <c r="D1542" s="614">
        <v>12687</v>
      </c>
      <c r="E1542" s="64" t="s">
        <v>1257</v>
      </c>
      <c r="F1542" s="64" t="s">
        <v>13028</v>
      </c>
      <c r="G1542" s="614" t="s">
        <v>296</v>
      </c>
      <c r="H1542" s="614" t="s">
        <v>682</v>
      </c>
      <c r="I1542" s="614" t="s">
        <v>1149</v>
      </c>
      <c r="J1542" s="64" t="s">
        <v>13029</v>
      </c>
      <c r="K1542" s="1940" t="s">
        <v>7128</v>
      </c>
      <c r="L1542" s="1940" t="s">
        <v>13030</v>
      </c>
      <c r="M1542" t="s">
        <v>13031</v>
      </c>
      <c r="N1542" t="s">
        <v>13032</v>
      </c>
      <c r="O1542" t="s">
        <v>13028</v>
      </c>
      <c r="P1542" s="614">
        <f>COUNTIF(EducPlans_кодНАЦИД_Спец[аФакСец],EducPlans_кодНАЦИД_Спец[[#This Row],[аФакСец]])</f>
        <v>1</v>
      </c>
    </row>
    <row r="1543" spans="3:16" x14ac:dyDescent="0.25">
      <c r="C1543" s="614">
        <v>1537</v>
      </c>
      <c r="D1543" s="614">
        <v>583173</v>
      </c>
      <c r="E1543" s="64" t="s">
        <v>1258</v>
      </c>
      <c r="F1543" s="64" t="s">
        <v>7129</v>
      </c>
      <c r="G1543" s="614" t="s">
        <v>296</v>
      </c>
      <c r="H1543" s="614" t="s">
        <v>682</v>
      </c>
      <c r="I1543" s="614" t="s">
        <v>1153</v>
      </c>
      <c r="J1543" s="64" t="s">
        <v>7130</v>
      </c>
      <c r="K1543" s="1940" t="s">
        <v>7131</v>
      </c>
      <c r="L1543" s="1940" t="s">
        <v>9192</v>
      </c>
      <c r="M1543" t="s">
        <v>12568</v>
      </c>
      <c r="N1543" t="s">
        <v>10907</v>
      </c>
      <c r="O1543" t="s">
        <v>7129</v>
      </c>
      <c r="P1543" s="614">
        <f>COUNTIF(EducPlans_кодНАЦИД_Спец[аФакСец],EducPlans_кодНАЦИД_Спец[[#This Row],[аФакСец]])</f>
        <v>1</v>
      </c>
    </row>
    <row r="1544" spans="3:16" x14ac:dyDescent="0.25">
      <c r="C1544" s="614">
        <v>1538</v>
      </c>
      <c r="D1544" s="614">
        <v>840909</v>
      </c>
      <c r="E1544" s="64" t="s">
        <v>1261</v>
      </c>
      <c r="F1544" s="64" t="s">
        <v>13910</v>
      </c>
      <c r="G1544" s="614" t="s">
        <v>296</v>
      </c>
      <c r="H1544" s="614" t="s">
        <v>682</v>
      </c>
      <c r="I1544" s="614" t="s">
        <v>1149</v>
      </c>
      <c r="J1544" s="64" t="s">
        <v>13911</v>
      </c>
      <c r="K1544" s="1940" t="s">
        <v>13912</v>
      </c>
      <c r="L1544" s="1940" t="s">
        <v>13913</v>
      </c>
      <c r="M1544" t="s">
        <v>13914</v>
      </c>
      <c r="N1544" t="s">
        <v>13915</v>
      </c>
      <c r="O1544" t="s">
        <v>13910</v>
      </c>
      <c r="P1544" s="614">
        <f>COUNTIF(EducPlans_кодНАЦИД_Спец[аФакСец],EducPlans_кодНАЦИД_Спец[[#This Row],[аФакСец]])</f>
        <v>1</v>
      </c>
    </row>
    <row r="1545" spans="3:16" x14ac:dyDescent="0.25">
      <c r="C1545" s="614">
        <v>1539</v>
      </c>
      <c r="D1545" s="614">
        <v>840909</v>
      </c>
      <c r="E1545" s="64" t="s">
        <v>1261</v>
      </c>
      <c r="F1545" s="64" t="s">
        <v>13916</v>
      </c>
      <c r="G1545" s="614" t="s">
        <v>296</v>
      </c>
      <c r="H1545" s="614" t="s">
        <v>682</v>
      </c>
      <c r="I1545" s="614" t="s">
        <v>1149</v>
      </c>
      <c r="J1545" s="64" t="s">
        <v>13917</v>
      </c>
      <c r="K1545" s="1940" t="s">
        <v>13912</v>
      </c>
      <c r="L1545" s="1940" t="s">
        <v>13918</v>
      </c>
      <c r="M1545" t="s">
        <v>13919</v>
      </c>
      <c r="N1545" t="s">
        <v>13920</v>
      </c>
      <c r="O1545" t="s">
        <v>13916</v>
      </c>
      <c r="P1545" s="614">
        <f>COUNTIF(EducPlans_кодНАЦИД_Спец[аФакСец],EducPlans_кодНАЦИД_Спец[[#This Row],[аФакСец]])</f>
        <v>1</v>
      </c>
    </row>
    <row r="1546" spans="3:16" x14ac:dyDescent="0.25">
      <c r="C1546" s="614">
        <v>1540</v>
      </c>
      <c r="D1546" s="614">
        <v>10908</v>
      </c>
      <c r="E1546" s="64" t="s">
        <v>1687</v>
      </c>
      <c r="F1546" s="64" t="s">
        <v>7132</v>
      </c>
      <c r="G1546" s="614" t="s">
        <v>35</v>
      </c>
      <c r="H1546" s="614" t="s">
        <v>682</v>
      </c>
      <c r="I1546" s="614" t="s">
        <v>1153</v>
      </c>
      <c r="J1546" s="64" t="s">
        <v>7133</v>
      </c>
      <c r="K1546" s="1940" t="s">
        <v>7134</v>
      </c>
      <c r="L1546" s="1940" t="s">
        <v>9193</v>
      </c>
      <c r="M1546" t="s">
        <v>12569</v>
      </c>
      <c r="N1546" t="s">
        <v>10908</v>
      </c>
      <c r="O1546" t="s">
        <v>7132</v>
      </c>
      <c r="P1546" s="614">
        <f>COUNTIF(EducPlans_кодНАЦИД_Спец[аФакСец],EducPlans_кодНАЦИД_Спец[[#This Row],[аФакСец]])</f>
        <v>1</v>
      </c>
    </row>
    <row r="1547" spans="3:16" x14ac:dyDescent="0.25">
      <c r="C1547" s="614">
        <v>1541</v>
      </c>
      <c r="D1547" s="614">
        <v>10775</v>
      </c>
      <c r="E1547" s="64" t="s">
        <v>1688</v>
      </c>
      <c r="F1547" s="64" t="s">
        <v>7135</v>
      </c>
      <c r="G1547" s="614" t="s">
        <v>35</v>
      </c>
      <c r="H1547" s="614" t="s">
        <v>681</v>
      </c>
      <c r="I1547" s="614" t="s">
        <v>1153</v>
      </c>
      <c r="J1547" s="64" t="s">
        <v>4112</v>
      </c>
      <c r="K1547" s="1940" t="s">
        <v>7136</v>
      </c>
      <c r="L1547" s="1940" t="s">
        <v>9194</v>
      </c>
      <c r="M1547" t="s">
        <v>12570</v>
      </c>
      <c r="N1547" t="s">
        <v>10909</v>
      </c>
      <c r="O1547" t="s">
        <v>7135</v>
      </c>
      <c r="P1547" s="614">
        <f>COUNTIF(EducPlans_кодНАЦИД_Спец[аФакСец],EducPlans_кодНАЦИД_Спец[[#This Row],[аФакСец]])</f>
        <v>1</v>
      </c>
    </row>
    <row r="1548" spans="3:16" x14ac:dyDescent="0.25">
      <c r="C1548" s="614">
        <v>1542</v>
      </c>
      <c r="D1548" s="614">
        <v>587343</v>
      </c>
      <c r="E1548" s="64" t="s">
        <v>13921</v>
      </c>
      <c r="F1548" s="64" t="s">
        <v>13922</v>
      </c>
      <c r="G1548" s="614" t="s">
        <v>35</v>
      </c>
      <c r="H1548" s="614" t="s">
        <v>682</v>
      </c>
      <c r="I1548" s="614" t="s">
        <v>1153</v>
      </c>
      <c r="J1548" s="64" t="s">
        <v>13923</v>
      </c>
      <c r="K1548" s="1940" t="s">
        <v>13924</v>
      </c>
      <c r="L1548" s="1940" t="s">
        <v>13925</v>
      </c>
      <c r="M1548" t="s">
        <v>13926</v>
      </c>
      <c r="N1548" t="s">
        <v>13927</v>
      </c>
      <c r="O1548" t="s">
        <v>13922</v>
      </c>
      <c r="P1548" s="614">
        <f>COUNTIF(EducPlans_кодНАЦИД_Спец[аФакСец],EducPlans_кодНАЦИД_Спец[[#This Row],[аФакСец]])</f>
        <v>1</v>
      </c>
    </row>
    <row r="1549" spans="3:16" x14ac:dyDescent="0.25">
      <c r="C1549" s="614">
        <v>1543</v>
      </c>
      <c r="D1549" s="614">
        <v>12580</v>
      </c>
      <c r="E1549" s="64" t="s">
        <v>1262</v>
      </c>
      <c r="F1549" s="64" t="s">
        <v>7137</v>
      </c>
      <c r="G1549" s="614" t="s">
        <v>296</v>
      </c>
      <c r="H1549" s="614" t="s">
        <v>681</v>
      </c>
      <c r="I1549" s="614" t="s">
        <v>1153</v>
      </c>
      <c r="J1549" s="64" t="s">
        <v>3852</v>
      </c>
      <c r="K1549" s="1940" t="s">
        <v>7138</v>
      </c>
      <c r="L1549" s="1940" t="s">
        <v>9195</v>
      </c>
      <c r="M1549" t="s">
        <v>12571</v>
      </c>
      <c r="N1549" t="s">
        <v>10910</v>
      </c>
      <c r="O1549" t="s">
        <v>7137</v>
      </c>
      <c r="P1549" s="614">
        <f>COUNTIF(EducPlans_кодНАЦИД_Спец[аФакСец],EducPlans_кодНАЦИД_Спец[[#This Row],[аФакСец]])</f>
        <v>1</v>
      </c>
    </row>
    <row r="1550" spans="3:16" x14ac:dyDescent="0.25">
      <c r="C1550" s="614">
        <v>1544</v>
      </c>
      <c r="D1550" s="614">
        <v>12582</v>
      </c>
      <c r="E1550" s="64" t="s">
        <v>1262</v>
      </c>
      <c r="F1550" s="64" t="s">
        <v>7139</v>
      </c>
      <c r="G1550" s="614" t="s">
        <v>296</v>
      </c>
      <c r="H1550" s="614" t="s">
        <v>681</v>
      </c>
      <c r="I1550" s="614" t="s">
        <v>1149</v>
      </c>
      <c r="J1550" s="64" t="s">
        <v>7140</v>
      </c>
      <c r="K1550" s="1940" t="s">
        <v>7141</v>
      </c>
      <c r="L1550" s="1940" t="s">
        <v>9196</v>
      </c>
      <c r="M1550" t="s">
        <v>12572</v>
      </c>
      <c r="N1550" t="s">
        <v>10911</v>
      </c>
      <c r="O1550" t="s">
        <v>7139</v>
      </c>
      <c r="P1550" s="614">
        <f>COUNTIF(EducPlans_кодНАЦИД_Спец[аФакСец],EducPlans_кодНАЦИД_Спец[[#This Row],[аФакСец]])</f>
        <v>1</v>
      </c>
    </row>
    <row r="1551" spans="3:16" x14ac:dyDescent="0.25">
      <c r="C1551" s="614">
        <v>1545</v>
      </c>
      <c r="D1551" s="614">
        <v>12583</v>
      </c>
      <c r="E1551" s="64" t="s">
        <v>1262</v>
      </c>
      <c r="F1551" s="64" t="s">
        <v>7142</v>
      </c>
      <c r="G1551" s="614" t="s">
        <v>296</v>
      </c>
      <c r="H1551" s="614" t="s">
        <v>682</v>
      </c>
      <c r="I1551" s="614" t="s">
        <v>1153</v>
      </c>
      <c r="J1551" s="64" t="s">
        <v>3854</v>
      </c>
      <c r="K1551" s="1940" t="s">
        <v>7143</v>
      </c>
      <c r="L1551" s="1940" t="s">
        <v>9197</v>
      </c>
      <c r="M1551" t="s">
        <v>12573</v>
      </c>
      <c r="N1551" t="s">
        <v>10912</v>
      </c>
      <c r="O1551" t="s">
        <v>7142</v>
      </c>
      <c r="P1551" s="614">
        <f>COUNTIF(EducPlans_кодНАЦИД_Спец[аФакСец],EducPlans_кодНАЦИД_Спец[[#This Row],[аФакСец]])</f>
        <v>1</v>
      </c>
    </row>
    <row r="1552" spans="3:16" x14ac:dyDescent="0.25">
      <c r="C1552" s="614">
        <v>1546</v>
      </c>
      <c r="D1552" s="614">
        <v>12583</v>
      </c>
      <c r="E1552" s="64" t="s">
        <v>1262</v>
      </c>
      <c r="F1552" s="64" t="s">
        <v>7144</v>
      </c>
      <c r="G1552" s="614" t="s">
        <v>296</v>
      </c>
      <c r="H1552" s="614" t="s">
        <v>682</v>
      </c>
      <c r="I1552" s="614" t="s">
        <v>1153</v>
      </c>
      <c r="J1552" s="64" t="s">
        <v>3853</v>
      </c>
      <c r="K1552" s="1940" t="s">
        <v>7143</v>
      </c>
      <c r="L1552" s="1940" t="s">
        <v>9198</v>
      </c>
      <c r="M1552" t="s">
        <v>12574</v>
      </c>
      <c r="N1552" t="s">
        <v>10913</v>
      </c>
      <c r="O1552" t="s">
        <v>7144</v>
      </c>
      <c r="P1552" s="614">
        <f>COUNTIF(EducPlans_кодНАЦИД_Спец[аФакСец],EducPlans_кодНАЦИД_Спец[[#This Row],[аФакСец]])</f>
        <v>1</v>
      </c>
    </row>
    <row r="1553" spans="3:16" x14ac:dyDescent="0.25">
      <c r="C1553" s="614">
        <v>1547</v>
      </c>
      <c r="D1553" s="614">
        <v>12709</v>
      </c>
      <c r="E1553" s="64" t="s">
        <v>1262</v>
      </c>
      <c r="F1553" s="64" t="s">
        <v>7145</v>
      </c>
      <c r="G1553" s="614" t="s">
        <v>296</v>
      </c>
      <c r="H1553" s="614" t="s">
        <v>682</v>
      </c>
      <c r="I1553" s="614" t="s">
        <v>1153</v>
      </c>
      <c r="J1553" s="64" t="s">
        <v>3855</v>
      </c>
      <c r="K1553" s="1940" t="s">
        <v>7146</v>
      </c>
      <c r="L1553" s="1940" t="s">
        <v>9199</v>
      </c>
      <c r="M1553" t="s">
        <v>12575</v>
      </c>
      <c r="N1553" t="s">
        <v>10914</v>
      </c>
      <c r="O1553" t="s">
        <v>7145</v>
      </c>
      <c r="P1553" s="614">
        <f>COUNTIF(EducPlans_кодНАЦИД_Спец[аФакСец],EducPlans_кодНАЦИД_Спец[[#This Row],[аФакСец]])</f>
        <v>1</v>
      </c>
    </row>
    <row r="1554" spans="3:16" x14ac:dyDescent="0.25">
      <c r="C1554" s="614">
        <v>1548</v>
      </c>
      <c r="D1554" s="614">
        <v>12584</v>
      </c>
      <c r="E1554" s="64" t="s">
        <v>1262</v>
      </c>
      <c r="F1554" s="64" t="s">
        <v>7147</v>
      </c>
      <c r="G1554" s="614" t="s">
        <v>296</v>
      </c>
      <c r="H1554" s="614" t="s">
        <v>682</v>
      </c>
      <c r="I1554" s="614" t="s">
        <v>1149</v>
      </c>
      <c r="J1554" s="64" t="s">
        <v>3851</v>
      </c>
      <c r="K1554" s="1940" t="s">
        <v>7148</v>
      </c>
      <c r="L1554" s="1940" t="s">
        <v>9200</v>
      </c>
      <c r="M1554" t="s">
        <v>12576</v>
      </c>
      <c r="N1554" t="s">
        <v>10915</v>
      </c>
      <c r="O1554" t="s">
        <v>7147</v>
      </c>
      <c r="P1554" s="614">
        <f>COUNTIF(EducPlans_кодНАЦИД_Спец[аФакСец],EducPlans_кодНАЦИД_Спец[[#This Row],[аФакСец]])</f>
        <v>1</v>
      </c>
    </row>
    <row r="1555" spans="3:16" x14ac:dyDescent="0.25">
      <c r="C1555" s="614">
        <v>1549</v>
      </c>
      <c r="D1555" s="614">
        <v>12584</v>
      </c>
      <c r="E1555" s="64" t="s">
        <v>1262</v>
      </c>
      <c r="F1555" s="64" t="s">
        <v>7149</v>
      </c>
      <c r="G1555" s="614" t="s">
        <v>296</v>
      </c>
      <c r="H1555" s="614" t="s">
        <v>682</v>
      </c>
      <c r="I1555" s="614" t="s">
        <v>1149</v>
      </c>
      <c r="J1555" s="64" t="s">
        <v>3850</v>
      </c>
      <c r="K1555" s="1940" t="s">
        <v>7148</v>
      </c>
      <c r="L1555" s="1940" t="s">
        <v>9201</v>
      </c>
      <c r="M1555" t="s">
        <v>12577</v>
      </c>
      <c r="N1555" t="s">
        <v>10916</v>
      </c>
      <c r="O1555" t="s">
        <v>7149</v>
      </c>
      <c r="P1555" s="614">
        <f>COUNTIF(EducPlans_кодНАЦИД_Спец[аФакСец],EducPlans_кодНАЦИД_Спец[[#This Row],[аФакСец]])</f>
        <v>1</v>
      </c>
    </row>
    <row r="1556" spans="3:16" x14ac:dyDescent="0.25">
      <c r="C1556" s="614">
        <v>1550</v>
      </c>
      <c r="D1556" s="614">
        <v>12706</v>
      </c>
      <c r="E1556" s="64" t="s">
        <v>1263</v>
      </c>
      <c r="F1556" s="64" t="s">
        <v>7150</v>
      </c>
      <c r="G1556" s="614" t="s">
        <v>296</v>
      </c>
      <c r="H1556" s="614" t="s">
        <v>682</v>
      </c>
      <c r="I1556" s="614" t="s">
        <v>1153</v>
      </c>
      <c r="J1556" s="64" t="s">
        <v>3856</v>
      </c>
      <c r="K1556" s="1940" t="s">
        <v>7151</v>
      </c>
      <c r="L1556" s="1940" t="s">
        <v>9202</v>
      </c>
      <c r="M1556" t="s">
        <v>12578</v>
      </c>
      <c r="N1556" t="s">
        <v>10917</v>
      </c>
      <c r="O1556" t="s">
        <v>7150</v>
      </c>
      <c r="P1556" s="614">
        <f>COUNTIF(EducPlans_кодНАЦИД_Спец[аФакСец],EducPlans_кодНАЦИД_Спец[[#This Row],[аФакСец]])</f>
        <v>1</v>
      </c>
    </row>
    <row r="1557" spans="3:16" x14ac:dyDescent="0.25">
      <c r="C1557" s="614">
        <v>1551</v>
      </c>
      <c r="D1557" s="614">
        <v>12612</v>
      </c>
      <c r="E1557" s="64" t="s">
        <v>1264</v>
      </c>
      <c r="F1557" s="64" t="s">
        <v>7152</v>
      </c>
      <c r="G1557" s="614" t="s">
        <v>296</v>
      </c>
      <c r="H1557" s="614" t="s">
        <v>681</v>
      </c>
      <c r="I1557" s="614" t="s">
        <v>1149</v>
      </c>
      <c r="J1557" s="64" t="s">
        <v>3858</v>
      </c>
      <c r="K1557" s="1940" t="s">
        <v>7153</v>
      </c>
      <c r="L1557" s="1940" t="s">
        <v>9203</v>
      </c>
      <c r="M1557" t="s">
        <v>12579</v>
      </c>
      <c r="N1557" t="s">
        <v>10918</v>
      </c>
      <c r="O1557" t="s">
        <v>7152</v>
      </c>
      <c r="P1557" s="614">
        <f>COUNTIF(EducPlans_кодНАЦИД_Спец[аФакСец],EducPlans_кодНАЦИД_Спец[[#This Row],[аФакСец]])</f>
        <v>1</v>
      </c>
    </row>
    <row r="1558" spans="3:16" x14ac:dyDescent="0.25">
      <c r="C1558" s="614">
        <v>1552</v>
      </c>
      <c r="D1558" s="614">
        <v>12616</v>
      </c>
      <c r="E1558" s="64" t="s">
        <v>1267</v>
      </c>
      <c r="F1558" s="64" t="s">
        <v>7154</v>
      </c>
      <c r="G1558" s="614" t="s">
        <v>296</v>
      </c>
      <c r="H1558" s="614" t="s">
        <v>682</v>
      </c>
      <c r="I1558" s="614" t="s">
        <v>1153</v>
      </c>
      <c r="J1558" s="64" t="s">
        <v>3859</v>
      </c>
      <c r="K1558" s="1940" t="s">
        <v>7155</v>
      </c>
      <c r="L1558" s="1940" t="s">
        <v>9204</v>
      </c>
      <c r="M1558" t="s">
        <v>12580</v>
      </c>
      <c r="N1558" t="s">
        <v>10919</v>
      </c>
      <c r="O1558" t="s">
        <v>7154</v>
      </c>
      <c r="P1558" s="614">
        <f>COUNTIF(EducPlans_кодНАЦИД_Спец[аФакСец],EducPlans_кодНАЦИД_Спец[[#This Row],[аФакСец]])</f>
        <v>1</v>
      </c>
    </row>
    <row r="1559" spans="3:16" x14ac:dyDescent="0.25">
      <c r="C1559" s="614">
        <v>1553</v>
      </c>
      <c r="D1559" s="614">
        <v>12617</v>
      </c>
      <c r="E1559" s="64" t="s">
        <v>1268</v>
      </c>
      <c r="F1559" s="64" t="s">
        <v>7156</v>
      </c>
      <c r="G1559" s="614" t="s">
        <v>296</v>
      </c>
      <c r="H1559" s="614" t="s">
        <v>682</v>
      </c>
      <c r="I1559" s="614" t="s">
        <v>1149</v>
      </c>
      <c r="J1559" s="64" t="s">
        <v>3860</v>
      </c>
      <c r="K1559" s="1940" t="s">
        <v>7157</v>
      </c>
      <c r="L1559" s="1940" t="s">
        <v>9205</v>
      </c>
      <c r="M1559" t="s">
        <v>12581</v>
      </c>
      <c r="N1559" t="s">
        <v>10920</v>
      </c>
      <c r="O1559" t="s">
        <v>7156</v>
      </c>
      <c r="P1559" s="614">
        <f>COUNTIF(EducPlans_кодНАЦИД_Спец[аФакСец],EducPlans_кодНАЦИД_Спец[[#This Row],[аФакСец]])</f>
        <v>1</v>
      </c>
    </row>
    <row r="1560" spans="3:16" x14ac:dyDescent="0.25">
      <c r="C1560" s="614">
        <v>1554</v>
      </c>
      <c r="D1560" s="614">
        <v>12617</v>
      </c>
      <c r="E1560" s="64" t="s">
        <v>1268</v>
      </c>
      <c r="F1560" s="64" t="s">
        <v>7158</v>
      </c>
      <c r="G1560" s="614" t="s">
        <v>296</v>
      </c>
      <c r="H1560" s="614" t="s">
        <v>682</v>
      </c>
      <c r="I1560" s="614" t="s">
        <v>1149</v>
      </c>
      <c r="J1560" s="64" t="s">
        <v>4580</v>
      </c>
      <c r="K1560" s="1940" t="s">
        <v>7157</v>
      </c>
      <c r="L1560" s="1940" t="s">
        <v>9206</v>
      </c>
      <c r="M1560" t="s">
        <v>12582</v>
      </c>
      <c r="N1560" t="s">
        <v>10921</v>
      </c>
      <c r="O1560" t="s">
        <v>7158</v>
      </c>
      <c r="P1560" s="614">
        <f>COUNTIF(EducPlans_кодНАЦИД_Спец[аФакСец],EducPlans_кодНАЦИД_Спец[[#This Row],[аФакСец]])</f>
        <v>1</v>
      </c>
    </row>
    <row r="1561" spans="3:16" x14ac:dyDescent="0.25">
      <c r="C1561" s="614">
        <v>1555</v>
      </c>
      <c r="D1561" s="614">
        <v>12711</v>
      </c>
      <c r="E1561" s="64" t="s">
        <v>1270</v>
      </c>
      <c r="F1561" s="64" t="s">
        <v>7159</v>
      </c>
      <c r="G1561" s="614" t="s">
        <v>296</v>
      </c>
      <c r="H1561" s="614" t="s">
        <v>682</v>
      </c>
      <c r="I1561" s="614" t="s">
        <v>1153</v>
      </c>
      <c r="J1561" s="64" t="s">
        <v>3862</v>
      </c>
      <c r="K1561" s="1940" t="s">
        <v>7160</v>
      </c>
      <c r="L1561" s="1940" t="s">
        <v>9207</v>
      </c>
      <c r="M1561" t="s">
        <v>12583</v>
      </c>
      <c r="N1561" t="s">
        <v>10922</v>
      </c>
      <c r="O1561" t="s">
        <v>7159</v>
      </c>
      <c r="P1561" s="614">
        <f>COUNTIF(EducPlans_кодНАЦИД_Спец[аФакСец],EducPlans_кодНАЦИД_Спец[[#This Row],[аФакСец]])</f>
        <v>1</v>
      </c>
    </row>
    <row r="1562" spans="3:16" x14ac:dyDescent="0.25">
      <c r="C1562" s="614">
        <v>1556</v>
      </c>
      <c r="D1562" s="614">
        <v>12711</v>
      </c>
      <c r="E1562" s="64" t="s">
        <v>1270</v>
      </c>
      <c r="F1562" s="64" t="s">
        <v>7161</v>
      </c>
      <c r="G1562" s="614" t="s">
        <v>296</v>
      </c>
      <c r="H1562" s="614" t="s">
        <v>682</v>
      </c>
      <c r="I1562" s="614" t="s">
        <v>1153</v>
      </c>
      <c r="J1562" s="64" t="s">
        <v>3861</v>
      </c>
      <c r="K1562" s="1940" t="s">
        <v>7160</v>
      </c>
      <c r="L1562" s="1940" t="s">
        <v>9208</v>
      </c>
      <c r="M1562" t="s">
        <v>12584</v>
      </c>
      <c r="N1562" t="s">
        <v>10923</v>
      </c>
      <c r="O1562" t="s">
        <v>7161</v>
      </c>
      <c r="P1562" s="614">
        <f>COUNTIF(EducPlans_кодНАЦИД_Спец[аФакСец],EducPlans_кодНАЦИД_Спец[[#This Row],[аФакСец]])</f>
        <v>1</v>
      </c>
    </row>
    <row r="1563" spans="3:16" x14ac:dyDescent="0.25">
      <c r="C1563" s="614">
        <v>1557</v>
      </c>
      <c r="D1563" s="614">
        <v>12713</v>
      </c>
      <c r="E1563" s="64" t="s">
        <v>1271</v>
      </c>
      <c r="F1563" s="64" t="s">
        <v>7162</v>
      </c>
      <c r="G1563" s="614" t="s">
        <v>296</v>
      </c>
      <c r="H1563" s="614" t="s">
        <v>682</v>
      </c>
      <c r="I1563" s="614" t="s">
        <v>1153</v>
      </c>
      <c r="J1563" s="64" t="s">
        <v>3863</v>
      </c>
      <c r="K1563" s="1940" t="s">
        <v>7163</v>
      </c>
      <c r="L1563" s="1940" t="s">
        <v>9209</v>
      </c>
      <c r="M1563" t="s">
        <v>12585</v>
      </c>
      <c r="N1563" t="s">
        <v>10924</v>
      </c>
      <c r="O1563" t="s">
        <v>7162</v>
      </c>
      <c r="P1563" s="614">
        <f>COUNTIF(EducPlans_кодНАЦИД_Спец[аФакСец],EducPlans_кодНАЦИД_Спец[[#This Row],[аФакСец]])</f>
        <v>1</v>
      </c>
    </row>
    <row r="1564" spans="3:16" x14ac:dyDescent="0.25">
      <c r="C1564" s="614">
        <v>1558</v>
      </c>
      <c r="D1564" s="614">
        <v>12714</v>
      </c>
      <c r="E1564" s="64" t="s">
        <v>1272</v>
      </c>
      <c r="F1564" s="64" t="s">
        <v>7164</v>
      </c>
      <c r="G1564" s="614" t="s">
        <v>296</v>
      </c>
      <c r="H1564" s="614" t="s">
        <v>682</v>
      </c>
      <c r="I1564" s="614" t="s">
        <v>1153</v>
      </c>
      <c r="J1564" s="64" t="s">
        <v>3864</v>
      </c>
      <c r="K1564" s="1940" t="s">
        <v>7165</v>
      </c>
      <c r="L1564" s="1940" t="s">
        <v>9210</v>
      </c>
      <c r="M1564" t="s">
        <v>12586</v>
      </c>
      <c r="N1564" t="s">
        <v>10925</v>
      </c>
      <c r="O1564" t="s">
        <v>7164</v>
      </c>
      <c r="P1564" s="614">
        <f>COUNTIF(EducPlans_кодНАЦИД_Спец[аФакСец],EducPlans_кодНАЦИД_Спец[[#This Row],[аФакСец]])</f>
        <v>1</v>
      </c>
    </row>
    <row r="1565" spans="3:16" x14ac:dyDescent="0.25">
      <c r="C1565" s="614">
        <v>1559</v>
      </c>
      <c r="D1565" s="614">
        <v>725800</v>
      </c>
      <c r="E1565" s="64" t="s">
        <v>13928</v>
      </c>
      <c r="F1565" s="64" t="s">
        <v>13929</v>
      </c>
      <c r="G1565" s="614" t="s">
        <v>296</v>
      </c>
      <c r="H1565" s="614" t="s">
        <v>682</v>
      </c>
      <c r="I1565" s="614" t="s">
        <v>1153</v>
      </c>
      <c r="J1565" s="64" t="s">
        <v>13930</v>
      </c>
      <c r="K1565" s="1940" t="s">
        <v>13931</v>
      </c>
      <c r="L1565" s="1940" t="s">
        <v>13932</v>
      </c>
      <c r="M1565" t="s">
        <v>13933</v>
      </c>
      <c r="N1565" t="s">
        <v>13934</v>
      </c>
      <c r="O1565" t="s">
        <v>13929</v>
      </c>
      <c r="P1565" s="614">
        <f>COUNTIF(EducPlans_кодНАЦИД_Спец[аФакСец],EducPlans_кодНАЦИД_Спец[[#This Row],[аФакСец]])</f>
        <v>1</v>
      </c>
    </row>
    <row r="1566" spans="3:16" x14ac:dyDescent="0.25">
      <c r="C1566" s="614">
        <v>1560</v>
      </c>
      <c r="D1566" s="614">
        <v>747122</v>
      </c>
      <c r="E1566" s="64" t="s">
        <v>13928</v>
      </c>
      <c r="F1566" s="64" t="s">
        <v>13935</v>
      </c>
      <c r="G1566" s="614" t="s">
        <v>296</v>
      </c>
      <c r="H1566" s="614" t="s">
        <v>682</v>
      </c>
      <c r="I1566" s="614" t="s">
        <v>1149</v>
      </c>
      <c r="J1566" s="64" t="s">
        <v>13936</v>
      </c>
      <c r="K1566" s="1940" t="s">
        <v>13937</v>
      </c>
      <c r="L1566" s="1940" t="s">
        <v>13938</v>
      </c>
      <c r="M1566" t="s">
        <v>13939</v>
      </c>
      <c r="N1566" t="s">
        <v>13940</v>
      </c>
      <c r="O1566" t="s">
        <v>13935</v>
      </c>
      <c r="P1566" s="614">
        <f>COUNTIF(EducPlans_кодНАЦИД_Спец[аФакСец],EducPlans_кодНАЦИД_Спец[[#This Row],[аФакСец]])</f>
        <v>1</v>
      </c>
    </row>
    <row r="1567" spans="3:16" x14ac:dyDescent="0.25">
      <c r="C1567" s="614">
        <v>1561</v>
      </c>
      <c r="D1567" s="614">
        <v>12944</v>
      </c>
      <c r="E1567" s="64" t="s">
        <v>1836</v>
      </c>
      <c r="F1567" s="64" t="s">
        <v>7166</v>
      </c>
      <c r="G1567" s="614" t="s">
        <v>42</v>
      </c>
      <c r="H1567" s="614" t="s">
        <v>682</v>
      </c>
      <c r="I1567" s="614" t="s">
        <v>1149</v>
      </c>
      <c r="J1567" s="64" t="s">
        <v>3502</v>
      </c>
      <c r="K1567" s="1940" t="s">
        <v>7167</v>
      </c>
      <c r="L1567" s="1940" t="s">
        <v>9211</v>
      </c>
      <c r="M1567" t="s">
        <v>12587</v>
      </c>
      <c r="N1567" t="s">
        <v>10926</v>
      </c>
      <c r="O1567" t="s">
        <v>7166</v>
      </c>
      <c r="P1567" s="614">
        <f>COUNTIF(EducPlans_кодНАЦИД_Спец[аФакСец],EducPlans_кодНАЦИД_Спец[[#This Row],[аФакСец]])</f>
        <v>1</v>
      </c>
    </row>
    <row r="1568" spans="3:16" x14ac:dyDescent="0.25">
      <c r="C1568" s="614">
        <v>1562</v>
      </c>
      <c r="D1568" s="614">
        <v>12732</v>
      </c>
      <c r="E1568" s="64" t="s">
        <v>1340</v>
      </c>
      <c r="F1568" s="64" t="s">
        <v>7168</v>
      </c>
      <c r="G1568" s="614" t="s">
        <v>296</v>
      </c>
      <c r="H1568" s="614" t="s">
        <v>682</v>
      </c>
      <c r="I1568" s="614" t="s">
        <v>1153</v>
      </c>
      <c r="J1568" s="64" t="s">
        <v>3865</v>
      </c>
      <c r="K1568" s="1940" t="s">
        <v>7169</v>
      </c>
      <c r="L1568" s="1940" t="s">
        <v>9212</v>
      </c>
      <c r="M1568" t="s">
        <v>12588</v>
      </c>
      <c r="N1568" t="s">
        <v>10927</v>
      </c>
      <c r="O1568" t="s">
        <v>7168</v>
      </c>
      <c r="P1568" s="614">
        <f>COUNTIF(EducPlans_кодНАЦИД_Спец[аФакСец],EducPlans_кодНАЦИД_Спец[[#This Row],[аФакСец]])</f>
        <v>1</v>
      </c>
    </row>
    <row r="1569" spans="3:16" x14ac:dyDescent="0.25">
      <c r="C1569" s="614">
        <v>1563</v>
      </c>
      <c r="D1569" s="614">
        <v>11159</v>
      </c>
      <c r="E1569" s="64" t="s">
        <v>1588</v>
      </c>
      <c r="F1569" s="64" t="s">
        <v>7170</v>
      </c>
      <c r="G1569" s="614" t="s">
        <v>48</v>
      </c>
      <c r="H1569" s="614" t="s">
        <v>682</v>
      </c>
      <c r="I1569" s="614" t="s">
        <v>1153</v>
      </c>
      <c r="J1569" s="64" t="s">
        <v>3182</v>
      </c>
      <c r="K1569" s="1940" t="s">
        <v>7171</v>
      </c>
      <c r="L1569" s="1940" t="s">
        <v>9213</v>
      </c>
      <c r="M1569" t="s">
        <v>12589</v>
      </c>
      <c r="N1569" t="s">
        <v>10928</v>
      </c>
      <c r="O1569" t="s">
        <v>7170</v>
      </c>
      <c r="P1569" s="614">
        <f>COUNTIF(EducPlans_кодНАЦИД_Спец[аФакСец],EducPlans_кодНАЦИД_Спец[[#This Row],[аФакСец]])</f>
        <v>1</v>
      </c>
    </row>
    <row r="1570" spans="3:16" x14ac:dyDescent="0.25">
      <c r="C1570" s="614">
        <v>1564</v>
      </c>
      <c r="D1570" s="614">
        <v>11159</v>
      </c>
      <c r="E1570" s="64" t="s">
        <v>1588</v>
      </c>
      <c r="F1570" s="64" t="s">
        <v>7172</v>
      </c>
      <c r="G1570" s="614" t="s">
        <v>48</v>
      </c>
      <c r="H1570" s="614" t="s">
        <v>682</v>
      </c>
      <c r="I1570" s="614" t="s">
        <v>1153</v>
      </c>
      <c r="J1570" s="64" t="s">
        <v>3183</v>
      </c>
      <c r="K1570" s="1940" t="s">
        <v>7171</v>
      </c>
      <c r="L1570" s="1940" t="s">
        <v>9214</v>
      </c>
      <c r="M1570" t="s">
        <v>12590</v>
      </c>
      <c r="N1570" t="s">
        <v>10929</v>
      </c>
      <c r="O1570" t="s">
        <v>7172</v>
      </c>
      <c r="P1570" s="614">
        <f>COUNTIF(EducPlans_кодНАЦИД_Спец[аФакСец],EducPlans_кодНАЦИД_Спец[[#This Row],[аФакСец]])</f>
        <v>1</v>
      </c>
    </row>
    <row r="1571" spans="3:16" x14ac:dyDescent="0.25">
      <c r="C1571" s="614">
        <v>1565</v>
      </c>
      <c r="D1571" s="614">
        <v>11106</v>
      </c>
      <c r="E1571" s="64" t="s">
        <v>1589</v>
      </c>
      <c r="F1571" s="64" t="s">
        <v>7173</v>
      </c>
      <c r="G1571" s="614" t="s">
        <v>48</v>
      </c>
      <c r="H1571" s="614" t="s">
        <v>682</v>
      </c>
      <c r="I1571" s="614" t="s">
        <v>1153</v>
      </c>
      <c r="J1571" s="64" t="s">
        <v>3188</v>
      </c>
      <c r="K1571" s="1940" t="s">
        <v>7174</v>
      </c>
      <c r="L1571" s="1940" t="s">
        <v>9215</v>
      </c>
      <c r="M1571" t="s">
        <v>12591</v>
      </c>
      <c r="N1571" t="s">
        <v>10930</v>
      </c>
      <c r="O1571" t="s">
        <v>7173</v>
      </c>
      <c r="P1571" s="614">
        <f>COUNTIF(EducPlans_кодНАЦИД_Спец[аФакСец],EducPlans_кодНАЦИД_Спец[[#This Row],[аФакСец]])</f>
        <v>1</v>
      </c>
    </row>
    <row r="1572" spans="3:16" x14ac:dyDescent="0.25">
      <c r="C1572" s="614">
        <v>1566</v>
      </c>
      <c r="D1572" s="614">
        <v>11106</v>
      </c>
      <c r="E1572" s="64" t="s">
        <v>1589</v>
      </c>
      <c r="F1572" s="64" t="s">
        <v>7175</v>
      </c>
      <c r="G1572" s="614" t="s">
        <v>48</v>
      </c>
      <c r="H1572" s="614" t="s">
        <v>682</v>
      </c>
      <c r="I1572" s="614" t="s">
        <v>1153</v>
      </c>
      <c r="J1572" s="64" t="s">
        <v>3187</v>
      </c>
      <c r="K1572" s="1940" t="s">
        <v>7174</v>
      </c>
      <c r="L1572" s="1940" t="s">
        <v>9216</v>
      </c>
      <c r="M1572" t="s">
        <v>12592</v>
      </c>
      <c r="N1572" t="s">
        <v>10931</v>
      </c>
      <c r="O1572" t="s">
        <v>7175</v>
      </c>
      <c r="P1572" s="614">
        <f>COUNTIF(EducPlans_кодНАЦИД_Спец[аФакСец],EducPlans_кодНАЦИД_Спец[[#This Row],[аФакСец]])</f>
        <v>1</v>
      </c>
    </row>
    <row r="1573" spans="3:16" x14ac:dyDescent="0.25">
      <c r="C1573" s="614">
        <v>1567</v>
      </c>
      <c r="D1573" s="614">
        <v>11118</v>
      </c>
      <c r="E1573" s="64" t="s">
        <v>1589</v>
      </c>
      <c r="F1573" s="64" t="s">
        <v>7176</v>
      </c>
      <c r="G1573" s="614" t="s">
        <v>48</v>
      </c>
      <c r="H1573" s="614" t="s">
        <v>682</v>
      </c>
      <c r="I1573" s="614" t="s">
        <v>1153</v>
      </c>
      <c r="J1573" s="64" t="s">
        <v>7177</v>
      </c>
      <c r="K1573" s="1940" t="s">
        <v>7178</v>
      </c>
      <c r="L1573" s="1940" t="s">
        <v>9217</v>
      </c>
      <c r="M1573" t="s">
        <v>12593</v>
      </c>
      <c r="N1573" t="s">
        <v>10932</v>
      </c>
      <c r="O1573" t="s">
        <v>7176</v>
      </c>
      <c r="P1573" s="614">
        <f>COUNTIF(EducPlans_кодНАЦИД_Спец[аФакСец],EducPlans_кодНАЦИД_Спец[[#This Row],[аФакСец]])</f>
        <v>1</v>
      </c>
    </row>
    <row r="1574" spans="3:16" x14ac:dyDescent="0.25">
      <c r="C1574" s="614">
        <v>1568</v>
      </c>
      <c r="D1574" s="614">
        <v>11118</v>
      </c>
      <c r="E1574" s="64" t="s">
        <v>1589</v>
      </c>
      <c r="F1574" s="64" t="s">
        <v>7179</v>
      </c>
      <c r="G1574" s="614" t="s">
        <v>48</v>
      </c>
      <c r="H1574" s="614" t="s">
        <v>682</v>
      </c>
      <c r="I1574" s="614" t="s">
        <v>1153</v>
      </c>
      <c r="J1574" s="64" t="s">
        <v>7180</v>
      </c>
      <c r="K1574" s="1940" t="s">
        <v>7178</v>
      </c>
      <c r="L1574" s="1940" t="s">
        <v>9218</v>
      </c>
      <c r="M1574" t="s">
        <v>12594</v>
      </c>
      <c r="N1574" t="s">
        <v>10933</v>
      </c>
      <c r="O1574" t="s">
        <v>7179</v>
      </c>
      <c r="P1574" s="614">
        <f>COUNTIF(EducPlans_кодНАЦИД_Спец[аФакСец],EducPlans_кодНАЦИД_Спец[[#This Row],[аФакСец]])</f>
        <v>1</v>
      </c>
    </row>
    <row r="1575" spans="3:16" x14ac:dyDescent="0.25">
      <c r="C1575" s="614">
        <v>1569</v>
      </c>
      <c r="D1575" s="614">
        <v>11107</v>
      </c>
      <c r="E1575" s="64" t="s">
        <v>1589</v>
      </c>
      <c r="F1575" s="64" t="s">
        <v>7181</v>
      </c>
      <c r="G1575" s="614" t="s">
        <v>48</v>
      </c>
      <c r="H1575" s="614" t="s">
        <v>682</v>
      </c>
      <c r="I1575" s="614" t="s">
        <v>1149</v>
      </c>
      <c r="J1575" s="64" t="s">
        <v>3185</v>
      </c>
      <c r="K1575" s="1940" t="s">
        <v>7182</v>
      </c>
      <c r="L1575" s="1940" t="s">
        <v>9219</v>
      </c>
      <c r="M1575" t="s">
        <v>12595</v>
      </c>
      <c r="N1575" t="s">
        <v>10934</v>
      </c>
      <c r="O1575" t="s">
        <v>7181</v>
      </c>
      <c r="P1575" s="614">
        <f>COUNTIF(EducPlans_кодНАЦИД_Спец[аФакСец],EducPlans_кодНАЦИД_Спец[[#This Row],[аФакСец]])</f>
        <v>1</v>
      </c>
    </row>
    <row r="1576" spans="3:16" x14ac:dyDescent="0.25">
      <c r="C1576" s="614">
        <v>1570</v>
      </c>
      <c r="D1576" s="614">
        <v>11107</v>
      </c>
      <c r="E1576" s="64" t="s">
        <v>1589</v>
      </c>
      <c r="F1576" s="64" t="s">
        <v>7183</v>
      </c>
      <c r="G1576" s="614" t="s">
        <v>48</v>
      </c>
      <c r="H1576" s="614" t="s">
        <v>682</v>
      </c>
      <c r="I1576" s="614" t="s">
        <v>1149</v>
      </c>
      <c r="J1576" s="64" t="s">
        <v>3186</v>
      </c>
      <c r="K1576" s="1940" t="s">
        <v>7182</v>
      </c>
      <c r="L1576" s="1940" t="s">
        <v>9220</v>
      </c>
      <c r="M1576" t="s">
        <v>12596</v>
      </c>
      <c r="N1576" t="s">
        <v>10935</v>
      </c>
      <c r="O1576" t="s">
        <v>7183</v>
      </c>
      <c r="P1576" s="614">
        <f>COUNTIF(EducPlans_кодНАЦИД_Спец[аФакСец],EducPlans_кодНАЦИД_Спец[[#This Row],[аФакСец]])</f>
        <v>1</v>
      </c>
    </row>
    <row r="1577" spans="3:16" x14ac:dyDescent="0.25">
      <c r="C1577" s="614">
        <v>1571</v>
      </c>
      <c r="D1577" s="614">
        <v>11107</v>
      </c>
      <c r="E1577" s="64" t="s">
        <v>1589</v>
      </c>
      <c r="F1577" s="64" t="s">
        <v>7184</v>
      </c>
      <c r="G1577" s="614" t="s">
        <v>48</v>
      </c>
      <c r="H1577" s="614" t="s">
        <v>682</v>
      </c>
      <c r="I1577" s="614" t="s">
        <v>1149</v>
      </c>
      <c r="J1577" s="64" t="s">
        <v>3184</v>
      </c>
      <c r="K1577" s="1940" t="s">
        <v>7182</v>
      </c>
      <c r="L1577" s="1940" t="s">
        <v>9221</v>
      </c>
      <c r="M1577" t="s">
        <v>12597</v>
      </c>
      <c r="N1577" t="s">
        <v>10936</v>
      </c>
      <c r="O1577" t="s">
        <v>7184</v>
      </c>
      <c r="P1577" s="614">
        <f>COUNTIF(EducPlans_кодНАЦИД_Спец[аФакСец],EducPlans_кодНАЦИД_Спец[[#This Row],[аФакСец]])</f>
        <v>1</v>
      </c>
    </row>
    <row r="1578" spans="3:16" x14ac:dyDescent="0.25">
      <c r="C1578" s="614">
        <v>1572</v>
      </c>
      <c r="D1578" s="614">
        <v>11119</v>
      </c>
      <c r="E1578" s="64" t="s">
        <v>1589</v>
      </c>
      <c r="F1578" s="64" t="s">
        <v>7185</v>
      </c>
      <c r="G1578" s="614" t="s">
        <v>48</v>
      </c>
      <c r="H1578" s="614" t="s">
        <v>682</v>
      </c>
      <c r="I1578" s="614" t="s">
        <v>1149</v>
      </c>
      <c r="J1578" s="64" t="s">
        <v>7186</v>
      </c>
      <c r="K1578" s="1940" t="s">
        <v>7187</v>
      </c>
      <c r="L1578" s="1940" t="s">
        <v>9222</v>
      </c>
      <c r="M1578" t="s">
        <v>12598</v>
      </c>
      <c r="N1578" t="s">
        <v>10937</v>
      </c>
      <c r="O1578" t="s">
        <v>7185</v>
      </c>
      <c r="P1578" s="614">
        <f>COUNTIF(EducPlans_кодНАЦИД_Спец[аФакСец],EducPlans_кодНАЦИД_Спец[[#This Row],[аФакСец]])</f>
        <v>1</v>
      </c>
    </row>
    <row r="1579" spans="3:16" x14ac:dyDescent="0.25">
      <c r="C1579" s="614">
        <v>1573</v>
      </c>
      <c r="D1579" s="614">
        <v>11168</v>
      </c>
      <c r="E1579" s="64" t="s">
        <v>1591</v>
      </c>
      <c r="F1579" s="64" t="s">
        <v>7188</v>
      </c>
      <c r="G1579" s="614" t="s">
        <v>48</v>
      </c>
      <c r="H1579" s="614" t="s">
        <v>682</v>
      </c>
      <c r="I1579" s="614" t="s">
        <v>1149</v>
      </c>
      <c r="J1579" s="64" t="s">
        <v>7189</v>
      </c>
      <c r="K1579" s="1940" t="s">
        <v>7190</v>
      </c>
      <c r="L1579" s="1940" t="s">
        <v>9223</v>
      </c>
      <c r="M1579" t="s">
        <v>12599</v>
      </c>
      <c r="N1579" t="s">
        <v>10938</v>
      </c>
      <c r="O1579" t="s">
        <v>7188</v>
      </c>
      <c r="P1579" s="614">
        <f>COUNTIF(EducPlans_кодНАЦИД_Спец[аФакСец],EducPlans_кодНАЦИД_Спец[[#This Row],[аФакСец]])</f>
        <v>1</v>
      </c>
    </row>
    <row r="1580" spans="3:16" x14ac:dyDescent="0.25">
      <c r="C1580" s="614">
        <v>1574</v>
      </c>
      <c r="D1580" s="614">
        <v>11392</v>
      </c>
      <c r="E1580" s="64" t="s">
        <v>1479</v>
      </c>
      <c r="F1580" s="64" t="s">
        <v>7191</v>
      </c>
      <c r="G1580" s="614" t="s">
        <v>647</v>
      </c>
      <c r="H1580" s="614" t="s">
        <v>682</v>
      </c>
      <c r="I1580" s="614" t="s">
        <v>1153</v>
      </c>
      <c r="J1580" s="64" t="s">
        <v>3964</v>
      </c>
      <c r="K1580" s="1940" t="s">
        <v>7192</v>
      </c>
      <c r="L1580" s="1940" t="s">
        <v>9224</v>
      </c>
      <c r="M1580" t="s">
        <v>12600</v>
      </c>
      <c r="N1580" t="s">
        <v>10939</v>
      </c>
      <c r="O1580" t="s">
        <v>7191</v>
      </c>
      <c r="P1580" s="614">
        <f>COUNTIF(EducPlans_кодНАЦИД_Спец[аФакСец],EducPlans_кодНАЦИД_Спец[[#This Row],[аФакСец]])</f>
        <v>1</v>
      </c>
    </row>
    <row r="1581" spans="3:16" x14ac:dyDescent="0.25">
      <c r="C1581" s="614">
        <v>1575</v>
      </c>
      <c r="D1581" s="614">
        <v>11392</v>
      </c>
      <c r="E1581" s="64" t="s">
        <v>1479</v>
      </c>
      <c r="F1581" s="64" t="s">
        <v>7193</v>
      </c>
      <c r="G1581" s="614" t="s">
        <v>647</v>
      </c>
      <c r="H1581" s="614" t="s">
        <v>682</v>
      </c>
      <c r="I1581" s="614" t="s">
        <v>1153</v>
      </c>
      <c r="J1581" s="64" t="s">
        <v>3963</v>
      </c>
      <c r="K1581" s="1940" t="s">
        <v>7192</v>
      </c>
      <c r="L1581" s="1940" t="s">
        <v>9225</v>
      </c>
      <c r="M1581" t="s">
        <v>12601</v>
      </c>
      <c r="N1581" t="s">
        <v>10940</v>
      </c>
      <c r="O1581" t="s">
        <v>7193</v>
      </c>
      <c r="P1581" s="614">
        <f>COUNTIF(EducPlans_кодНАЦИД_Спец[аФакСец],EducPlans_кодНАЦИД_Спец[[#This Row],[аФакСец]])</f>
        <v>2</v>
      </c>
    </row>
    <row r="1582" spans="3:16" x14ac:dyDescent="0.25">
      <c r="C1582" s="614">
        <v>1576</v>
      </c>
      <c r="D1582" s="614">
        <v>11393</v>
      </c>
      <c r="E1582" s="64" t="s">
        <v>1479</v>
      </c>
      <c r="F1582" s="64" t="s">
        <v>7194</v>
      </c>
      <c r="G1582" s="614" t="s">
        <v>647</v>
      </c>
      <c r="H1582" s="614" t="s">
        <v>682</v>
      </c>
      <c r="I1582" s="614" t="s">
        <v>1149</v>
      </c>
      <c r="J1582" s="64" t="s">
        <v>3961</v>
      </c>
      <c r="K1582" s="1940" t="s">
        <v>7195</v>
      </c>
      <c r="L1582" s="1940" t="s">
        <v>9226</v>
      </c>
      <c r="M1582" t="s">
        <v>12602</v>
      </c>
      <c r="N1582" t="s">
        <v>10941</v>
      </c>
      <c r="O1582" t="s">
        <v>7194</v>
      </c>
      <c r="P1582" s="614">
        <f>COUNTIF(EducPlans_кодНАЦИД_Спец[аФакСец],EducPlans_кодНАЦИД_Спец[[#This Row],[аФакСец]])</f>
        <v>1</v>
      </c>
    </row>
    <row r="1583" spans="3:16" x14ac:dyDescent="0.25">
      <c r="C1583" s="614">
        <v>1577</v>
      </c>
      <c r="D1583" s="614">
        <v>11393</v>
      </c>
      <c r="E1583" s="64" t="s">
        <v>1479</v>
      </c>
      <c r="F1583" s="64" t="s">
        <v>7196</v>
      </c>
      <c r="G1583" s="614" t="s">
        <v>647</v>
      </c>
      <c r="H1583" s="614" t="s">
        <v>682</v>
      </c>
      <c r="I1583" s="614" t="s">
        <v>1149</v>
      </c>
      <c r="J1583" s="64" t="s">
        <v>3962</v>
      </c>
      <c r="K1583" s="1940" t="s">
        <v>7195</v>
      </c>
      <c r="L1583" s="1940" t="s">
        <v>9227</v>
      </c>
      <c r="M1583" t="s">
        <v>12603</v>
      </c>
      <c r="N1583" t="s">
        <v>10942</v>
      </c>
      <c r="O1583" t="s">
        <v>7196</v>
      </c>
      <c r="P1583" s="614">
        <f>COUNTIF(EducPlans_кодНАЦИД_Спец[аФакСец],EducPlans_кодНАЦИД_Спец[[#This Row],[аФакСец]])</f>
        <v>1</v>
      </c>
    </row>
    <row r="1584" spans="3:16" x14ac:dyDescent="0.25">
      <c r="C1584" s="614">
        <v>1578</v>
      </c>
      <c r="D1584" s="614">
        <v>11419</v>
      </c>
      <c r="E1584" s="64" t="s">
        <v>1480</v>
      </c>
      <c r="F1584" s="64" t="s">
        <v>7197</v>
      </c>
      <c r="G1584" s="614" t="s">
        <v>647</v>
      </c>
      <c r="H1584" s="614" t="s">
        <v>682</v>
      </c>
      <c r="I1584" s="614" t="s">
        <v>1153</v>
      </c>
      <c r="J1584" s="64" t="s">
        <v>3963</v>
      </c>
      <c r="K1584" s="1940" t="s">
        <v>7198</v>
      </c>
      <c r="L1584" s="1940" t="s">
        <v>9225</v>
      </c>
      <c r="M1584" t="s">
        <v>12604</v>
      </c>
      <c r="N1584" t="s">
        <v>10940</v>
      </c>
      <c r="O1584" t="s">
        <v>7197</v>
      </c>
      <c r="P1584" s="614">
        <f>COUNTIF(EducPlans_кодНАЦИД_Спец[аФакСец],EducPlans_кодНАЦИД_Спец[[#This Row],[аФакСец]])</f>
        <v>2</v>
      </c>
    </row>
    <row r="1585" spans="3:16" x14ac:dyDescent="0.25">
      <c r="C1585" s="614">
        <v>1579</v>
      </c>
      <c r="D1585" s="614">
        <v>11419</v>
      </c>
      <c r="E1585" s="64" t="s">
        <v>1480</v>
      </c>
      <c r="F1585" s="64" t="s">
        <v>7199</v>
      </c>
      <c r="G1585" s="614" t="s">
        <v>647</v>
      </c>
      <c r="H1585" s="614" t="s">
        <v>682</v>
      </c>
      <c r="I1585" s="614" t="s">
        <v>1153</v>
      </c>
      <c r="J1585" s="64" t="s">
        <v>3965</v>
      </c>
      <c r="K1585" s="1940" t="s">
        <v>7198</v>
      </c>
      <c r="L1585" s="1940" t="s">
        <v>9228</v>
      </c>
      <c r="M1585" t="s">
        <v>12605</v>
      </c>
      <c r="N1585" t="s">
        <v>10943</v>
      </c>
      <c r="O1585" t="s">
        <v>7199</v>
      </c>
      <c r="P1585" s="614">
        <f>COUNTIF(EducPlans_кодНАЦИД_Спец[аФакСец],EducPlans_кодНАЦИД_Спец[[#This Row],[аФакСец]])</f>
        <v>1</v>
      </c>
    </row>
    <row r="1586" spans="3:16" x14ac:dyDescent="0.25">
      <c r="C1586" s="614">
        <v>1580</v>
      </c>
      <c r="D1586" s="614">
        <v>11397</v>
      </c>
      <c r="E1586" s="64" t="s">
        <v>1481</v>
      </c>
      <c r="F1586" s="64" t="s">
        <v>7200</v>
      </c>
      <c r="G1586" s="614" t="s">
        <v>647</v>
      </c>
      <c r="H1586" s="614" t="s">
        <v>682</v>
      </c>
      <c r="I1586" s="614" t="s">
        <v>1153</v>
      </c>
      <c r="J1586" s="64" t="s">
        <v>3966</v>
      </c>
      <c r="K1586" s="1940" t="s">
        <v>7201</v>
      </c>
      <c r="L1586" s="1940" t="s">
        <v>9229</v>
      </c>
      <c r="M1586" t="s">
        <v>12606</v>
      </c>
      <c r="N1586" t="s">
        <v>10944</v>
      </c>
      <c r="O1586" t="s">
        <v>7200</v>
      </c>
      <c r="P1586" s="614">
        <f>COUNTIF(EducPlans_кодНАЦИД_Спец[аФакСец],EducPlans_кодНАЦИД_Спец[[#This Row],[аФакСец]])</f>
        <v>1</v>
      </c>
    </row>
    <row r="1587" spans="3:16" x14ac:dyDescent="0.25">
      <c r="C1587" s="614">
        <v>1581</v>
      </c>
      <c r="D1587" s="614">
        <v>11707</v>
      </c>
      <c r="E1587" s="64" t="s">
        <v>2046</v>
      </c>
      <c r="F1587" s="64" t="s">
        <v>7202</v>
      </c>
      <c r="G1587" s="614" t="s">
        <v>26</v>
      </c>
      <c r="H1587" s="614" t="s">
        <v>681</v>
      </c>
      <c r="I1587" s="614" t="s">
        <v>1153</v>
      </c>
      <c r="J1587" s="64" t="s">
        <v>3749</v>
      </c>
      <c r="K1587" s="1940" t="s">
        <v>7203</v>
      </c>
      <c r="L1587" s="1940" t="s">
        <v>9230</v>
      </c>
      <c r="M1587" t="s">
        <v>12607</v>
      </c>
      <c r="N1587" t="s">
        <v>10945</v>
      </c>
      <c r="O1587" t="s">
        <v>7202</v>
      </c>
      <c r="P1587" s="614">
        <f>COUNTIF(EducPlans_кодНАЦИД_Спец[аФакСец],EducPlans_кодНАЦИД_Спец[[#This Row],[аФакСец]])</f>
        <v>1</v>
      </c>
    </row>
    <row r="1588" spans="3:16" x14ac:dyDescent="0.25">
      <c r="C1588" s="614">
        <v>1582</v>
      </c>
      <c r="D1588" s="614">
        <v>12835</v>
      </c>
      <c r="E1588" s="64" t="s">
        <v>2048</v>
      </c>
      <c r="F1588" s="64" t="s">
        <v>7204</v>
      </c>
      <c r="G1588" s="614" t="s">
        <v>626</v>
      </c>
      <c r="H1588" s="614" t="s">
        <v>682</v>
      </c>
      <c r="I1588" s="614" t="s">
        <v>1153</v>
      </c>
      <c r="J1588" s="64" t="s">
        <v>3386</v>
      </c>
      <c r="K1588" s="1940" t="s">
        <v>7205</v>
      </c>
      <c r="L1588" s="1940" t="s">
        <v>9231</v>
      </c>
      <c r="M1588" t="s">
        <v>12608</v>
      </c>
      <c r="N1588" t="s">
        <v>10946</v>
      </c>
      <c r="O1588" t="s">
        <v>7204</v>
      </c>
      <c r="P1588" s="614">
        <f>COUNTIF(EducPlans_кодНАЦИД_Спец[аФакСец],EducPlans_кодНАЦИД_Спец[[#This Row],[аФакСец]])</f>
        <v>1</v>
      </c>
    </row>
    <row r="1589" spans="3:16" x14ac:dyDescent="0.25">
      <c r="C1589" s="614">
        <v>1583</v>
      </c>
      <c r="D1589" s="614">
        <v>12836</v>
      </c>
      <c r="E1589" s="64" t="s">
        <v>2048</v>
      </c>
      <c r="F1589" s="64" t="s">
        <v>7206</v>
      </c>
      <c r="G1589" s="614" t="s">
        <v>626</v>
      </c>
      <c r="H1589" s="614" t="s">
        <v>682</v>
      </c>
      <c r="I1589" s="614" t="s">
        <v>1153</v>
      </c>
      <c r="J1589" s="64" t="s">
        <v>3385</v>
      </c>
      <c r="K1589" s="1940" t="s">
        <v>7207</v>
      </c>
      <c r="L1589" s="1940" t="s">
        <v>9232</v>
      </c>
      <c r="M1589" t="s">
        <v>12609</v>
      </c>
      <c r="N1589" t="s">
        <v>10947</v>
      </c>
      <c r="O1589" t="s">
        <v>7206</v>
      </c>
      <c r="P1589" s="614">
        <f>COUNTIF(EducPlans_кодНАЦИД_Спец[аФакСец],EducPlans_кодНАЦИД_Спец[[#This Row],[аФакСец]])</f>
        <v>1</v>
      </c>
    </row>
    <row r="1590" spans="3:16" x14ac:dyDescent="0.25">
      <c r="C1590" s="614">
        <v>1584</v>
      </c>
      <c r="D1590" s="614">
        <v>12878</v>
      </c>
      <c r="E1590" s="64" t="s">
        <v>2049</v>
      </c>
      <c r="F1590" s="64" t="s">
        <v>7208</v>
      </c>
      <c r="G1590" s="614" t="s">
        <v>626</v>
      </c>
      <c r="H1590" s="614" t="s">
        <v>682</v>
      </c>
      <c r="I1590" s="614" t="s">
        <v>1153</v>
      </c>
      <c r="J1590" s="64" t="s">
        <v>3387</v>
      </c>
      <c r="K1590" s="1940" t="s">
        <v>7209</v>
      </c>
      <c r="L1590" s="1940" t="s">
        <v>9233</v>
      </c>
      <c r="M1590" t="s">
        <v>12610</v>
      </c>
      <c r="N1590" t="s">
        <v>10948</v>
      </c>
      <c r="O1590" t="s">
        <v>7208</v>
      </c>
      <c r="P1590" s="614">
        <f>COUNTIF(EducPlans_кодНАЦИД_Спец[аФакСец],EducPlans_кодНАЦИД_Спец[[#This Row],[аФакСец]])</f>
        <v>1</v>
      </c>
    </row>
    <row r="1591" spans="3:16" x14ac:dyDescent="0.25">
      <c r="C1591" s="614">
        <v>1585</v>
      </c>
      <c r="D1591" s="614">
        <v>12878</v>
      </c>
      <c r="E1591" s="64" t="s">
        <v>2049</v>
      </c>
      <c r="F1591" s="64" t="s">
        <v>7210</v>
      </c>
      <c r="G1591" s="614" t="s">
        <v>626</v>
      </c>
      <c r="H1591" s="614" t="s">
        <v>682</v>
      </c>
      <c r="I1591" s="614" t="s">
        <v>1153</v>
      </c>
      <c r="J1591" s="64" t="s">
        <v>3388</v>
      </c>
      <c r="K1591" s="1940" t="s">
        <v>7209</v>
      </c>
      <c r="L1591" s="1940" t="s">
        <v>9234</v>
      </c>
      <c r="M1591" t="s">
        <v>12611</v>
      </c>
      <c r="N1591" t="s">
        <v>10949</v>
      </c>
      <c r="O1591" t="s">
        <v>7210</v>
      </c>
      <c r="P1591" s="614">
        <f>COUNTIF(EducPlans_кодНАЦИД_Спец[аФакСец],EducPlans_кодНАЦИД_Спец[[#This Row],[аФакСец]])</f>
        <v>1</v>
      </c>
    </row>
    <row r="1592" spans="3:16" x14ac:dyDescent="0.25">
      <c r="C1592" s="614">
        <v>1586</v>
      </c>
      <c r="D1592" s="614">
        <v>12848</v>
      </c>
      <c r="E1592" s="64" t="s">
        <v>2050</v>
      </c>
      <c r="F1592" s="64" t="s">
        <v>7211</v>
      </c>
      <c r="G1592" s="614" t="s">
        <v>626</v>
      </c>
      <c r="H1592" s="614" t="s">
        <v>682</v>
      </c>
      <c r="I1592" s="614" t="s">
        <v>1153</v>
      </c>
      <c r="J1592" s="64" t="s">
        <v>3389</v>
      </c>
      <c r="K1592" s="1940" t="s">
        <v>7212</v>
      </c>
      <c r="L1592" s="1940" t="s">
        <v>9235</v>
      </c>
      <c r="M1592" t="s">
        <v>12612</v>
      </c>
      <c r="N1592" t="s">
        <v>10950</v>
      </c>
      <c r="O1592" t="s">
        <v>7211</v>
      </c>
      <c r="P1592" s="614">
        <f>COUNTIF(EducPlans_кодНАЦИД_Спец[аФакСец],EducPlans_кодНАЦИД_Спец[[#This Row],[аФакСец]])</f>
        <v>1</v>
      </c>
    </row>
    <row r="1593" spans="3:16" x14ac:dyDescent="0.25">
      <c r="C1593" s="614">
        <v>1587</v>
      </c>
      <c r="D1593" s="614">
        <v>12879</v>
      </c>
      <c r="E1593" s="64" t="s">
        <v>2051</v>
      </c>
      <c r="F1593" s="64" t="s">
        <v>7213</v>
      </c>
      <c r="G1593" s="614" t="s">
        <v>626</v>
      </c>
      <c r="H1593" s="614" t="s">
        <v>682</v>
      </c>
      <c r="I1593" s="614" t="s">
        <v>1153</v>
      </c>
      <c r="J1593" s="64" t="s">
        <v>3390</v>
      </c>
      <c r="K1593" s="1940" t="s">
        <v>7214</v>
      </c>
      <c r="L1593" s="1940" t="s">
        <v>9236</v>
      </c>
      <c r="M1593" t="s">
        <v>12613</v>
      </c>
      <c r="N1593" t="s">
        <v>10951</v>
      </c>
      <c r="O1593" t="s">
        <v>7213</v>
      </c>
      <c r="P1593" s="614">
        <f>COUNTIF(EducPlans_кодНАЦИД_Спец[аФакСец],EducPlans_кодНАЦИД_Спец[[#This Row],[аФакСец]])</f>
        <v>1</v>
      </c>
    </row>
    <row r="1594" spans="3:16" x14ac:dyDescent="0.25">
      <c r="C1594" s="614">
        <v>1588</v>
      </c>
      <c r="D1594" s="614">
        <v>12879</v>
      </c>
      <c r="E1594" s="64" t="s">
        <v>2051</v>
      </c>
      <c r="F1594" s="64" t="s">
        <v>7215</v>
      </c>
      <c r="G1594" s="614" t="s">
        <v>626</v>
      </c>
      <c r="H1594" s="614" t="s">
        <v>682</v>
      </c>
      <c r="I1594" s="614" t="s">
        <v>1153</v>
      </c>
      <c r="J1594" s="64" t="s">
        <v>3391</v>
      </c>
      <c r="K1594" s="1940" t="s">
        <v>7214</v>
      </c>
      <c r="L1594" s="1940" t="s">
        <v>9237</v>
      </c>
      <c r="M1594" t="s">
        <v>12614</v>
      </c>
      <c r="N1594" t="s">
        <v>10952</v>
      </c>
      <c r="O1594" t="s">
        <v>7215</v>
      </c>
      <c r="P1594" s="614">
        <f>COUNTIF(EducPlans_кодНАЦИД_Спец[аФакСец],EducPlans_кодНАЦИД_Спец[[#This Row],[аФакСец]])</f>
        <v>1</v>
      </c>
    </row>
    <row r="1595" spans="3:16" x14ac:dyDescent="0.25">
      <c r="C1595" s="614">
        <v>1589</v>
      </c>
      <c r="D1595" s="614">
        <v>12849</v>
      </c>
      <c r="E1595" s="64" t="s">
        <v>2052</v>
      </c>
      <c r="F1595" s="64" t="s">
        <v>7216</v>
      </c>
      <c r="G1595" s="614" t="s">
        <v>626</v>
      </c>
      <c r="H1595" s="614" t="s">
        <v>682</v>
      </c>
      <c r="I1595" s="614" t="s">
        <v>1153</v>
      </c>
      <c r="J1595" s="64" t="s">
        <v>3393</v>
      </c>
      <c r="K1595" s="1940" t="s">
        <v>7217</v>
      </c>
      <c r="L1595" s="1940" t="s">
        <v>9238</v>
      </c>
      <c r="M1595" t="s">
        <v>12615</v>
      </c>
      <c r="N1595" t="s">
        <v>10953</v>
      </c>
      <c r="O1595" t="s">
        <v>7216</v>
      </c>
      <c r="P1595" s="614">
        <f>COUNTIF(EducPlans_кодНАЦИД_Спец[аФакСец],EducPlans_кодНАЦИД_Спец[[#This Row],[аФакСец]])</f>
        <v>1</v>
      </c>
    </row>
    <row r="1596" spans="3:16" x14ac:dyDescent="0.25">
      <c r="C1596" s="614">
        <v>1590</v>
      </c>
      <c r="D1596" s="614">
        <v>12849</v>
      </c>
      <c r="E1596" s="64" t="s">
        <v>2052</v>
      </c>
      <c r="F1596" s="64" t="s">
        <v>7218</v>
      </c>
      <c r="G1596" s="614" t="s">
        <v>626</v>
      </c>
      <c r="H1596" s="614" t="s">
        <v>682</v>
      </c>
      <c r="I1596" s="614" t="s">
        <v>1153</v>
      </c>
      <c r="J1596" s="64" t="s">
        <v>3394</v>
      </c>
      <c r="K1596" s="1940" t="s">
        <v>7217</v>
      </c>
      <c r="L1596" s="1940" t="s">
        <v>9239</v>
      </c>
      <c r="M1596" t="s">
        <v>12616</v>
      </c>
      <c r="N1596" t="s">
        <v>10954</v>
      </c>
      <c r="O1596" t="s">
        <v>7218</v>
      </c>
      <c r="P1596" s="614">
        <f>COUNTIF(EducPlans_кодНАЦИД_Спец[аФакСец],EducPlans_кодНАЦИД_Спец[[#This Row],[аФакСец]])</f>
        <v>1</v>
      </c>
    </row>
    <row r="1597" spans="3:16" x14ac:dyDescent="0.25">
      <c r="C1597" s="614">
        <v>1591</v>
      </c>
      <c r="D1597" s="614">
        <v>12880</v>
      </c>
      <c r="E1597" s="64" t="s">
        <v>2053</v>
      </c>
      <c r="F1597" s="64" t="s">
        <v>7219</v>
      </c>
      <c r="G1597" s="614" t="s">
        <v>626</v>
      </c>
      <c r="H1597" s="614" t="s">
        <v>682</v>
      </c>
      <c r="I1597" s="614" t="s">
        <v>1153</v>
      </c>
      <c r="J1597" s="64" t="s">
        <v>3396</v>
      </c>
      <c r="K1597" s="1940" t="s">
        <v>7220</v>
      </c>
      <c r="L1597" s="1940" t="s">
        <v>9240</v>
      </c>
      <c r="M1597" t="s">
        <v>12617</v>
      </c>
      <c r="N1597" t="s">
        <v>10955</v>
      </c>
      <c r="O1597" t="s">
        <v>7219</v>
      </c>
      <c r="P1597" s="614">
        <f>COUNTIF(EducPlans_кодНАЦИД_Спец[аФакСец],EducPlans_кодНАЦИД_Спец[[#This Row],[аФакСец]])</f>
        <v>1</v>
      </c>
    </row>
    <row r="1598" spans="3:16" x14ac:dyDescent="0.25">
      <c r="C1598" s="614">
        <v>1592</v>
      </c>
      <c r="D1598" s="614">
        <v>12880</v>
      </c>
      <c r="E1598" s="64" t="s">
        <v>2053</v>
      </c>
      <c r="F1598" s="64" t="s">
        <v>7221</v>
      </c>
      <c r="G1598" s="614" t="s">
        <v>626</v>
      </c>
      <c r="H1598" s="614" t="s">
        <v>682</v>
      </c>
      <c r="I1598" s="614" t="s">
        <v>1153</v>
      </c>
      <c r="J1598" s="64" t="s">
        <v>3397</v>
      </c>
      <c r="K1598" s="1940" t="s">
        <v>7220</v>
      </c>
      <c r="L1598" s="1940" t="s">
        <v>9241</v>
      </c>
      <c r="M1598" t="s">
        <v>12618</v>
      </c>
      <c r="N1598" t="s">
        <v>10956</v>
      </c>
      <c r="O1598" t="s">
        <v>7221</v>
      </c>
      <c r="P1598" s="614">
        <f>COUNTIF(EducPlans_кодНАЦИД_Спец[аФакСец],EducPlans_кодНАЦИД_Спец[[#This Row],[аФакСец]])</f>
        <v>1</v>
      </c>
    </row>
    <row r="1599" spans="3:16" x14ac:dyDescent="0.25">
      <c r="C1599" s="614">
        <v>1593</v>
      </c>
      <c r="D1599" s="614">
        <v>12738</v>
      </c>
      <c r="E1599" s="64" t="s">
        <v>1920</v>
      </c>
      <c r="F1599" s="64" t="s">
        <v>7222</v>
      </c>
      <c r="G1599" s="614" t="s">
        <v>626</v>
      </c>
      <c r="H1599" s="614" t="s">
        <v>681</v>
      </c>
      <c r="I1599" s="614" t="s">
        <v>1153</v>
      </c>
      <c r="J1599" s="64" t="s">
        <v>3399</v>
      </c>
      <c r="K1599" s="1940" t="s">
        <v>7223</v>
      </c>
      <c r="L1599" s="1940" t="s">
        <v>9242</v>
      </c>
      <c r="M1599" t="s">
        <v>12619</v>
      </c>
      <c r="N1599" t="s">
        <v>10957</v>
      </c>
      <c r="O1599" t="s">
        <v>7222</v>
      </c>
      <c r="P1599" s="614">
        <f>COUNTIF(EducPlans_кодНАЦИД_Спец[аФакСец],EducPlans_кодНАЦИД_Спец[[#This Row],[аФакСец]])</f>
        <v>1</v>
      </c>
    </row>
    <row r="1600" spans="3:16" x14ac:dyDescent="0.25">
      <c r="C1600" s="614">
        <v>1594</v>
      </c>
      <c r="D1600" s="614">
        <v>12738</v>
      </c>
      <c r="E1600" s="64" t="s">
        <v>1920</v>
      </c>
      <c r="F1600" s="64" t="s">
        <v>7224</v>
      </c>
      <c r="G1600" s="614" t="s">
        <v>626</v>
      </c>
      <c r="H1600" s="614" t="s">
        <v>681</v>
      </c>
      <c r="I1600" s="614" t="s">
        <v>1153</v>
      </c>
      <c r="J1600" s="64" t="s">
        <v>3401</v>
      </c>
      <c r="K1600" s="1940" t="s">
        <v>7223</v>
      </c>
      <c r="L1600" s="1940" t="s">
        <v>9243</v>
      </c>
      <c r="M1600" t="s">
        <v>12620</v>
      </c>
      <c r="N1600" t="s">
        <v>10958</v>
      </c>
      <c r="O1600" t="s">
        <v>7224</v>
      </c>
      <c r="P1600" s="614">
        <f>COUNTIF(EducPlans_кодНАЦИД_Спец[аФакСец],EducPlans_кодНАЦИД_Спец[[#This Row],[аФакСец]])</f>
        <v>1</v>
      </c>
    </row>
    <row r="1601" spans="3:16" x14ac:dyDescent="0.25">
      <c r="C1601" s="614">
        <v>1595</v>
      </c>
      <c r="D1601" s="614">
        <v>12738</v>
      </c>
      <c r="E1601" s="64" t="s">
        <v>1920</v>
      </c>
      <c r="F1601" s="64" t="s">
        <v>7225</v>
      </c>
      <c r="G1601" s="614" t="s">
        <v>626</v>
      </c>
      <c r="H1601" s="614" t="s">
        <v>681</v>
      </c>
      <c r="I1601" s="614" t="s">
        <v>1153</v>
      </c>
      <c r="J1601" s="64" t="s">
        <v>3398</v>
      </c>
      <c r="K1601" s="1940" t="s">
        <v>7223</v>
      </c>
      <c r="L1601" s="1940" t="s">
        <v>9244</v>
      </c>
      <c r="M1601" t="s">
        <v>12621</v>
      </c>
      <c r="N1601" t="s">
        <v>10959</v>
      </c>
      <c r="O1601" t="s">
        <v>7225</v>
      </c>
      <c r="P1601" s="614">
        <f>COUNTIF(EducPlans_кодНАЦИД_Спец[аФакСец],EducPlans_кодНАЦИД_Спец[[#This Row],[аФакСец]])</f>
        <v>1</v>
      </c>
    </row>
    <row r="1602" spans="3:16" x14ac:dyDescent="0.25">
      <c r="C1602" s="614">
        <v>1596</v>
      </c>
      <c r="D1602" s="614">
        <v>12738</v>
      </c>
      <c r="E1602" s="64" t="s">
        <v>1920</v>
      </c>
      <c r="F1602" s="64" t="s">
        <v>7226</v>
      </c>
      <c r="G1602" s="614" t="s">
        <v>626</v>
      </c>
      <c r="H1602" s="614" t="s">
        <v>681</v>
      </c>
      <c r="I1602" s="614" t="s">
        <v>1153</v>
      </c>
      <c r="J1602" s="64" t="s">
        <v>3402</v>
      </c>
      <c r="K1602" s="1940" t="s">
        <v>7223</v>
      </c>
      <c r="L1602" s="1940" t="s">
        <v>9245</v>
      </c>
      <c r="M1602" t="s">
        <v>12622</v>
      </c>
      <c r="N1602" t="s">
        <v>10960</v>
      </c>
      <c r="O1602" t="s">
        <v>7226</v>
      </c>
      <c r="P1602" s="614">
        <f>COUNTIF(EducPlans_кодНАЦИД_Спец[аФакСец],EducPlans_кодНАЦИД_Спец[[#This Row],[аФакСец]])</f>
        <v>1</v>
      </c>
    </row>
    <row r="1603" spans="3:16" x14ac:dyDescent="0.25">
      <c r="C1603" s="614">
        <v>1597</v>
      </c>
      <c r="D1603" s="614">
        <v>12738</v>
      </c>
      <c r="E1603" s="64" t="s">
        <v>1920</v>
      </c>
      <c r="F1603" s="64" t="s">
        <v>7227</v>
      </c>
      <c r="G1603" s="614" t="s">
        <v>626</v>
      </c>
      <c r="H1603" s="614" t="s">
        <v>681</v>
      </c>
      <c r="I1603" s="614" t="s">
        <v>1153</v>
      </c>
      <c r="J1603" s="64" t="s">
        <v>3403</v>
      </c>
      <c r="K1603" s="1940" t="s">
        <v>7223</v>
      </c>
      <c r="L1603" s="1940" t="s">
        <v>9246</v>
      </c>
      <c r="M1603" t="s">
        <v>12623</v>
      </c>
      <c r="N1603" t="s">
        <v>10961</v>
      </c>
      <c r="O1603" t="s">
        <v>7227</v>
      </c>
      <c r="P1603" s="614">
        <f>COUNTIF(EducPlans_кодНАЦИД_Спец[аФакСец],EducPlans_кодНАЦИД_Спец[[#This Row],[аФакСец]])</f>
        <v>1</v>
      </c>
    </row>
    <row r="1604" spans="3:16" x14ac:dyDescent="0.25">
      <c r="C1604" s="614">
        <v>1598</v>
      </c>
      <c r="D1604" s="614">
        <v>12738</v>
      </c>
      <c r="E1604" s="64" t="s">
        <v>1920</v>
      </c>
      <c r="F1604" s="64" t="s">
        <v>7228</v>
      </c>
      <c r="G1604" s="614" t="s">
        <v>626</v>
      </c>
      <c r="H1604" s="614" t="s">
        <v>681</v>
      </c>
      <c r="I1604" s="614" t="s">
        <v>1153</v>
      </c>
      <c r="J1604" s="64" t="s">
        <v>3400</v>
      </c>
      <c r="K1604" s="1940" t="s">
        <v>7223</v>
      </c>
      <c r="L1604" s="1940" t="s">
        <v>9247</v>
      </c>
      <c r="M1604" t="s">
        <v>12624</v>
      </c>
      <c r="N1604" t="s">
        <v>10962</v>
      </c>
      <c r="O1604" t="s">
        <v>7228</v>
      </c>
      <c r="P1604" s="614">
        <f>COUNTIF(EducPlans_кодНАЦИД_Спец[аФакСец],EducPlans_кодНАЦИД_Спец[[#This Row],[аФакСец]])</f>
        <v>1</v>
      </c>
    </row>
    <row r="1605" spans="3:16" x14ac:dyDescent="0.25">
      <c r="C1605" s="614">
        <v>1599</v>
      </c>
      <c r="D1605" s="614">
        <v>12789</v>
      </c>
      <c r="E1605" s="64" t="s">
        <v>1924</v>
      </c>
      <c r="F1605" s="64" t="s">
        <v>7229</v>
      </c>
      <c r="G1605" s="614" t="s">
        <v>626</v>
      </c>
      <c r="H1605" s="614" t="s">
        <v>682</v>
      </c>
      <c r="I1605" s="614" t="s">
        <v>1153</v>
      </c>
      <c r="J1605" s="64" t="s">
        <v>7230</v>
      </c>
      <c r="K1605" s="1940" t="s">
        <v>7231</v>
      </c>
      <c r="L1605" s="1940" t="s">
        <v>9248</v>
      </c>
      <c r="M1605" t="s">
        <v>12625</v>
      </c>
      <c r="N1605" t="s">
        <v>10963</v>
      </c>
      <c r="O1605" t="s">
        <v>7229</v>
      </c>
      <c r="P1605" s="614">
        <f>COUNTIF(EducPlans_кодНАЦИД_Спец[аФакСец],EducPlans_кодНАЦИД_Спец[[#This Row],[аФакСец]])</f>
        <v>1</v>
      </c>
    </row>
    <row r="1606" spans="3:16" x14ac:dyDescent="0.25">
      <c r="C1606" s="614">
        <v>1600</v>
      </c>
      <c r="D1606" s="614">
        <v>711112</v>
      </c>
      <c r="E1606" s="64" t="s">
        <v>13033</v>
      </c>
      <c r="F1606" s="64" t="s">
        <v>13034</v>
      </c>
      <c r="G1606" s="614" t="s">
        <v>626</v>
      </c>
      <c r="H1606" s="614" t="s">
        <v>682</v>
      </c>
      <c r="I1606" s="614" t="s">
        <v>1153</v>
      </c>
      <c r="J1606" s="64" t="s">
        <v>13035</v>
      </c>
      <c r="K1606" s="1940" t="s">
        <v>13036</v>
      </c>
      <c r="L1606" s="1940" t="s">
        <v>13037</v>
      </c>
      <c r="M1606" t="s">
        <v>13038</v>
      </c>
      <c r="N1606" t="s">
        <v>13039</v>
      </c>
      <c r="O1606" t="s">
        <v>13034</v>
      </c>
      <c r="P1606" s="614">
        <f>COUNTIF(EducPlans_кодНАЦИД_Спец[аФакСец],EducPlans_кодНАЦИД_Спец[[#This Row],[аФакСец]])</f>
        <v>1</v>
      </c>
    </row>
    <row r="1607" spans="3:16" x14ac:dyDescent="0.25">
      <c r="C1607" s="614">
        <v>1601</v>
      </c>
      <c r="D1607" s="614">
        <v>711112</v>
      </c>
      <c r="E1607" s="64" t="s">
        <v>13033</v>
      </c>
      <c r="F1607" s="64" t="s">
        <v>13040</v>
      </c>
      <c r="G1607" s="614" t="s">
        <v>626</v>
      </c>
      <c r="H1607" s="614" t="s">
        <v>682</v>
      </c>
      <c r="I1607" s="614" t="s">
        <v>1153</v>
      </c>
      <c r="J1607" s="64" t="s">
        <v>13041</v>
      </c>
      <c r="K1607" s="1940" t="s">
        <v>13036</v>
      </c>
      <c r="L1607" s="1940" t="s">
        <v>13042</v>
      </c>
      <c r="M1607" t="s">
        <v>13043</v>
      </c>
      <c r="N1607" t="s">
        <v>13044</v>
      </c>
      <c r="O1607" t="s">
        <v>13040</v>
      </c>
      <c r="P1607" s="614">
        <f>COUNTIF(EducPlans_кодНАЦИД_Спец[аФакСец],EducPlans_кодНАЦИД_Спец[[#This Row],[аФакСец]])</f>
        <v>1</v>
      </c>
    </row>
    <row r="1608" spans="3:16" x14ac:dyDescent="0.25">
      <c r="C1608" s="614">
        <v>1602</v>
      </c>
      <c r="D1608" s="614">
        <v>12247</v>
      </c>
      <c r="E1608" s="64" t="s">
        <v>2236</v>
      </c>
      <c r="F1608" s="64" t="s">
        <v>7232</v>
      </c>
      <c r="G1608" s="614" t="s">
        <v>31</v>
      </c>
      <c r="H1608" s="614" t="s">
        <v>682</v>
      </c>
      <c r="I1608" s="614" t="s">
        <v>1153</v>
      </c>
      <c r="J1608" s="64" t="s">
        <v>2970</v>
      </c>
      <c r="K1608" s="1940" t="s">
        <v>7233</v>
      </c>
      <c r="L1608" s="1940" t="s">
        <v>9249</v>
      </c>
      <c r="M1608" t="s">
        <v>12626</v>
      </c>
      <c r="N1608" t="s">
        <v>10964</v>
      </c>
      <c r="O1608" t="s">
        <v>7232</v>
      </c>
      <c r="P1608" s="614">
        <f>COUNTIF(EducPlans_кодНАЦИД_Спец[аФакСец],EducPlans_кодНАЦИД_Спец[[#This Row],[аФакСец]])</f>
        <v>1</v>
      </c>
    </row>
    <row r="1609" spans="3:16" x14ac:dyDescent="0.25">
      <c r="C1609" s="614">
        <v>1603</v>
      </c>
      <c r="D1609" s="614">
        <v>12891</v>
      </c>
      <c r="E1609" s="64" t="s">
        <v>13941</v>
      </c>
      <c r="F1609" s="64" t="s">
        <v>13942</v>
      </c>
      <c r="G1609" s="614" t="s">
        <v>626</v>
      </c>
      <c r="H1609" s="614" t="s">
        <v>682</v>
      </c>
      <c r="I1609" s="614" t="s">
        <v>1153</v>
      </c>
      <c r="J1609" s="64" t="s">
        <v>3404</v>
      </c>
      <c r="K1609" s="1940" t="s">
        <v>13943</v>
      </c>
      <c r="L1609" s="1940" t="s">
        <v>9250</v>
      </c>
      <c r="M1609" t="s">
        <v>13944</v>
      </c>
      <c r="N1609" t="s">
        <v>10965</v>
      </c>
      <c r="O1609" t="s">
        <v>13942</v>
      </c>
      <c r="P1609" s="614">
        <f>COUNTIF(EducPlans_кодНАЦИД_Спец[аФакСец],EducPlans_кодНАЦИД_Спец[[#This Row],[аФакСец]])</f>
        <v>1</v>
      </c>
    </row>
    <row r="1610" spans="3:16" x14ac:dyDescent="0.25">
      <c r="C1610" s="614">
        <v>1604</v>
      </c>
      <c r="D1610" s="614">
        <v>12891</v>
      </c>
      <c r="E1610" s="64" t="s">
        <v>13941</v>
      </c>
      <c r="F1610" s="64" t="s">
        <v>13945</v>
      </c>
      <c r="G1610" s="614" t="s">
        <v>626</v>
      </c>
      <c r="H1610" s="614" t="s">
        <v>682</v>
      </c>
      <c r="I1610" s="614" t="s">
        <v>1153</v>
      </c>
      <c r="J1610" s="64" t="s">
        <v>3405</v>
      </c>
      <c r="K1610" s="1940" t="s">
        <v>13943</v>
      </c>
      <c r="L1610" s="1940" t="s">
        <v>9251</v>
      </c>
      <c r="M1610" t="s">
        <v>13946</v>
      </c>
      <c r="N1610" t="s">
        <v>10966</v>
      </c>
      <c r="O1610" t="s">
        <v>13945</v>
      </c>
      <c r="P1610" s="614">
        <f>COUNTIF(EducPlans_кодНАЦИД_Спец[аФакСец],EducPlans_кодНАЦИД_Спец[[#This Row],[аФакСец]])</f>
        <v>1</v>
      </c>
    </row>
    <row r="1611" spans="3:16" x14ac:dyDescent="0.25">
      <c r="C1611" s="614">
        <v>1605</v>
      </c>
      <c r="D1611" s="614">
        <v>12891</v>
      </c>
      <c r="E1611" s="64" t="s">
        <v>13941</v>
      </c>
      <c r="F1611" s="64" t="s">
        <v>13947</v>
      </c>
      <c r="G1611" s="614" t="s">
        <v>626</v>
      </c>
      <c r="H1611" s="614" t="s">
        <v>682</v>
      </c>
      <c r="I1611" s="614" t="s">
        <v>1153</v>
      </c>
      <c r="J1611" s="64" t="s">
        <v>3406</v>
      </c>
      <c r="K1611" s="1940" t="s">
        <v>13943</v>
      </c>
      <c r="L1611" s="1940" t="s">
        <v>9252</v>
      </c>
      <c r="M1611" t="s">
        <v>13948</v>
      </c>
      <c r="N1611" t="s">
        <v>10967</v>
      </c>
      <c r="O1611" t="s">
        <v>13947</v>
      </c>
      <c r="P1611" s="614">
        <f>COUNTIF(EducPlans_кодНАЦИД_Спец[аФакСец],EducPlans_кодНАЦИД_Спец[[#This Row],[аФакСец]])</f>
        <v>1</v>
      </c>
    </row>
    <row r="1612" spans="3:16" x14ac:dyDescent="0.25">
      <c r="C1612" s="614">
        <v>1606</v>
      </c>
      <c r="D1612" s="614">
        <v>12893</v>
      </c>
      <c r="E1612" s="64" t="s">
        <v>13941</v>
      </c>
      <c r="F1612" s="64" t="s">
        <v>13949</v>
      </c>
      <c r="G1612" s="614" t="s">
        <v>626</v>
      </c>
      <c r="H1612" s="614" t="s">
        <v>682</v>
      </c>
      <c r="I1612" s="614" t="s">
        <v>1153</v>
      </c>
      <c r="J1612" s="64" t="s">
        <v>3407</v>
      </c>
      <c r="K1612" s="1940" t="s">
        <v>13943</v>
      </c>
      <c r="L1612" s="1940" t="s">
        <v>9253</v>
      </c>
      <c r="M1612" t="s">
        <v>13950</v>
      </c>
      <c r="N1612" t="s">
        <v>10968</v>
      </c>
      <c r="O1612" t="s">
        <v>13949</v>
      </c>
      <c r="P1612" s="614">
        <f>COUNTIF(EducPlans_кодНАЦИД_Спец[аФакСец],EducPlans_кодНАЦИД_Спец[[#This Row],[аФакСец]])</f>
        <v>1</v>
      </c>
    </row>
    <row r="1613" spans="3:16" x14ac:dyDescent="0.25">
      <c r="C1613" s="614">
        <v>1607</v>
      </c>
      <c r="D1613" s="614">
        <v>12893</v>
      </c>
      <c r="E1613" s="64" t="s">
        <v>13941</v>
      </c>
      <c r="F1613" s="64" t="s">
        <v>13951</v>
      </c>
      <c r="G1613" s="614" t="s">
        <v>626</v>
      </c>
      <c r="H1613" s="614" t="s">
        <v>682</v>
      </c>
      <c r="I1613" s="614" t="s">
        <v>1153</v>
      </c>
      <c r="J1613" s="64" t="s">
        <v>3408</v>
      </c>
      <c r="K1613" s="1940" t="s">
        <v>13943</v>
      </c>
      <c r="L1613" s="1940" t="s">
        <v>9254</v>
      </c>
      <c r="M1613" t="s">
        <v>13952</v>
      </c>
      <c r="N1613" t="s">
        <v>10969</v>
      </c>
      <c r="O1613" t="s">
        <v>13951</v>
      </c>
      <c r="P1613" s="614">
        <f>COUNTIF(EducPlans_кодНАЦИД_Спец[аФакСец],EducPlans_кодНАЦИД_Спец[[#This Row],[аФакСец]])</f>
        <v>1</v>
      </c>
    </row>
    <row r="1614" spans="3:16" x14ac:dyDescent="0.25">
      <c r="C1614" s="614">
        <v>1608</v>
      </c>
      <c r="D1614" s="614">
        <v>12893</v>
      </c>
      <c r="E1614" s="64" t="s">
        <v>13941</v>
      </c>
      <c r="F1614" s="64" t="s">
        <v>13953</v>
      </c>
      <c r="G1614" s="614" t="s">
        <v>626</v>
      </c>
      <c r="H1614" s="614" t="s">
        <v>682</v>
      </c>
      <c r="I1614" s="614" t="s">
        <v>1153</v>
      </c>
      <c r="J1614" s="64" t="s">
        <v>3409</v>
      </c>
      <c r="K1614" s="1940" t="s">
        <v>13943</v>
      </c>
      <c r="L1614" s="1940" t="s">
        <v>9255</v>
      </c>
      <c r="M1614" t="s">
        <v>13954</v>
      </c>
      <c r="N1614" t="s">
        <v>10970</v>
      </c>
      <c r="O1614" t="s">
        <v>13953</v>
      </c>
      <c r="P1614" s="614">
        <f>COUNTIF(EducPlans_кодНАЦИД_Спец[аФакСец],EducPlans_кодНАЦИД_Спец[[#This Row],[аФакСец]])</f>
        <v>1</v>
      </c>
    </row>
    <row r="1615" spans="3:16" x14ac:dyDescent="0.25">
      <c r="C1615" s="614">
        <v>1609</v>
      </c>
      <c r="D1615" s="614">
        <v>12843</v>
      </c>
      <c r="E1615" s="64" t="s">
        <v>2060</v>
      </c>
      <c r="F1615" s="64" t="s">
        <v>7234</v>
      </c>
      <c r="G1615" s="614" t="s">
        <v>626</v>
      </c>
      <c r="H1615" s="614" t="s">
        <v>682</v>
      </c>
      <c r="I1615" s="614" t="s">
        <v>1153</v>
      </c>
      <c r="J1615" s="64" t="s">
        <v>3410</v>
      </c>
      <c r="K1615" s="1940" t="s">
        <v>7235</v>
      </c>
      <c r="L1615" s="1940" t="s">
        <v>9256</v>
      </c>
      <c r="M1615" t="s">
        <v>12627</v>
      </c>
      <c r="N1615" t="s">
        <v>10971</v>
      </c>
      <c r="O1615" t="s">
        <v>7234</v>
      </c>
      <c r="P1615" s="614">
        <f>COUNTIF(EducPlans_кодНАЦИД_Спец[аФакСец],EducPlans_кодНАЦИД_Спец[[#This Row],[аФакСец]])</f>
        <v>1</v>
      </c>
    </row>
    <row r="1616" spans="3:16" x14ac:dyDescent="0.25">
      <c r="C1616" s="614">
        <v>1610</v>
      </c>
      <c r="D1616" s="614">
        <v>12864</v>
      </c>
      <c r="E1616" s="64" t="s">
        <v>13955</v>
      </c>
      <c r="F1616" s="64" t="s">
        <v>13956</v>
      </c>
      <c r="G1616" s="614" t="s">
        <v>626</v>
      </c>
      <c r="H1616" s="614" t="s">
        <v>682</v>
      </c>
      <c r="I1616" s="614" t="s">
        <v>1153</v>
      </c>
      <c r="J1616" s="64" t="s">
        <v>3412</v>
      </c>
      <c r="K1616" s="1940" t="s">
        <v>13957</v>
      </c>
      <c r="L1616" s="1940" t="s">
        <v>9257</v>
      </c>
      <c r="M1616" t="s">
        <v>13958</v>
      </c>
      <c r="N1616" t="s">
        <v>10972</v>
      </c>
      <c r="O1616" t="s">
        <v>13956</v>
      </c>
      <c r="P1616" s="614">
        <f>COUNTIF(EducPlans_кодНАЦИД_Спец[аФакСец],EducPlans_кодНАЦИД_Спец[[#This Row],[аФакСец]])</f>
        <v>1</v>
      </c>
    </row>
    <row r="1617" spans="3:16" x14ac:dyDescent="0.25">
      <c r="C1617" s="614">
        <v>1611</v>
      </c>
      <c r="D1617" s="614">
        <v>12864</v>
      </c>
      <c r="E1617" s="64" t="s">
        <v>13955</v>
      </c>
      <c r="F1617" s="64" t="s">
        <v>13959</v>
      </c>
      <c r="G1617" s="614" t="s">
        <v>626</v>
      </c>
      <c r="H1617" s="614" t="s">
        <v>682</v>
      </c>
      <c r="I1617" s="614" t="s">
        <v>1153</v>
      </c>
      <c r="J1617" s="64" t="s">
        <v>3413</v>
      </c>
      <c r="K1617" s="1940" t="s">
        <v>13957</v>
      </c>
      <c r="L1617" s="1940" t="s">
        <v>9258</v>
      </c>
      <c r="M1617" t="s">
        <v>13960</v>
      </c>
      <c r="N1617" t="s">
        <v>10973</v>
      </c>
      <c r="O1617" t="s">
        <v>13959</v>
      </c>
      <c r="P1617" s="614">
        <f>COUNTIF(EducPlans_кодНАЦИД_Спец[аФакСец],EducPlans_кодНАЦИД_Спец[[#This Row],[аФакСец]])</f>
        <v>1</v>
      </c>
    </row>
    <row r="1618" spans="3:16" x14ac:dyDescent="0.25">
      <c r="C1618" s="614">
        <v>1612</v>
      </c>
      <c r="D1618" s="614">
        <v>12864</v>
      </c>
      <c r="E1618" s="64" t="s">
        <v>13955</v>
      </c>
      <c r="F1618" s="64" t="s">
        <v>13961</v>
      </c>
      <c r="G1618" s="614" t="s">
        <v>626</v>
      </c>
      <c r="H1618" s="614" t="s">
        <v>682</v>
      </c>
      <c r="I1618" s="614" t="s">
        <v>1153</v>
      </c>
      <c r="J1618" s="64" t="s">
        <v>3411</v>
      </c>
      <c r="K1618" s="1940" t="s">
        <v>13957</v>
      </c>
      <c r="L1618" s="1940" t="s">
        <v>9259</v>
      </c>
      <c r="M1618" t="s">
        <v>13962</v>
      </c>
      <c r="N1618" t="s">
        <v>10974</v>
      </c>
      <c r="O1618" t="s">
        <v>13961</v>
      </c>
      <c r="P1618" s="614">
        <f>COUNTIF(EducPlans_кодНАЦИД_Спец[аФакСец],EducPlans_кодНАЦИД_Спец[[#This Row],[аФакСец]])</f>
        <v>2</v>
      </c>
    </row>
    <row r="1619" spans="3:16" x14ac:dyDescent="0.25">
      <c r="C1619" s="614">
        <v>1613</v>
      </c>
      <c r="D1619" s="614">
        <v>187909</v>
      </c>
      <c r="E1619" s="64" t="s">
        <v>13955</v>
      </c>
      <c r="F1619" s="64" t="s">
        <v>13963</v>
      </c>
      <c r="G1619" s="614" t="s">
        <v>626</v>
      </c>
      <c r="H1619" s="614" t="s">
        <v>682</v>
      </c>
      <c r="I1619" s="614" t="s">
        <v>1153</v>
      </c>
      <c r="J1619" s="64" t="s">
        <v>3414</v>
      </c>
      <c r="K1619" s="1940" t="s">
        <v>13957</v>
      </c>
      <c r="L1619" s="1940" t="s">
        <v>9260</v>
      </c>
      <c r="M1619" t="s">
        <v>13964</v>
      </c>
      <c r="N1619" t="s">
        <v>10975</v>
      </c>
      <c r="O1619" t="s">
        <v>13963</v>
      </c>
      <c r="P1619" s="614">
        <f>COUNTIF(EducPlans_кодНАЦИД_Спец[аФакСец],EducPlans_кодНАЦИД_Спец[[#This Row],[аФакСец]])</f>
        <v>1</v>
      </c>
    </row>
    <row r="1620" spans="3:16" x14ac:dyDescent="0.25">
      <c r="C1620" s="614">
        <v>1614</v>
      </c>
      <c r="D1620" s="614">
        <v>187909</v>
      </c>
      <c r="E1620" s="64" t="s">
        <v>13955</v>
      </c>
      <c r="F1620" s="64" t="s">
        <v>13965</v>
      </c>
      <c r="G1620" s="614" t="s">
        <v>626</v>
      </c>
      <c r="H1620" s="614" t="s">
        <v>682</v>
      </c>
      <c r="I1620" s="614" t="s">
        <v>1153</v>
      </c>
      <c r="J1620" s="64" t="s">
        <v>3415</v>
      </c>
      <c r="K1620" s="1940" t="s">
        <v>13957</v>
      </c>
      <c r="L1620" s="1940" t="s">
        <v>9261</v>
      </c>
      <c r="M1620" t="s">
        <v>13966</v>
      </c>
      <c r="N1620" t="s">
        <v>10976</v>
      </c>
      <c r="O1620" t="s">
        <v>13965</v>
      </c>
      <c r="P1620" s="614">
        <f>COUNTIF(EducPlans_кодНАЦИД_Спец[аФакСец],EducPlans_кодНАЦИД_Спец[[#This Row],[аФакСец]])</f>
        <v>1</v>
      </c>
    </row>
    <row r="1621" spans="3:16" x14ac:dyDescent="0.25">
      <c r="C1621" s="614">
        <v>1615</v>
      </c>
      <c r="D1621" s="614">
        <v>12777</v>
      </c>
      <c r="E1621" s="64" t="s">
        <v>2062</v>
      </c>
      <c r="F1621" s="64" t="s">
        <v>7236</v>
      </c>
      <c r="G1621" s="614" t="s">
        <v>626</v>
      </c>
      <c r="H1621" s="614" t="s">
        <v>682</v>
      </c>
      <c r="I1621" s="614" t="s">
        <v>1153</v>
      </c>
      <c r="J1621" s="64" t="s">
        <v>3411</v>
      </c>
      <c r="K1621" s="1940" t="s">
        <v>7237</v>
      </c>
      <c r="L1621" s="1940" t="s">
        <v>9259</v>
      </c>
      <c r="M1621" t="s">
        <v>12628</v>
      </c>
      <c r="N1621" t="s">
        <v>10974</v>
      </c>
      <c r="O1621" t="s">
        <v>7236</v>
      </c>
      <c r="P1621" s="614">
        <f>COUNTIF(EducPlans_кодНАЦИД_Спец[аФакСец],EducPlans_кодНАЦИД_Спец[[#This Row],[аФакСец]])</f>
        <v>2</v>
      </c>
    </row>
    <row r="1622" spans="3:16" x14ac:dyDescent="0.25">
      <c r="C1622" s="614">
        <v>1616</v>
      </c>
      <c r="D1622" s="614">
        <v>12866</v>
      </c>
      <c r="E1622" s="64" t="s">
        <v>2064</v>
      </c>
      <c r="F1622" s="64" t="s">
        <v>7238</v>
      </c>
      <c r="G1622" s="614" t="s">
        <v>626</v>
      </c>
      <c r="H1622" s="614" t="s">
        <v>682</v>
      </c>
      <c r="I1622" s="614" t="s">
        <v>1153</v>
      </c>
      <c r="J1622" s="64" t="s">
        <v>3416</v>
      </c>
      <c r="K1622" s="1940" t="s">
        <v>7239</v>
      </c>
      <c r="L1622" s="1940" t="s">
        <v>9262</v>
      </c>
      <c r="M1622" t="s">
        <v>12629</v>
      </c>
      <c r="N1622" t="s">
        <v>10977</v>
      </c>
      <c r="O1622" t="s">
        <v>7238</v>
      </c>
      <c r="P1622" s="614">
        <f>COUNTIF(EducPlans_кодНАЦИД_Спец[аФакСец],EducPlans_кодНАЦИД_Спец[[#This Row],[аФакСец]])</f>
        <v>2</v>
      </c>
    </row>
    <row r="1623" spans="3:16" x14ac:dyDescent="0.25">
      <c r="C1623" s="614">
        <v>1617</v>
      </c>
      <c r="D1623" s="614">
        <v>12778</v>
      </c>
      <c r="E1623" s="64" t="s">
        <v>2065</v>
      </c>
      <c r="F1623" s="64" t="s">
        <v>7240</v>
      </c>
      <c r="G1623" s="614" t="s">
        <v>626</v>
      </c>
      <c r="H1623" s="614" t="s">
        <v>682</v>
      </c>
      <c r="I1623" s="614" t="s">
        <v>1153</v>
      </c>
      <c r="J1623" s="64" t="s">
        <v>3416</v>
      </c>
      <c r="K1623" s="1940" t="s">
        <v>7241</v>
      </c>
      <c r="L1623" s="1940" t="s">
        <v>9262</v>
      </c>
      <c r="M1623" t="s">
        <v>12630</v>
      </c>
      <c r="N1623" t="s">
        <v>10977</v>
      </c>
      <c r="O1623" t="s">
        <v>7240</v>
      </c>
      <c r="P1623" s="614">
        <f>COUNTIF(EducPlans_кодНАЦИД_Спец[аФакСец],EducPlans_кодНАЦИД_Спец[[#This Row],[аФакСец]])</f>
        <v>2</v>
      </c>
    </row>
    <row r="1624" spans="3:16" x14ac:dyDescent="0.25">
      <c r="C1624" s="614">
        <v>1618</v>
      </c>
      <c r="D1624" s="614">
        <v>956904</v>
      </c>
      <c r="E1624" s="64" t="s">
        <v>13967</v>
      </c>
      <c r="F1624" s="64" t="s">
        <v>13968</v>
      </c>
      <c r="G1624" s="614" t="s">
        <v>626</v>
      </c>
      <c r="H1624" s="614" t="s">
        <v>682</v>
      </c>
      <c r="I1624" s="614" t="s">
        <v>1153</v>
      </c>
      <c r="J1624" s="64" t="s">
        <v>13969</v>
      </c>
      <c r="K1624" s="1940" t="s">
        <v>13970</v>
      </c>
      <c r="L1624" s="1940" t="s">
        <v>13971</v>
      </c>
      <c r="M1624" t="s">
        <v>13972</v>
      </c>
      <c r="N1624" t="s">
        <v>13973</v>
      </c>
      <c r="O1624" t="s">
        <v>13968</v>
      </c>
      <c r="P1624" s="614">
        <f>COUNTIF(EducPlans_кодНАЦИД_Спец[аФакСец],EducPlans_кодНАЦИД_Спец[[#This Row],[аФакСец]])</f>
        <v>1</v>
      </c>
    </row>
    <row r="1625" spans="3:16" x14ac:dyDescent="0.25">
      <c r="C1625" s="614">
        <v>1619</v>
      </c>
      <c r="D1625" s="614">
        <v>956904</v>
      </c>
      <c r="E1625" s="64" t="s">
        <v>13967</v>
      </c>
      <c r="F1625" s="64" t="s">
        <v>13974</v>
      </c>
      <c r="G1625" s="614" t="s">
        <v>626</v>
      </c>
      <c r="H1625" s="614" t="s">
        <v>682</v>
      </c>
      <c r="I1625" s="614" t="s">
        <v>1153</v>
      </c>
      <c r="J1625" s="64" t="s">
        <v>13975</v>
      </c>
      <c r="K1625" s="1940" t="s">
        <v>13970</v>
      </c>
      <c r="L1625" s="1940" t="s">
        <v>13976</v>
      </c>
      <c r="M1625" t="s">
        <v>13977</v>
      </c>
      <c r="N1625" t="s">
        <v>13978</v>
      </c>
      <c r="O1625" t="s">
        <v>13974</v>
      </c>
      <c r="P1625" s="614">
        <f>COUNTIF(EducPlans_кодНАЦИД_Спец[аФакСец],EducPlans_кодНАЦИД_Спец[[#This Row],[аФакСец]])</f>
        <v>1</v>
      </c>
    </row>
    <row r="1626" spans="3:16" x14ac:dyDescent="0.25">
      <c r="C1626" s="614">
        <v>1620</v>
      </c>
      <c r="D1626" s="614">
        <v>12783</v>
      </c>
      <c r="E1626" s="64" t="s">
        <v>13979</v>
      </c>
      <c r="F1626" s="64" t="s">
        <v>7242</v>
      </c>
      <c r="G1626" s="614" t="s">
        <v>626</v>
      </c>
      <c r="H1626" s="614" t="s">
        <v>681</v>
      </c>
      <c r="I1626" s="614" t="s">
        <v>1153</v>
      </c>
      <c r="J1626" s="64" t="s">
        <v>3417</v>
      </c>
      <c r="K1626" s="1940" t="s">
        <v>7243</v>
      </c>
      <c r="L1626" s="1940" t="s">
        <v>9263</v>
      </c>
      <c r="M1626" t="s">
        <v>13980</v>
      </c>
      <c r="N1626" t="s">
        <v>10978</v>
      </c>
      <c r="O1626" t="s">
        <v>7242</v>
      </c>
      <c r="P1626" s="614">
        <f>COUNTIF(EducPlans_кодНАЦИД_Спец[аФакСец],EducPlans_кодНАЦИД_Спец[[#This Row],[аФакСец]])</f>
        <v>1</v>
      </c>
    </row>
    <row r="1627" spans="3:16" x14ac:dyDescent="0.25">
      <c r="C1627" s="614">
        <v>1621</v>
      </c>
      <c r="D1627" s="614">
        <v>11662</v>
      </c>
      <c r="E1627" s="64" t="s">
        <v>1482</v>
      </c>
      <c r="F1627" s="64" t="s">
        <v>7244</v>
      </c>
      <c r="G1627" s="614" t="s">
        <v>33</v>
      </c>
      <c r="H1627" s="614" t="s">
        <v>682</v>
      </c>
      <c r="I1627" s="614" t="s">
        <v>1153</v>
      </c>
      <c r="J1627" s="64" t="s">
        <v>3629</v>
      </c>
      <c r="K1627" s="1940" t="s">
        <v>7245</v>
      </c>
      <c r="L1627" s="1940" t="s">
        <v>9264</v>
      </c>
      <c r="M1627" t="s">
        <v>12631</v>
      </c>
      <c r="N1627" t="s">
        <v>10979</v>
      </c>
      <c r="O1627" t="s">
        <v>7244</v>
      </c>
      <c r="P1627" s="614">
        <f>COUNTIF(EducPlans_кодНАЦИД_Спец[аФакСец],EducPlans_кодНАЦИД_Спец[[#This Row],[аФакСец]])</f>
        <v>1</v>
      </c>
    </row>
    <row r="1628" spans="3:16" x14ac:dyDescent="0.25">
      <c r="C1628" s="614">
        <v>1622</v>
      </c>
      <c r="D1628" s="614">
        <v>11468</v>
      </c>
      <c r="E1628" s="64" t="s">
        <v>1638</v>
      </c>
      <c r="F1628" s="64" t="s">
        <v>7246</v>
      </c>
      <c r="G1628" s="614" t="s">
        <v>2788</v>
      </c>
      <c r="H1628" s="614" t="s">
        <v>682</v>
      </c>
      <c r="I1628" s="614" t="s">
        <v>1153</v>
      </c>
      <c r="J1628" s="64" t="s">
        <v>4349</v>
      </c>
      <c r="K1628" s="1940" t="s">
        <v>7247</v>
      </c>
      <c r="L1628" s="1940" t="s">
        <v>9265</v>
      </c>
      <c r="M1628" t="s">
        <v>12632</v>
      </c>
      <c r="N1628" t="s">
        <v>10980</v>
      </c>
      <c r="O1628" t="s">
        <v>7246</v>
      </c>
      <c r="P1628" s="614">
        <f>COUNTIF(EducPlans_кодНАЦИД_Спец[аФакСец],EducPlans_кодНАЦИД_Спец[[#This Row],[аФакСец]])</f>
        <v>1</v>
      </c>
    </row>
    <row r="1629" spans="3:16" x14ac:dyDescent="0.25">
      <c r="C1629" s="614">
        <v>1623</v>
      </c>
      <c r="D1629" s="614">
        <v>11471</v>
      </c>
      <c r="E1629" s="64" t="s">
        <v>1638</v>
      </c>
      <c r="F1629" s="64" t="s">
        <v>7248</v>
      </c>
      <c r="G1629" s="614" t="s">
        <v>2788</v>
      </c>
      <c r="H1629" s="614" t="s">
        <v>682</v>
      </c>
      <c r="I1629" s="614" t="s">
        <v>1153</v>
      </c>
      <c r="J1629" s="64" t="s">
        <v>4348</v>
      </c>
      <c r="K1629" s="1940" t="s">
        <v>7249</v>
      </c>
      <c r="L1629" s="1940" t="s">
        <v>9266</v>
      </c>
      <c r="M1629" t="s">
        <v>12633</v>
      </c>
      <c r="N1629" t="s">
        <v>10981</v>
      </c>
      <c r="O1629" t="s">
        <v>7248</v>
      </c>
      <c r="P1629" s="614">
        <f>COUNTIF(EducPlans_кодНАЦИД_Спец[аФакСец],EducPlans_кодНАЦИД_Спец[[#This Row],[аФакСец]])</f>
        <v>1</v>
      </c>
    </row>
    <row r="1630" spans="3:16" x14ac:dyDescent="0.25">
      <c r="C1630" s="614">
        <v>1624</v>
      </c>
      <c r="D1630" s="614">
        <v>11470</v>
      </c>
      <c r="E1630" s="64" t="s">
        <v>1638</v>
      </c>
      <c r="F1630" s="64" t="s">
        <v>7250</v>
      </c>
      <c r="G1630" s="614" t="s">
        <v>2788</v>
      </c>
      <c r="H1630" s="614" t="s">
        <v>682</v>
      </c>
      <c r="I1630" s="614" t="s">
        <v>1149</v>
      </c>
      <c r="J1630" s="64" t="s">
        <v>4346</v>
      </c>
      <c r="K1630" s="1940" t="s">
        <v>7251</v>
      </c>
      <c r="L1630" s="1940" t="s">
        <v>9267</v>
      </c>
      <c r="M1630" t="s">
        <v>12634</v>
      </c>
      <c r="N1630" t="s">
        <v>10982</v>
      </c>
      <c r="O1630" t="s">
        <v>7250</v>
      </c>
      <c r="P1630" s="614">
        <f>COUNTIF(EducPlans_кодНАЦИД_Спец[аФакСец],EducPlans_кодНАЦИД_Спец[[#This Row],[аФакСец]])</f>
        <v>1</v>
      </c>
    </row>
    <row r="1631" spans="3:16" x14ac:dyDescent="0.25">
      <c r="C1631" s="614">
        <v>1625</v>
      </c>
      <c r="D1631" s="614">
        <v>11473</v>
      </c>
      <c r="E1631" s="64" t="s">
        <v>1638</v>
      </c>
      <c r="F1631" s="64" t="s">
        <v>7252</v>
      </c>
      <c r="G1631" s="614" t="s">
        <v>2788</v>
      </c>
      <c r="H1631" s="614" t="s">
        <v>682</v>
      </c>
      <c r="I1631" s="614" t="s">
        <v>1149</v>
      </c>
      <c r="J1631" s="64" t="s">
        <v>4347</v>
      </c>
      <c r="K1631" s="1940" t="s">
        <v>7253</v>
      </c>
      <c r="L1631" s="1940" t="s">
        <v>9268</v>
      </c>
      <c r="M1631" t="s">
        <v>12635</v>
      </c>
      <c r="N1631" t="s">
        <v>10983</v>
      </c>
      <c r="O1631" t="s">
        <v>7252</v>
      </c>
      <c r="P1631" s="614">
        <f>COUNTIF(EducPlans_кодНАЦИД_Спец[аФакСец],EducPlans_кодНАЦИД_Спец[[#This Row],[аФакСец]])</f>
        <v>1</v>
      </c>
    </row>
    <row r="1632" spans="3:16" x14ac:dyDescent="0.25">
      <c r="C1632" s="614">
        <v>1626</v>
      </c>
      <c r="D1632" s="614">
        <v>12117</v>
      </c>
      <c r="E1632" s="64" t="s">
        <v>2194</v>
      </c>
      <c r="F1632" s="64" t="s">
        <v>7254</v>
      </c>
      <c r="G1632" s="614" t="s">
        <v>29</v>
      </c>
      <c r="H1632" s="614" t="s">
        <v>682</v>
      </c>
      <c r="I1632" s="614" t="s">
        <v>1153</v>
      </c>
      <c r="J1632" s="64" t="s">
        <v>4174</v>
      </c>
      <c r="K1632" s="1940" t="s">
        <v>7255</v>
      </c>
      <c r="L1632" s="1940" t="s">
        <v>9269</v>
      </c>
      <c r="M1632" t="s">
        <v>12636</v>
      </c>
      <c r="N1632" t="s">
        <v>10984</v>
      </c>
      <c r="O1632" t="s">
        <v>7254</v>
      </c>
      <c r="P1632" s="614">
        <f>COUNTIF(EducPlans_кодНАЦИД_Спец[аФакСец],EducPlans_кодНАЦИД_Спец[[#This Row],[аФакСец]])</f>
        <v>1</v>
      </c>
    </row>
    <row r="1633" spans="3:16" x14ac:dyDescent="0.25">
      <c r="C1633" s="614">
        <v>1627</v>
      </c>
      <c r="D1633" s="614">
        <v>11260</v>
      </c>
      <c r="E1633" s="64" t="s">
        <v>1273</v>
      </c>
      <c r="F1633" s="64" t="s">
        <v>7256</v>
      </c>
      <c r="G1633" s="614" t="s">
        <v>39</v>
      </c>
      <c r="H1633" s="614" t="s">
        <v>682</v>
      </c>
      <c r="I1633" s="614" t="s">
        <v>1153</v>
      </c>
      <c r="J1633" s="64" t="s">
        <v>3906</v>
      </c>
      <c r="K1633" s="1940" t="s">
        <v>7257</v>
      </c>
      <c r="L1633" s="1940" t="s">
        <v>9270</v>
      </c>
      <c r="M1633" t="s">
        <v>12637</v>
      </c>
      <c r="N1633" t="s">
        <v>10985</v>
      </c>
      <c r="O1633" t="s">
        <v>7256</v>
      </c>
      <c r="P1633" s="614">
        <f>COUNTIF(EducPlans_кодНАЦИД_Спец[аФакСец],EducPlans_кодНАЦИД_Спец[[#This Row],[аФакСец]])</f>
        <v>1</v>
      </c>
    </row>
    <row r="1634" spans="3:16" x14ac:dyDescent="0.25">
      <c r="C1634" s="614">
        <v>1628</v>
      </c>
      <c r="D1634" s="614">
        <v>11262</v>
      </c>
      <c r="E1634" s="64" t="s">
        <v>1273</v>
      </c>
      <c r="F1634" s="64" t="s">
        <v>7258</v>
      </c>
      <c r="G1634" s="614" t="s">
        <v>39</v>
      </c>
      <c r="H1634" s="614" t="s">
        <v>682</v>
      </c>
      <c r="I1634" s="614" t="s">
        <v>1149</v>
      </c>
      <c r="J1634" s="64" t="s">
        <v>3905</v>
      </c>
      <c r="K1634" s="1940" t="s">
        <v>7259</v>
      </c>
      <c r="L1634" s="1940" t="s">
        <v>9271</v>
      </c>
      <c r="M1634" t="s">
        <v>12638</v>
      </c>
      <c r="N1634" t="s">
        <v>10986</v>
      </c>
      <c r="O1634" t="s">
        <v>7258</v>
      </c>
      <c r="P1634" s="614">
        <f>COUNTIF(EducPlans_кодНАЦИД_Спец[аФакСец],EducPlans_кодНАЦИД_Спец[[#This Row],[аФакСец]])</f>
        <v>1</v>
      </c>
    </row>
    <row r="1635" spans="3:16" x14ac:dyDescent="0.25">
      <c r="C1635" s="614">
        <v>1629</v>
      </c>
      <c r="D1635" s="614">
        <v>11275</v>
      </c>
      <c r="E1635" s="64" t="s">
        <v>1274</v>
      </c>
      <c r="F1635" s="64" t="s">
        <v>7260</v>
      </c>
      <c r="G1635" s="614" t="s">
        <v>39</v>
      </c>
      <c r="H1635" s="614" t="s">
        <v>682</v>
      </c>
      <c r="I1635" s="614" t="s">
        <v>1153</v>
      </c>
      <c r="J1635" s="64" t="s">
        <v>3908</v>
      </c>
      <c r="K1635" s="1940" t="s">
        <v>7261</v>
      </c>
      <c r="L1635" s="1940" t="s">
        <v>9272</v>
      </c>
      <c r="M1635" t="s">
        <v>12639</v>
      </c>
      <c r="N1635" t="s">
        <v>10987</v>
      </c>
      <c r="O1635" t="s">
        <v>7260</v>
      </c>
      <c r="P1635" s="614">
        <f>COUNTIF(EducPlans_кодНАЦИД_Спец[аФакСец],EducPlans_кодНАЦИД_Спец[[#This Row],[аФакСец]])</f>
        <v>1</v>
      </c>
    </row>
    <row r="1636" spans="3:16" x14ac:dyDescent="0.25">
      <c r="C1636" s="614">
        <v>1630</v>
      </c>
      <c r="D1636" s="614">
        <v>11278</v>
      </c>
      <c r="E1636" s="64" t="s">
        <v>1274</v>
      </c>
      <c r="F1636" s="64" t="s">
        <v>7262</v>
      </c>
      <c r="G1636" s="614" t="s">
        <v>39</v>
      </c>
      <c r="H1636" s="614" t="s">
        <v>682</v>
      </c>
      <c r="I1636" s="614" t="s">
        <v>1149</v>
      </c>
      <c r="J1636" s="64" t="s">
        <v>3907</v>
      </c>
      <c r="K1636" s="1940" t="s">
        <v>7263</v>
      </c>
      <c r="L1636" s="1940" t="s">
        <v>9273</v>
      </c>
      <c r="M1636" t="s">
        <v>12640</v>
      </c>
      <c r="N1636" t="s">
        <v>10988</v>
      </c>
      <c r="O1636" t="s">
        <v>7262</v>
      </c>
      <c r="P1636" s="614">
        <f>COUNTIF(EducPlans_кодНАЦИД_Спец[аФакСец],EducPlans_кодНАЦИД_Спец[[#This Row],[аФакСец]])</f>
        <v>1</v>
      </c>
    </row>
    <row r="1637" spans="3:16" x14ac:dyDescent="0.25">
      <c r="C1637" s="614">
        <v>1631</v>
      </c>
      <c r="D1637" s="614">
        <v>1001242</v>
      </c>
      <c r="E1637" s="64" t="s">
        <v>2195</v>
      </c>
      <c r="F1637" s="64" t="s">
        <v>13981</v>
      </c>
      <c r="G1637" s="614" t="s">
        <v>29</v>
      </c>
      <c r="H1637" s="614" t="s">
        <v>682</v>
      </c>
      <c r="I1637" s="614" t="s">
        <v>1153</v>
      </c>
      <c r="J1637" s="64" t="s">
        <v>13982</v>
      </c>
      <c r="K1637" s="1940" t="s">
        <v>7268</v>
      </c>
      <c r="L1637" s="1940" t="s">
        <v>13983</v>
      </c>
      <c r="M1637" t="s">
        <v>13984</v>
      </c>
      <c r="N1637" t="s">
        <v>13985</v>
      </c>
      <c r="O1637" t="s">
        <v>13981</v>
      </c>
      <c r="P1637" s="614">
        <f>COUNTIF(EducPlans_кодНАЦИД_Спец[аФакСец],EducPlans_кодНАЦИД_Спец[[#This Row],[аФакСец]])</f>
        <v>1</v>
      </c>
    </row>
    <row r="1638" spans="3:16" x14ac:dyDescent="0.25">
      <c r="C1638" s="614">
        <v>1632</v>
      </c>
      <c r="D1638" s="614">
        <v>12112</v>
      </c>
      <c r="E1638" s="64" t="s">
        <v>2195</v>
      </c>
      <c r="F1638" s="64" t="s">
        <v>7264</v>
      </c>
      <c r="G1638" s="614" t="s">
        <v>29</v>
      </c>
      <c r="H1638" s="614" t="s">
        <v>682</v>
      </c>
      <c r="I1638" s="614" t="s">
        <v>1153</v>
      </c>
      <c r="J1638" s="64" t="s">
        <v>7265</v>
      </c>
      <c r="K1638" s="1940" t="s">
        <v>7266</v>
      </c>
      <c r="L1638" s="1940" t="s">
        <v>9274</v>
      </c>
      <c r="M1638" t="s">
        <v>12641</v>
      </c>
      <c r="N1638" t="s">
        <v>10989</v>
      </c>
      <c r="O1638" t="s">
        <v>7264</v>
      </c>
      <c r="P1638" s="614">
        <f>COUNTIF(EducPlans_кодНАЦИД_Спец[аФакСец],EducPlans_кодНАЦИД_Спец[[#This Row],[аФакСец]])</f>
        <v>1</v>
      </c>
    </row>
    <row r="1639" spans="3:16" x14ac:dyDescent="0.25">
      <c r="C1639" s="614">
        <v>1633</v>
      </c>
      <c r="D1639" s="614">
        <v>12136</v>
      </c>
      <c r="E1639" s="64" t="s">
        <v>2195</v>
      </c>
      <c r="F1639" s="64" t="s">
        <v>7267</v>
      </c>
      <c r="G1639" s="614" t="s">
        <v>29</v>
      </c>
      <c r="H1639" s="614" t="s">
        <v>682</v>
      </c>
      <c r="I1639" s="614" t="s">
        <v>1153</v>
      </c>
      <c r="J1639" s="64" t="s">
        <v>4175</v>
      </c>
      <c r="K1639" s="1940" t="s">
        <v>7268</v>
      </c>
      <c r="L1639" s="1940" t="s">
        <v>9275</v>
      </c>
      <c r="M1639" t="s">
        <v>12642</v>
      </c>
      <c r="N1639" t="s">
        <v>10990</v>
      </c>
      <c r="O1639" t="s">
        <v>7267</v>
      </c>
      <c r="P1639" s="614">
        <f>COUNTIF(EducPlans_кодНАЦИД_Спец[аФакСец],EducPlans_кодНАЦИД_Спец[[#This Row],[аФакСец]])</f>
        <v>1</v>
      </c>
    </row>
    <row r="1640" spans="3:16" x14ac:dyDescent="0.25">
      <c r="C1640" s="614">
        <v>1634</v>
      </c>
      <c r="D1640" s="614">
        <v>704951</v>
      </c>
      <c r="E1640" s="64" t="s">
        <v>13045</v>
      </c>
      <c r="F1640" s="64" t="s">
        <v>13046</v>
      </c>
      <c r="G1640" s="614" t="s">
        <v>26</v>
      </c>
      <c r="H1640" s="614" t="s">
        <v>682</v>
      </c>
      <c r="I1640" s="614" t="s">
        <v>1153</v>
      </c>
      <c r="J1640" s="64" t="s">
        <v>13047</v>
      </c>
      <c r="K1640" s="1940" t="s">
        <v>7757</v>
      </c>
      <c r="L1640" s="1940" t="s">
        <v>13048</v>
      </c>
      <c r="M1640" t="s">
        <v>13049</v>
      </c>
      <c r="N1640" t="s">
        <v>13050</v>
      </c>
      <c r="O1640" t="s">
        <v>13046</v>
      </c>
      <c r="P1640" s="614">
        <f>COUNTIF(EducPlans_кодНАЦИД_Спец[аФакСец],EducPlans_кодНАЦИД_Спец[[#This Row],[аФакСец]])</f>
        <v>1</v>
      </c>
    </row>
    <row r="1641" spans="3:16" x14ac:dyDescent="0.25">
      <c r="C1641" s="614">
        <v>1635</v>
      </c>
      <c r="D1641" s="614">
        <v>777470</v>
      </c>
      <c r="E1641" s="64" t="s">
        <v>13986</v>
      </c>
      <c r="F1641" s="64" t="s">
        <v>13987</v>
      </c>
      <c r="G1641" s="614" t="s">
        <v>26</v>
      </c>
      <c r="H1641" s="614" t="s">
        <v>682</v>
      </c>
      <c r="I1641" s="614" t="s">
        <v>1153</v>
      </c>
      <c r="J1641" s="64" t="s">
        <v>13988</v>
      </c>
      <c r="K1641" s="1940" t="s">
        <v>13989</v>
      </c>
      <c r="L1641" s="1940" t="s">
        <v>13990</v>
      </c>
      <c r="M1641" t="s">
        <v>13991</v>
      </c>
      <c r="N1641" t="s">
        <v>13992</v>
      </c>
      <c r="O1641" t="s">
        <v>13987</v>
      </c>
      <c r="P1641" s="614">
        <f>COUNTIF(EducPlans_кодНАЦИД_Спец[аФакСец],EducPlans_кодНАЦИД_Спец[[#This Row],[аФакСец]])</f>
        <v>1</v>
      </c>
    </row>
    <row r="1642" spans="3:16" x14ac:dyDescent="0.25">
      <c r="C1642" s="614">
        <v>1636</v>
      </c>
      <c r="D1642" s="614">
        <v>11938</v>
      </c>
      <c r="E1642" s="64" t="s">
        <v>2140</v>
      </c>
      <c r="F1642" s="64" t="s">
        <v>7269</v>
      </c>
      <c r="G1642" s="614" t="s">
        <v>628</v>
      </c>
      <c r="H1642" s="614" t="s">
        <v>682</v>
      </c>
      <c r="I1642" s="614" t="s">
        <v>1153</v>
      </c>
      <c r="J1642" s="64" t="s">
        <v>7270</v>
      </c>
      <c r="K1642" s="1940" t="s">
        <v>7271</v>
      </c>
      <c r="L1642" s="1940" t="s">
        <v>9276</v>
      </c>
      <c r="M1642" t="s">
        <v>12643</v>
      </c>
      <c r="N1642" t="s">
        <v>10991</v>
      </c>
      <c r="O1642" t="s">
        <v>7269</v>
      </c>
      <c r="P1642" s="614">
        <f>COUNTIF(EducPlans_кодНАЦИД_Спец[аФакСец],EducPlans_кодНАЦИД_Спец[[#This Row],[аФакСец]])</f>
        <v>1</v>
      </c>
    </row>
    <row r="1643" spans="3:16" x14ac:dyDescent="0.25">
      <c r="C1643" s="614">
        <v>1637</v>
      </c>
      <c r="D1643" s="614">
        <v>11940</v>
      </c>
      <c r="E1643" s="64" t="s">
        <v>2140</v>
      </c>
      <c r="F1643" s="64" t="s">
        <v>7272</v>
      </c>
      <c r="G1643" s="614" t="s">
        <v>628</v>
      </c>
      <c r="H1643" s="614" t="s">
        <v>682</v>
      </c>
      <c r="I1643" s="614" t="s">
        <v>1149</v>
      </c>
      <c r="J1643" s="64" t="s">
        <v>7273</v>
      </c>
      <c r="K1643" s="1940" t="s">
        <v>7274</v>
      </c>
      <c r="L1643" s="1940" t="s">
        <v>9277</v>
      </c>
      <c r="M1643" t="s">
        <v>12644</v>
      </c>
      <c r="N1643" t="s">
        <v>10992</v>
      </c>
      <c r="O1643" t="s">
        <v>7272</v>
      </c>
      <c r="P1643" s="614">
        <f>COUNTIF(EducPlans_кодНАЦИД_Спец[аФакСец],EducPlans_кодНАЦИД_Спец[[#This Row],[аФакСец]])</f>
        <v>1</v>
      </c>
    </row>
    <row r="1644" spans="3:16" x14ac:dyDescent="0.25">
      <c r="C1644" s="614">
        <v>1638</v>
      </c>
      <c r="D1644" s="614">
        <v>11940</v>
      </c>
      <c r="E1644" s="64" t="s">
        <v>2140</v>
      </c>
      <c r="F1644" s="64" t="s">
        <v>7275</v>
      </c>
      <c r="G1644" s="614" t="s">
        <v>628</v>
      </c>
      <c r="H1644" s="614" t="s">
        <v>682</v>
      </c>
      <c r="I1644" s="614" t="s">
        <v>1149</v>
      </c>
      <c r="J1644" s="64" t="s">
        <v>7276</v>
      </c>
      <c r="K1644" s="1940" t="s">
        <v>7274</v>
      </c>
      <c r="L1644" s="1940" t="s">
        <v>9278</v>
      </c>
      <c r="M1644" t="s">
        <v>12645</v>
      </c>
      <c r="N1644" t="s">
        <v>10993</v>
      </c>
      <c r="O1644" t="s">
        <v>7275</v>
      </c>
      <c r="P1644" s="614">
        <f>COUNTIF(EducPlans_кодНАЦИД_Спец[аФакСец],EducPlans_кодНАЦИД_Спец[[#This Row],[аФакСец]])</f>
        <v>1</v>
      </c>
    </row>
    <row r="1645" spans="3:16" x14ac:dyDescent="0.25">
      <c r="C1645" s="614">
        <v>1639</v>
      </c>
      <c r="D1645" s="614">
        <v>11448</v>
      </c>
      <c r="E1645" s="64" t="s">
        <v>1640</v>
      </c>
      <c r="F1645" s="64" t="s">
        <v>7277</v>
      </c>
      <c r="G1645" s="614" t="s">
        <v>2788</v>
      </c>
      <c r="H1645" s="614" t="s">
        <v>681</v>
      </c>
      <c r="I1645" s="614" t="s">
        <v>1153</v>
      </c>
      <c r="J1645" s="64" t="s">
        <v>4354</v>
      </c>
      <c r="K1645" s="1940" t="s">
        <v>7278</v>
      </c>
      <c r="L1645" s="1940" t="s">
        <v>9279</v>
      </c>
      <c r="M1645" t="s">
        <v>12646</v>
      </c>
      <c r="N1645" t="s">
        <v>10994</v>
      </c>
      <c r="O1645" t="s">
        <v>7277</v>
      </c>
      <c r="P1645" s="614">
        <f>COUNTIF(EducPlans_кодНАЦИД_Спец[аФакСец],EducPlans_кодНАЦИД_Спец[[#This Row],[аФакСец]])</f>
        <v>1</v>
      </c>
    </row>
    <row r="1646" spans="3:16" x14ac:dyDescent="0.25">
      <c r="C1646" s="614">
        <v>1640</v>
      </c>
      <c r="D1646" s="614">
        <v>11448</v>
      </c>
      <c r="E1646" s="64" t="s">
        <v>1640</v>
      </c>
      <c r="F1646" s="64" t="s">
        <v>7279</v>
      </c>
      <c r="G1646" s="614" t="s">
        <v>2788</v>
      </c>
      <c r="H1646" s="614" t="s">
        <v>681</v>
      </c>
      <c r="I1646" s="614" t="s">
        <v>1153</v>
      </c>
      <c r="J1646" s="64" t="s">
        <v>4353</v>
      </c>
      <c r="K1646" s="1940" t="s">
        <v>7278</v>
      </c>
      <c r="L1646" s="1940" t="s">
        <v>9280</v>
      </c>
      <c r="M1646" t="s">
        <v>12647</v>
      </c>
      <c r="N1646" t="s">
        <v>10995</v>
      </c>
      <c r="O1646" t="s">
        <v>7279</v>
      </c>
      <c r="P1646" s="614">
        <f>COUNTIF(EducPlans_кодНАЦИД_Спец[аФакСец],EducPlans_кодНАЦИД_Спец[[#This Row],[аФакСец]])</f>
        <v>1</v>
      </c>
    </row>
    <row r="1647" spans="3:16" x14ac:dyDescent="0.25">
      <c r="C1647" s="614">
        <v>1641</v>
      </c>
      <c r="D1647" s="614">
        <v>11449</v>
      </c>
      <c r="E1647" s="64" t="s">
        <v>1640</v>
      </c>
      <c r="F1647" s="64" t="s">
        <v>7280</v>
      </c>
      <c r="G1647" s="614" t="s">
        <v>2788</v>
      </c>
      <c r="H1647" s="614" t="s">
        <v>681</v>
      </c>
      <c r="I1647" s="614" t="s">
        <v>1149</v>
      </c>
      <c r="J1647" s="64" t="s">
        <v>4351</v>
      </c>
      <c r="K1647" s="1940" t="s">
        <v>7281</v>
      </c>
      <c r="L1647" s="1940" t="s">
        <v>9281</v>
      </c>
      <c r="M1647" t="s">
        <v>12648</v>
      </c>
      <c r="N1647" t="s">
        <v>10996</v>
      </c>
      <c r="O1647" t="s">
        <v>7280</v>
      </c>
      <c r="P1647" s="614">
        <f>COUNTIF(EducPlans_кодНАЦИД_Спец[аФакСец],EducPlans_кодНАЦИД_Спец[[#This Row],[аФакСец]])</f>
        <v>1</v>
      </c>
    </row>
    <row r="1648" spans="3:16" x14ac:dyDescent="0.25">
      <c r="C1648" s="614">
        <v>1642</v>
      </c>
      <c r="D1648" s="614">
        <v>11450</v>
      </c>
      <c r="E1648" s="64" t="s">
        <v>1640</v>
      </c>
      <c r="F1648" s="64" t="s">
        <v>7282</v>
      </c>
      <c r="G1648" s="614" t="s">
        <v>2788</v>
      </c>
      <c r="H1648" s="614" t="s">
        <v>681</v>
      </c>
      <c r="I1648" s="614" t="s">
        <v>1149</v>
      </c>
      <c r="J1648" s="64" t="s">
        <v>4350</v>
      </c>
      <c r="K1648" s="1940" t="s">
        <v>7281</v>
      </c>
      <c r="L1648" s="1940" t="s">
        <v>9282</v>
      </c>
      <c r="M1648" t="s">
        <v>12649</v>
      </c>
      <c r="N1648" t="s">
        <v>10997</v>
      </c>
      <c r="O1648" t="s">
        <v>7282</v>
      </c>
      <c r="P1648" s="614">
        <f>COUNTIF(EducPlans_кодНАЦИД_Спец[аФакСец],EducPlans_кодНАЦИД_Спец[[#This Row],[аФакСец]])</f>
        <v>1</v>
      </c>
    </row>
    <row r="1649" spans="3:16" x14ac:dyDescent="0.25">
      <c r="C1649" s="614">
        <v>1643</v>
      </c>
      <c r="D1649" s="614">
        <v>11450</v>
      </c>
      <c r="E1649" s="64" t="s">
        <v>1640</v>
      </c>
      <c r="F1649" s="64" t="s">
        <v>7283</v>
      </c>
      <c r="G1649" s="614" t="s">
        <v>2788</v>
      </c>
      <c r="H1649" s="614" t="s">
        <v>681</v>
      </c>
      <c r="I1649" s="614" t="s">
        <v>1149</v>
      </c>
      <c r="J1649" s="64" t="s">
        <v>4352</v>
      </c>
      <c r="K1649" s="1940" t="s">
        <v>7281</v>
      </c>
      <c r="L1649" s="1940" t="s">
        <v>9283</v>
      </c>
      <c r="M1649" t="s">
        <v>12650</v>
      </c>
      <c r="N1649" t="s">
        <v>10998</v>
      </c>
      <c r="O1649" t="s">
        <v>7283</v>
      </c>
      <c r="P1649" s="614">
        <f>COUNTIF(EducPlans_кодНАЦИД_Спец[аФакСец],EducPlans_кодНАЦИД_Спец[[#This Row],[аФакСец]])</f>
        <v>1</v>
      </c>
    </row>
    <row r="1650" spans="3:16" x14ac:dyDescent="0.25">
      <c r="C1650" s="614">
        <v>1644</v>
      </c>
      <c r="D1650" s="614">
        <v>11989</v>
      </c>
      <c r="E1650" s="64" t="s">
        <v>2141</v>
      </c>
      <c r="F1650" s="64" t="s">
        <v>7284</v>
      </c>
      <c r="G1650" s="614" t="s">
        <v>628</v>
      </c>
      <c r="H1650" s="614" t="s">
        <v>682</v>
      </c>
      <c r="I1650" s="614" t="s">
        <v>1153</v>
      </c>
      <c r="J1650" s="64" t="s">
        <v>4252</v>
      </c>
      <c r="K1650" s="1940" t="s">
        <v>7285</v>
      </c>
      <c r="L1650" s="1940" t="s">
        <v>9284</v>
      </c>
      <c r="M1650" t="s">
        <v>12651</v>
      </c>
      <c r="N1650" t="s">
        <v>10999</v>
      </c>
      <c r="O1650" t="s">
        <v>7284</v>
      </c>
      <c r="P1650" s="614">
        <f>COUNTIF(EducPlans_кодНАЦИД_Спец[аФакСец],EducPlans_кодНАЦИД_Спец[[#This Row],[аФакСец]])</f>
        <v>1</v>
      </c>
    </row>
    <row r="1651" spans="3:16" x14ac:dyDescent="0.25">
      <c r="C1651" s="614">
        <v>1645</v>
      </c>
      <c r="D1651" s="614">
        <v>11978</v>
      </c>
      <c r="E1651" s="64" t="s">
        <v>2142</v>
      </c>
      <c r="F1651" s="64" t="s">
        <v>7286</v>
      </c>
      <c r="G1651" s="614" t="s">
        <v>628</v>
      </c>
      <c r="H1651" s="614" t="s">
        <v>682</v>
      </c>
      <c r="I1651" s="614" t="s">
        <v>1153</v>
      </c>
      <c r="J1651" s="64" t="s">
        <v>4253</v>
      </c>
      <c r="K1651" s="1940" t="s">
        <v>7287</v>
      </c>
      <c r="L1651" s="1940" t="s">
        <v>9285</v>
      </c>
      <c r="M1651" t="s">
        <v>12652</v>
      </c>
      <c r="N1651" t="s">
        <v>11000</v>
      </c>
      <c r="O1651" t="s">
        <v>7286</v>
      </c>
      <c r="P1651" s="614">
        <f>COUNTIF(EducPlans_кодНАЦИД_Спец[аФакСец],EducPlans_кодНАЦИД_Спец[[#This Row],[аФакСец]])</f>
        <v>1</v>
      </c>
    </row>
    <row r="1652" spans="3:16" x14ac:dyDescent="0.25">
      <c r="C1652" s="614">
        <v>1646</v>
      </c>
      <c r="D1652" s="614">
        <v>11978</v>
      </c>
      <c r="E1652" s="64" t="s">
        <v>2142</v>
      </c>
      <c r="F1652" s="64" t="s">
        <v>7288</v>
      </c>
      <c r="G1652" s="614" t="s">
        <v>628</v>
      </c>
      <c r="H1652" s="614" t="s">
        <v>682</v>
      </c>
      <c r="I1652" s="614" t="s">
        <v>1153</v>
      </c>
      <c r="J1652" s="64" t="s">
        <v>4254</v>
      </c>
      <c r="K1652" s="1940" t="s">
        <v>7287</v>
      </c>
      <c r="L1652" s="1940" t="s">
        <v>9286</v>
      </c>
      <c r="M1652" t="s">
        <v>12653</v>
      </c>
      <c r="N1652" t="s">
        <v>11001</v>
      </c>
      <c r="O1652" t="s">
        <v>7288</v>
      </c>
      <c r="P1652" s="614">
        <f>COUNTIF(EducPlans_кодНАЦИД_Спец[аФакСец],EducPlans_кодНАЦИД_Спец[[#This Row],[аФакСец]])</f>
        <v>1</v>
      </c>
    </row>
    <row r="1653" spans="3:16" x14ac:dyDescent="0.25">
      <c r="C1653" s="614">
        <v>1647</v>
      </c>
      <c r="D1653" s="614">
        <v>11987</v>
      </c>
      <c r="E1653" s="64" t="s">
        <v>2143</v>
      </c>
      <c r="F1653" s="64" t="s">
        <v>7289</v>
      </c>
      <c r="G1653" s="614" t="s">
        <v>628</v>
      </c>
      <c r="H1653" s="614" t="s">
        <v>682</v>
      </c>
      <c r="I1653" s="614" t="s">
        <v>1153</v>
      </c>
      <c r="J1653" s="64" t="s">
        <v>4255</v>
      </c>
      <c r="K1653" s="1940" t="s">
        <v>7290</v>
      </c>
      <c r="L1653" s="1940" t="s">
        <v>9287</v>
      </c>
      <c r="M1653" t="s">
        <v>12654</v>
      </c>
      <c r="N1653" t="s">
        <v>11002</v>
      </c>
      <c r="O1653" t="s">
        <v>7289</v>
      </c>
      <c r="P1653" s="614">
        <f>COUNTIF(EducPlans_кодНАЦИД_Спец[аФакСец],EducPlans_кодНАЦИД_Спец[[#This Row],[аФакСец]])</f>
        <v>1</v>
      </c>
    </row>
    <row r="1654" spans="3:16" x14ac:dyDescent="0.25">
      <c r="C1654" s="614">
        <v>1648</v>
      </c>
      <c r="D1654" s="614">
        <v>11991</v>
      </c>
      <c r="E1654" s="64" t="s">
        <v>2144</v>
      </c>
      <c r="F1654" s="64" t="s">
        <v>7291</v>
      </c>
      <c r="G1654" s="614" t="s">
        <v>628</v>
      </c>
      <c r="H1654" s="614" t="s">
        <v>682</v>
      </c>
      <c r="I1654" s="614" t="s">
        <v>1153</v>
      </c>
      <c r="J1654" s="64" t="s">
        <v>4256</v>
      </c>
      <c r="K1654" s="1940" t="s">
        <v>7292</v>
      </c>
      <c r="L1654" s="1940" t="s">
        <v>9288</v>
      </c>
      <c r="M1654" t="s">
        <v>12655</v>
      </c>
      <c r="N1654" t="s">
        <v>11003</v>
      </c>
      <c r="O1654" t="s">
        <v>7291</v>
      </c>
      <c r="P1654" s="614">
        <f>COUNTIF(EducPlans_кодНАЦИД_Спец[аФакСец],EducPlans_кодНАЦИД_Спец[[#This Row],[аФакСец]])</f>
        <v>1</v>
      </c>
    </row>
    <row r="1655" spans="3:16" x14ac:dyDescent="0.25">
      <c r="C1655" s="614">
        <v>1649</v>
      </c>
      <c r="D1655" s="614">
        <v>11991</v>
      </c>
      <c r="E1655" s="64" t="s">
        <v>2144</v>
      </c>
      <c r="F1655" s="64" t="s">
        <v>7293</v>
      </c>
      <c r="G1655" s="614" t="s">
        <v>628</v>
      </c>
      <c r="H1655" s="614" t="s">
        <v>682</v>
      </c>
      <c r="I1655" s="614" t="s">
        <v>1153</v>
      </c>
      <c r="J1655" s="64" t="s">
        <v>4257</v>
      </c>
      <c r="K1655" s="1940" t="s">
        <v>7292</v>
      </c>
      <c r="L1655" s="1940" t="s">
        <v>9289</v>
      </c>
      <c r="M1655" t="s">
        <v>12656</v>
      </c>
      <c r="N1655" t="s">
        <v>11004</v>
      </c>
      <c r="O1655" t="s">
        <v>7293</v>
      </c>
      <c r="P1655" s="614">
        <f>COUNTIF(EducPlans_кодНАЦИД_Спец[аФакСец],EducPlans_кодНАЦИД_Спец[[#This Row],[аФакСец]])</f>
        <v>1</v>
      </c>
    </row>
    <row r="1656" spans="3:16" x14ac:dyDescent="0.25">
      <c r="C1656" s="614">
        <v>1650</v>
      </c>
      <c r="D1656" s="614">
        <v>11994</v>
      </c>
      <c r="E1656" s="64" t="s">
        <v>2145</v>
      </c>
      <c r="F1656" s="64" t="s">
        <v>7294</v>
      </c>
      <c r="G1656" s="614" t="s">
        <v>628</v>
      </c>
      <c r="H1656" s="614" t="s">
        <v>682</v>
      </c>
      <c r="I1656" s="614" t="s">
        <v>1153</v>
      </c>
      <c r="J1656" s="64" t="s">
        <v>4258</v>
      </c>
      <c r="K1656" s="1940" t="s">
        <v>7295</v>
      </c>
      <c r="L1656" s="1940" t="s">
        <v>9290</v>
      </c>
      <c r="M1656" t="s">
        <v>12657</v>
      </c>
      <c r="N1656" t="s">
        <v>11005</v>
      </c>
      <c r="O1656" t="s">
        <v>7294</v>
      </c>
      <c r="P1656" s="614">
        <f>COUNTIF(EducPlans_кодНАЦИД_Спец[аФакСец],EducPlans_кодНАЦИД_Спец[[#This Row],[аФакСец]])</f>
        <v>1</v>
      </c>
    </row>
    <row r="1657" spans="3:16" x14ac:dyDescent="0.25">
      <c r="C1657" s="614">
        <v>1651</v>
      </c>
      <c r="D1657" s="614">
        <v>11994</v>
      </c>
      <c r="E1657" s="64" t="s">
        <v>2145</v>
      </c>
      <c r="F1657" s="64" t="s">
        <v>7296</v>
      </c>
      <c r="G1657" s="614" t="s">
        <v>628</v>
      </c>
      <c r="H1657" s="614" t="s">
        <v>682</v>
      </c>
      <c r="I1657" s="614" t="s">
        <v>1153</v>
      </c>
      <c r="J1657" s="64" t="s">
        <v>4259</v>
      </c>
      <c r="K1657" s="1940" t="s">
        <v>7295</v>
      </c>
      <c r="L1657" s="1940" t="s">
        <v>9291</v>
      </c>
      <c r="M1657" t="s">
        <v>12658</v>
      </c>
      <c r="N1657" t="s">
        <v>11006</v>
      </c>
      <c r="O1657" t="s">
        <v>7296</v>
      </c>
      <c r="P1657" s="614">
        <f>COUNTIF(EducPlans_кодНАЦИД_Спец[аФакСец],EducPlans_кодНАЦИД_Спец[[#This Row],[аФакСец]])</f>
        <v>1</v>
      </c>
    </row>
    <row r="1658" spans="3:16" x14ac:dyDescent="0.25">
      <c r="C1658" s="614">
        <v>1652</v>
      </c>
      <c r="D1658" s="614">
        <v>11783</v>
      </c>
      <c r="E1658" s="64" t="s">
        <v>2311</v>
      </c>
      <c r="F1658" s="64" t="s">
        <v>7297</v>
      </c>
      <c r="G1658" s="614" t="s">
        <v>26</v>
      </c>
      <c r="H1658" s="614" t="s">
        <v>682</v>
      </c>
      <c r="I1658" s="614" t="s">
        <v>1153</v>
      </c>
      <c r="J1658" s="64" t="s">
        <v>7298</v>
      </c>
      <c r="K1658" s="1940" t="s">
        <v>7299</v>
      </c>
      <c r="L1658" s="1940" t="s">
        <v>9292</v>
      </c>
      <c r="M1658" t="s">
        <v>12659</v>
      </c>
      <c r="N1658" t="s">
        <v>11007</v>
      </c>
      <c r="O1658" t="s">
        <v>7297</v>
      </c>
      <c r="P1658" s="614">
        <f>COUNTIF(EducPlans_кодНАЦИД_Спец[аФакСец],EducPlans_кодНАЦИД_Спец[[#This Row],[аФакСец]])</f>
        <v>1</v>
      </c>
    </row>
    <row r="1659" spans="3:16" x14ac:dyDescent="0.25">
      <c r="C1659" s="614">
        <v>1653</v>
      </c>
      <c r="D1659" s="614">
        <v>11783</v>
      </c>
      <c r="E1659" s="64" t="s">
        <v>2311</v>
      </c>
      <c r="F1659" s="64" t="s">
        <v>7300</v>
      </c>
      <c r="G1659" s="614" t="s">
        <v>26</v>
      </c>
      <c r="H1659" s="614" t="s">
        <v>682</v>
      </c>
      <c r="I1659" s="614" t="s">
        <v>1153</v>
      </c>
      <c r="J1659" s="64" t="s">
        <v>3753</v>
      </c>
      <c r="K1659" s="1940" t="s">
        <v>7299</v>
      </c>
      <c r="L1659" s="1940" t="s">
        <v>9293</v>
      </c>
      <c r="M1659" t="s">
        <v>12660</v>
      </c>
      <c r="N1659" t="s">
        <v>11008</v>
      </c>
      <c r="O1659" t="s">
        <v>7300</v>
      </c>
      <c r="P1659" s="614">
        <f>COUNTIF(EducPlans_кодНАЦИД_Спец[аФакСец],EducPlans_кодНАЦИД_Спец[[#This Row],[аФакСец]])</f>
        <v>3</v>
      </c>
    </row>
    <row r="1660" spans="3:16" x14ac:dyDescent="0.25">
      <c r="C1660" s="614">
        <v>1654</v>
      </c>
      <c r="D1660" s="614">
        <v>11784</v>
      </c>
      <c r="E1660" s="64" t="s">
        <v>2311</v>
      </c>
      <c r="F1660" s="64" t="s">
        <v>7301</v>
      </c>
      <c r="G1660" s="614" t="s">
        <v>26</v>
      </c>
      <c r="H1660" s="614" t="s">
        <v>682</v>
      </c>
      <c r="I1660" s="614" t="s">
        <v>1149</v>
      </c>
      <c r="J1660" s="64" t="s">
        <v>3751</v>
      </c>
      <c r="K1660" s="1940" t="s">
        <v>7302</v>
      </c>
      <c r="L1660" s="1940" t="s">
        <v>9294</v>
      </c>
      <c r="M1660" t="s">
        <v>12661</v>
      </c>
      <c r="N1660" t="s">
        <v>11009</v>
      </c>
      <c r="O1660" t="s">
        <v>7301</v>
      </c>
      <c r="P1660" s="614">
        <f>COUNTIF(EducPlans_кодНАЦИД_Спец[аФакСец],EducPlans_кодНАЦИД_Спец[[#This Row],[аФакСец]])</f>
        <v>3</v>
      </c>
    </row>
    <row r="1661" spans="3:16" x14ac:dyDescent="0.25">
      <c r="C1661" s="614">
        <v>1655</v>
      </c>
      <c r="D1661" s="614">
        <v>725251</v>
      </c>
      <c r="E1661" s="64" t="s">
        <v>13993</v>
      </c>
      <c r="F1661" s="64" t="s">
        <v>13994</v>
      </c>
      <c r="G1661" s="614" t="s">
        <v>26</v>
      </c>
      <c r="H1661" s="614" t="s">
        <v>682</v>
      </c>
      <c r="I1661" s="614" t="s">
        <v>1153</v>
      </c>
      <c r="J1661" s="64" t="s">
        <v>13995</v>
      </c>
      <c r="K1661" s="1940" t="s">
        <v>13996</v>
      </c>
      <c r="L1661" s="1940" t="s">
        <v>13997</v>
      </c>
      <c r="M1661" t="s">
        <v>13998</v>
      </c>
      <c r="N1661" t="s">
        <v>13999</v>
      </c>
      <c r="O1661" t="s">
        <v>13994</v>
      </c>
      <c r="P1661" s="614">
        <f>COUNTIF(EducPlans_кодНАЦИД_Спец[аФакСец],EducPlans_кодНАЦИД_Спец[[#This Row],[аФакСец]])</f>
        <v>1</v>
      </c>
    </row>
    <row r="1662" spans="3:16" x14ac:dyDescent="0.25">
      <c r="C1662" s="614">
        <v>1656</v>
      </c>
      <c r="D1662" s="614">
        <v>11855</v>
      </c>
      <c r="E1662" s="64" t="s">
        <v>2358</v>
      </c>
      <c r="F1662" s="64" t="s">
        <v>7303</v>
      </c>
      <c r="G1662" s="614" t="s">
        <v>26</v>
      </c>
      <c r="H1662" s="614" t="s">
        <v>682</v>
      </c>
      <c r="I1662" s="614" t="s">
        <v>1153</v>
      </c>
      <c r="J1662" s="64" t="s">
        <v>3750</v>
      </c>
      <c r="K1662" s="1940" t="s">
        <v>7304</v>
      </c>
      <c r="L1662" s="1940" t="s">
        <v>9295</v>
      </c>
      <c r="M1662" t="s">
        <v>12662</v>
      </c>
      <c r="N1662" t="s">
        <v>11010</v>
      </c>
      <c r="O1662" t="s">
        <v>7303</v>
      </c>
      <c r="P1662" s="614">
        <f>COUNTIF(EducPlans_кодНАЦИД_Спец[аФакСец],EducPlans_кодНАЦИД_Спец[[#This Row],[аФакСец]])</f>
        <v>1</v>
      </c>
    </row>
    <row r="1663" spans="3:16" x14ac:dyDescent="0.25">
      <c r="C1663" s="614">
        <v>1657</v>
      </c>
      <c r="D1663" s="614">
        <v>458208</v>
      </c>
      <c r="E1663" s="64" t="s">
        <v>7305</v>
      </c>
      <c r="F1663" s="64" t="s">
        <v>7306</v>
      </c>
      <c r="G1663" s="614" t="s">
        <v>26</v>
      </c>
      <c r="H1663" s="614" t="s">
        <v>682</v>
      </c>
      <c r="I1663" s="614" t="s">
        <v>1153</v>
      </c>
      <c r="J1663" s="64" t="s">
        <v>7307</v>
      </c>
      <c r="K1663" s="1940" t="s">
        <v>7308</v>
      </c>
      <c r="L1663" s="1940" t="s">
        <v>9296</v>
      </c>
      <c r="M1663" t="s">
        <v>12663</v>
      </c>
      <c r="N1663" t="s">
        <v>11011</v>
      </c>
      <c r="O1663" t="s">
        <v>7306</v>
      </c>
      <c r="P1663" s="614">
        <f>COUNTIF(EducPlans_кодНАЦИД_Спец[аФакСец],EducPlans_кодНАЦИД_Спец[[#This Row],[аФакСец]])</f>
        <v>2</v>
      </c>
    </row>
    <row r="1664" spans="3:16" x14ac:dyDescent="0.25">
      <c r="C1664" s="614">
        <v>1658</v>
      </c>
      <c r="D1664" s="614">
        <v>458208</v>
      </c>
      <c r="E1664" s="64" t="s">
        <v>7305</v>
      </c>
      <c r="F1664" s="64" t="s">
        <v>14000</v>
      </c>
      <c r="G1664" s="614" t="s">
        <v>26</v>
      </c>
      <c r="H1664" s="614" t="s">
        <v>682</v>
      </c>
      <c r="I1664" s="614" t="s">
        <v>1153</v>
      </c>
      <c r="J1664" s="64" t="s">
        <v>14001</v>
      </c>
      <c r="K1664" s="1940" t="s">
        <v>7308</v>
      </c>
      <c r="L1664" s="1940" t="s">
        <v>14002</v>
      </c>
      <c r="M1664" t="s">
        <v>14003</v>
      </c>
      <c r="N1664" t="s">
        <v>14004</v>
      </c>
      <c r="O1664" t="s">
        <v>14000</v>
      </c>
      <c r="P1664" s="614">
        <f>COUNTIF(EducPlans_кодНАЦИД_Спец[аФакСец],EducPlans_кодНАЦИД_Спец[[#This Row],[аФакСец]])</f>
        <v>1</v>
      </c>
    </row>
    <row r="1665" spans="3:16" x14ac:dyDescent="0.25">
      <c r="C1665" s="614">
        <v>1659</v>
      </c>
      <c r="D1665" s="614">
        <v>858897</v>
      </c>
      <c r="E1665" s="64" t="s">
        <v>7305</v>
      </c>
      <c r="F1665" s="64" t="s">
        <v>14005</v>
      </c>
      <c r="G1665" s="614" t="s">
        <v>26</v>
      </c>
      <c r="H1665" s="614" t="s">
        <v>682</v>
      </c>
      <c r="I1665" s="614" t="s">
        <v>1153</v>
      </c>
      <c r="J1665" s="64" t="s">
        <v>7307</v>
      </c>
      <c r="K1665" s="1940" t="s">
        <v>7308</v>
      </c>
      <c r="L1665" s="1940" t="s">
        <v>9296</v>
      </c>
      <c r="M1665" t="s">
        <v>12663</v>
      </c>
      <c r="N1665" t="s">
        <v>11011</v>
      </c>
      <c r="O1665" t="s">
        <v>14005</v>
      </c>
      <c r="P1665" s="614">
        <f>COUNTIF(EducPlans_кодНАЦИД_Спец[аФакСец],EducPlans_кодНАЦИД_Спец[[#This Row],[аФакСец]])</f>
        <v>2</v>
      </c>
    </row>
    <row r="1666" spans="3:16" x14ac:dyDescent="0.25">
      <c r="C1666" s="614">
        <v>1660</v>
      </c>
      <c r="D1666" s="614">
        <v>980149</v>
      </c>
      <c r="E1666" s="64" t="s">
        <v>7305</v>
      </c>
      <c r="F1666" s="64" t="s">
        <v>14006</v>
      </c>
      <c r="G1666" s="614" t="s">
        <v>26</v>
      </c>
      <c r="H1666" s="614" t="s">
        <v>682</v>
      </c>
      <c r="I1666" s="614" t="s">
        <v>1167</v>
      </c>
      <c r="J1666" s="64" t="s">
        <v>14007</v>
      </c>
      <c r="K1666" s="1940" t="s">
        <v>14008</v>
      </c>
      <c r="L1666" s="1940" t="s">
        <v>14009</v>
      </c>
      <c r="M1666" t="s">
        <v>14010</v>
      </c>
      <c r="N1666" t="s">
        <v>14011</v>
      </c>
      <c r="O1666" t="s">
        <v>14006</v>
      </c>
      <c r="P1666" s="614">
        <f>COUNTIF(EducPlans_кодНАЦИД_Спец[аФакСец],EducPlans_кодНАЦИД_Спец[[#This Row],[аФакСец]])</f>
        <v>1</v>
      </c>
    </row>
    <row r="1667" spans="3:16" x14ac:dyDescent="0.25">
      <c r="C1667" s="614">
        <v>1661</v>
      </c>
      <c r="D1667" s="614">
        <v>11768</v>
      </c>
      <c r="E1667" s="64" t="s">
        <v>1341</v>
      </c>
      <c r="F1667" s="64" t="s">
        <v>7309</v>
      </c>
      <c r="G1667" s="614" t="s">
        <v>26</v>
      </c>
      <c r="H1667" s="614" t="s">
        <v>682</v>
      </c>
      <c r="I1667" s="614" t="s">
        <v>1153</v>
      </c>
      <c r="J1667" s="64" t="s">
        <v>3753</v>
      </c>
      <c r="K1667" s="1940" t="s">
        <v>7310</v>
      </c>
      <c r="L1667" s="1940" t="s">
        <v>9293</v>
      </c>
      <c r="M1667" t="s">
        <v>12664</v>
      </c>
      <c r="N1667" t="s">
        <v>11008</v>
      </c>
      <c r="O1667" t="s">
        <v>7309</v>
      </c>
      <c r="P1667" s="614">
        <f>COUNTIF(EducPlans_кодНАЦИД_Спец[аФакСец],EducPlans_кодНАЦИД_Спец[[#This Row],[аФакСец]])</f>
        <v>3</v>
      </c>
    </row>
    <row r="1668" spans="3:16" x14ac:dyDescent="0.25">
      <c r="C1668" s="614">
        <v>1662</v>
      </c>
      <c r="D1668" s="614">
        <v>11770</v>
      </c>
      <c r="E1668" s="64" t="s">
        <v>1341</v>
      </c>
      <c r="F1668" s="64" t="s">
        <v>7311</v>
      </c>
      <c r="G1668" s="614" t="s">
        <v>26</v>
      </c>
      <c r="H1668" s="614" t="s">
        <v>682</v>
      </c>
      <c r="I1668" s="614" t="s">
        <v>1149</v>
      </c>
      <c r="J1668" s="64" t="s">
        <v>3751</v>
      </c>
      <c r="K1668" s="1940" t="s">
        <v>7312</v>
      </c>
      <c r="L1668" s="1940" t="s">
        <v>9294</v>
      </c>
      <c r="M1668" t="s">
        <v>12665</v>
      </c>
      <c r="N1668" t="s">
        <v>11009</v>
      </c>
      <c r="O1668" t="s">
        <v>7311</v>
      </c>
      <c r="P1668" s="614">
        <f>COUNTIF(EducPlans_кодНАЦИД_Спец[аФакСец],EducPlans_кодНАЦИД_Спец[[#This Row],[аФакСец]])</f>
        <v>3</v>
      </c>
    </row>
    <row r="1669" spans="3:16" x14ac:dyDescent="0.25">
      <c r="C1669" s="614">
        <v>1663</v>
      </c>
      <c r="D1669" s="614">
        <v>11776</v>
      </c>
      <c r="E1669" s="64" t="s">
        <v>1341</v>
      </c>
      <c r="F1669" s="64" t="s">
        <v>7313</v>
      </c>
      <c r="G1669" s="614" t="s">
        <v>26</v>
      </c>
      <c r="H1669" s="614" t="s">
        <v>682</v>
      </c>
      <c r="I1669" s="614" t="s">
        <v>1149</v>
      </c>
      <c r="J1669" s="64" t="s">
        <v>3751</v>
      </c>
      <c r="K1669" s="1940" t="s">
        <v>7314</v>
      </c>
      <c r="L1669" s="1940" t="s">
        <v>9294</v>
      </c>
      <c r="M1669" t="s">
        <v>12665</v>
      </c>
      <c r="N1669" t="s">
        <v>11009</v>
      </c>
      <c r="O1669" t="s">
        <v>7313</v>
      </c>
      <c r="P1669" s="614">
        <f>COUNTIF(EducPlans_кодНАЦИД_Спец[аФакСец],EducPlans_кодНАЦИД_Спец[[#This Row],[аФакСец]])</f>
        <v>3</v>
      </c>
    </row>
    <row r="1670" spans="3:16" x14ac:dyDescent="0.25">
      <c r="C1670" s="614">
        <v>1664</v>
      </c>
      <c r="D1670" s="614">
        <v>11776</v>
      </c>
      <c r="E1670" s="64" t="s">
        <v>1341</v>
      </c>
      <c r="F1670" s="64" t="s">
        <v>7315</v>
      </c>
      <c r="G1670" s="614" t="s">
        <v>26</v>
      </c>
      <c r="H1670" s="614" t="s">
        <v>682</v>
      </c>
      <c r="I1670" s="614" t="s">
        <v>1149</v>
      </c>
      <c r="J1670" s="64" t="s">
        <v>3752</v>
      </c>
      <c r="K1670" s="1940" t="s">
        <v>7314</v>
      </c>
      <c r="L1670" s="1940" t="s">
        <v>9297</v>
      </c>
      <c r="M1670" t="s">
        <v>12666</v>
      </c>
      <c r="N1670" t="s">
        <v>11012</v>
      </c>
      <c r="O1670" t="s">
        <v>7315</v>
      </c>
      <c r="P1670" s="614">
        <f>COUNTIF(EducPlans_кодНАЦИД_Спец[аФакСец],EducPlans_кодНАЦИД_Спец[[#This Row],[аФакСец]])</f>
        <v>1</v>
      </c>
    </row>
    <row r="1671" spans="3:16" x14ac:dyDescent="0.25">
      <c r="C1671" s="614">
        <v>1665</v>
      </c>
      <c r="D1671" s="614">
        <v>11778</v>
      </c>
      <c r="E1671" s="64" t="s">
        <v>1342</v>
      </c>
      <c r="F1671" s="64" t="s">
        <v>7316</v>
      </c>
      <c r="G1671" s="614" t="s">
        <v>26</v>
      </c>
      <c r="H1671" s="614" t="s">
        <v>682</v>
      </c>
      <c r="I1671" s="614" t="s">
        <v>1153</v>
      </c>
      <c r="J1671" s="64" t="s">
        <v>3753</v>
      </c>
      <c r="K1671" s="1940" t="s">
        <v>7317</v>
      </c>
      <c r="L1671" s="1940" t="s">
        <v>9293</v>
      </c>
      <c r="M1671" t="s">
        <v>12667</v>
      </c>
      <c r="N1671" t="s">
        <v>11008</v>
      </c>
      <c r="O1671" t="s">
        <v>7316</v>
      </c>
      <c r="P1671" s="614">
        <f>COUNTIF(EducPlans_кодНАЦИД_Спец[аФакСец],EducPlans_кодНАЦИД_Спец[[#This Row],[аФакСец]])</f>
        <v>3</v>
      </c>
    </row>
    <row r="1672" spans="3:16" x14ac:dyDescent="0.25">
      <c r="C1672" s="614">
        <v>1666</v>
      </c>
      <c r="D1672" s="614">
        <v>11778</v>
      </c>
      <c r="E1672" s="64" t="s">
        <v>1342</v>
      </c>
      <c r="F1672" s="64" t="s">
        <v>7318</v>
      </c>
      <c r="G1672" s="614" t="s">
        <v>26</v>
      </c>
      <c r="H1672" s="614" t="s">
        <v>682</v>
      </c>
      <c r="I1672" s="614" t="s">
        <v>1153</v>
      </c>
      <c r="J1672" s="64" t="s">
        <v>3754</v>
      </c>
      <c r="K1672" s="1940" t="s">
        <v>7317</v>
      </c>
      <c r="L1672" s="1940" t="s">
        <v>9298</v>
      </c>
      <c r="M1672" t="s">
        <v>12668</v>
      </c>
      <c r="N1672" t="s">
        <v>11013</v>
      </c>
      <c r="O1672" t="s">
        <v>7318</v>
      </c>
      <c r="P1672" s="614">
        <f>COUNTIF(EducPlans_кодНАЦИД_Спец[аФакСец],EducPlans_кодНАЦИД_Спец[[#This Row],[аФакСец]])</f>
        <v>1</v>
      </c>
    </row>
    <row r="1673" spans="3:16" x14ac:dyDescent="0.25">
      <c r="C1673" s="614">
        <v>1667</v>
      </c>
      <c r="D1673" s="614">
        <v>11838</v>
      </c>
      <c r="E1673" s="64" t="s">
        <v>2359</v>
      </c>
      <c r="F1673" s="64" t="s">
        <v>7319</v>
      </c>
      <c r="G1673" s="614" t="s">
        <v>26</v>
      </c>
      <c r="H1673" s="614" t="s">
        <v>682</v>
      </c>
      <c r="I1673" s="614" t="s">
        <v>1153</v>
      </c>
      <c r="J1673" s="64" t="s">
        <v>3755</v>
      </c>
      <c r="K1673" s="1940" t="s">
        <v>7320</v>
      </c>
      <c r="L1673" s="1940" t="s">
        <v>9299</v>
      </c>
      <c r="M1673" t="s">
        <v>12669</v>
      </c>
      <c r="N1673" t="s">
        <v>11014</v>
      </c>
      <c r="O1673" t="s">
        <v>7319</v>
      </c>
      <c r="P1673" s="614">
        <f>COUNTIF(EducPlans_кодНАЦИД_Спец[аФакСец],EducPlans_кодНАЦИД_Спец[[#This Row],[аФакСец]])</f>
        <v>1</v>
      </c>
    </row>
    <row r="1674" spans="3:16" x14ac:dyDescent="0.25">
      <c r="C1674" s="614">
        <v>1668</v>
      </c>
      <c r="D1674" s="614">
        <v>12950</v>
      </c>
      <c r="E1674" s="64" t="s">
        <v>1837</v>
      </c>
      <c r="F1674" s="64" t="s">
        <v>7321</v>
      </c>
      <c r="G1674" s="614" t="s">
        <v>42</v>
      </c>
      <c r="H1674" s="614" t="s">
        <v>682</v>
      </c>
      <c r="I1674" s="614" t="s">
        <v>1149</v>
      </c>
      <c r="J1674" s="64" t="s">
        <v>3503</v>
      </c>
      <c r="K1674" s="1940" t="s">
        <v>7322</v>
      </c>
      <c r="L1674" s="1940" t="s">
        <v>9300</v>
      </c>
      <c r="M1674" t="s">
        <v>12670</v>
      </c>
      <c r="N1674" t="s">
        <v>11015</v>
      </c>
      <c r="O1674" t="s">
        <v>7321</v>
      </c>
      <c r="P1674" s="614">
        <f>COUNTIF(EducPlans_кодНАЦИД_Спец[аФакСец],EducPlans_кодНАЦИД_Спец[[#This Row],[аФакСец]])</f>
        <v>1</v>
      </c>
    </row>
    <row r="1675" spans="3:16" x14ac:dyDescent="0.25">
      <c r="C1675" s="614">
        <v>1669</v>
      </c>
      <c r="D1675" s="614">
        <v>11423</v>
      </c>
      <c r="E1675" s="64" t="s">
        <v>1485</v>
      </c>
      <c r="F1675" s="64" t="s">
        <v>7323</v>
      </c>
      <c r="G1675" s="614" t="s">
        <v>647</v>
      </c>
      <c r="H1675" s="614" t="s">
        <v>682</v>
      </c>
      <c r="I1675" s="614" t="s">
        <v>1153</v>
      </c>
      <c r="J1675" s="64" t="s">
        <v>3969</v>
      </c>
      <c r="K1675" s="1940" t="s">
        <v>7324</v>
      </c>
      <c r="L1675" s="1940" t="s">
        <v>9301</v>
      </c>
      <c r="M1675" t="s">
        <v>12671</v>
      </c>
      <c r="N1675" t="s">
        <v>11016</v>
      </c>
      <c r="O1675" t="s">
        <v>7323</v>
      </c>
      <c r="P1675" s="614">
        <f>COUNTIF(EducPlans_кодНАЦИД_Спец[аФакСец],EducPlans_кодНАЦИД_Спец[[#This Row],[аФакСец]])</f>
        <v>1</v>
      </c>
    </row>
    <row r="1676" spans="3:16" x14ac:dyDescent="0.25">
      <c r="C1676" s="614">
        <v>1670</v>
      </c>
      <c r="D1676" s="614">
        <v>11429</v>
      </c>
      <c r="E1676" s="64" t="s">
        <v>1485</v>
      </c>
      <c r="F1676" s="64" t="s">
        <v>7325</v>
      </c>
      <c r="G1676" s="614" t="s">
        <v>647</v>
      </c>
      <c r="H1676" s="614" t="s">
        <v>682</v>
      </c>
      <c r="I1676" s="614" t="s">
        <v>1153</v>
      </c>
      <c r="J1676" s="64" t="s">
        <v>3970</v>
      </c>
      <c r="K1676" s="1940" t="s">
        <v>7326</v>
      </c>
      <c r="L1676" s="1940" t="s">
        <v>9302</v>
      </c>
      <c r="M1676" t="s">
        <v>12672</v>
      </c>
      <c r="N1676" t="s">
        <v>11017</v>
      </c>
      <c r="O1676" t="s">
        <v>7325</v>
      </c>
      <c r="P1676" s="614">
        <f>COUNTIF(EducPlans_кодНАЦИД_Спец[аФакСец],EducPlans_кодНАЦИД_Спец[[#This Row],[аФакСец]])</f>
        <v>1</v>
      </c>
    </row>
    <row r="1677" spans="3:16" x14ac:dyDescent="0.25">
      <c r="C1677" s="614">
        <v>1671</v>
      </c>
      <c r="D1677" s="614">
        <v>11425</v>
      </c>
      <c r="E1677" s="64" t="s">
        <v>1485</v>
      </c>
      <c r="F1677" s="64" t="s">
        <v>7327</v>
      </c>
      <c r="G1677" s="614" t="s">
        <v>647</v>
      </c>
      <c r="H1677" s="614" t="s">
        <v>682</v>
      </c>
      <c r="I1677" s="614" t="s">
        <v>1149</v>
      </c>
      <c r="J1677" s="64" t="s">
        <v>3967</v>
      </c>
      <c r="K1677" s="1940" t="s">
        <v>7328</v>
      </c>
      <c r="L1677" s="1940" t="s">
        <v>9303</v>
      </c>
      <c r="M1677" t="s">
        <v>12673</v>
      </c>
      <c r="N1677" t="s">
        <v>11018</v>
      </c>
      <c r="O1677" t="s">
        <v>7327</v>
      </c>
      <c r="P1677" s="614">
        <f>COUNTIF(EducPlans_кодНАЦИД_Спец[аФакСец],EducPlans_кодНАЦИД_Спец[[#This Row],[аФакСец]])</f>
        <v>1</v>
      </c>
    </row>
    <row r="1678" spans="3:16" x14ac:dyDescent="0.25">
      <c r="C1678" s="614">
        <v>1672</v>
      </c>
      <c r="D1678" s="614">
        <v>11431</v>
      </c>
      <c r="E1678" s="64" t="s">
        <v>1485</v>
      </c>
      <c r="F1678" s="64" t="s">
        <v>7329</v>
      </c>
      <c r="G1678" s="614" t="s">
        <v>647</v>
      </c>
      <c r="H1678" s="614" t="s">
        <v>682</v>
      </c>
      <c r="I1678" s="614" t="s">
        <v>1149</v>
      </c>
      <c r="J1678" s="64" t="s">
        <v>3968</v>
      </c>
      <c r="K1678" s="1940" t="s">
        <v>7330</v>
      </c>
      <c r="L1678" s="1940" t="s">
        <v>9304</v>
      </c>
      <c r="M1678" t="s">
        <v>12674</v>
      </c>
      <c r="N1678" t="s">
        <v>11019</v>
      </c>
      <c r="O1678" t="s">
        <v>7329</v>
      </c>
      <c r="P1678" s="614">
        <f>COUNTIF(EducPlans_кодНАЦИД_Спец[аФакСец],EducPlans_кодНАЦИД_Спец[[#This Row],[аФакСец]])</f>
        <v>1</v>
      </c>
    </row>
    <row r="1679" spans="3:16" x14ac:dyDescent="0.25">
      <c r="C1679" s="614">
        <v>1673</v>
      </c>
      <c r="D1679" s="614">
        <v>10932</v>
      </c>
      <c r="E1679" s="64" t="s">
        <v>1714</v>
      </c>
      <c r="F1679" s="64" t="s">
        <v>7331</v>
      </c>
      <c r="G1679" s="614" t="s">
        <v>35</v>
      </c>
      <c r="H1679" s="614" t="s">
        <v>682</v>
      </c>
      <c r="I1679" s="614" t="s">
        <v>1153</v>
      </c>
      <c r="J1679" s="64" t="s">
        <v>4114</v>
      </c>
      <c r="K1679" s="1940" t="s">
        <v>7332</v>
      </c>
      <c r="L1679" s="1940" t="s">
        <v>9305</v>
      </c>
      <c r="M1679" t="s">
        <v>12675</v>
      </c>
      <c r="N1679" t="s">
        <v>11020</v>
      </c>
      <c r="O1679" t="s">
        <v>7331</v>
      </c>
      <c r="P1679" s="614">
        <f>COUNTIF(EducPlans_кодНАЦИД_Спец[аФакСец],EducPlans_кодНАЦИД_Спец[[#This Row],[аФакСец]])</f>
        <v>1</v>
      </c>
    </row>
    <row r="1680" spans="3:16" x14ac:dyDescent="0.25">
      <c r="C1680" s="614">
        <v>1674</v>
      </c>
      <c r="D1680" s="614">
        <v>10934</v>
      </c>
      <c r="E1680" s="64" t="s">
        <v>1714</v>
      </c>
      <c r="F1680" s="64" t="s">
        <v>7333</v>
      </c>
      <c r="G1680" s="614" t="s">
        <v>35</v>
      </c>
      <c r="H1680" s="614" t="s">
        <v>682</v>
      </c>
      <c r="I1680" s="614" t="s">
        <v>1149</v>
      </c>
      <c r="J1680" s="64" t="s">
        <v>4113</v>
      </c>
      <c r="K1680" s="1940" t="s">
        <v>7334</v>
      </c>
      <c r="L1680" s="1940" t="s">
        <v>9306</v>
      </c>
      <c r="M1680" t="s">
        <v>12676</v>
      </c>
      <c r="N1680" t="s">
        <v>11021</v>
      </c>
      <c r="O1680" t="s">
        <v>7333</v>
      </c>
      <c r="P1680" s="614">
        <f>COUNTIF(EducPlans_кодНАЦИД_Спец[аФакСец],EducPlans_кодНАЦИД_Спец[[#This Row],[аФакСец]])</f>
        <v>1</v>
      </c>
    </row>
    <row r="1681" spans="3:16" x14ac:dyDescent="0.25">
      <c r="C1681" s="614">
        <v>1675</v>
      </c>
      <c r="D1681" s="614">
        <v>557879</v>
      </c>
      <c r="E1681" s="64" t="s">
        <v>7335</v>
      </c>
      <c r="F1681" s="64" t="s">
        <v>7336</v>
      </c>
      <c r="G1681" s="614" t="s">
        <v>35</v>
      </c>
      <c r="H1681" s="614" t="s">
        <v>682</v>
      </c>
      <c r="I1681" s="614" t="s">
        <v>1153</v>
      </c>
      <c r="J1681" s="64" t="s">
        <v>7337</v>
      </c>
      <c r="K1681" s="1940" t="s">
        <v>7338</v>
      </c>
      <c r="L1681" s="1940" t="s">
        <v>9307</v>
      </c>
      <c r="M1681" t="s">
        <v>12677</v>
      </c>
      <c r="N1681" t="s">
        <v>11022</v>
      </c>
      <c r="O1681" t="s">
        <v>7336</v>
      </c>
      <c r="P1681" s="614">
        <f>COUNTIF(EducPlans_кодНАЦИД_Спец[аФакСец],EducPlans_кодНАЦИД_Спец[[#This Row],[аФакСец]])</f>
        <v>1</v>
      </c>
    </row>
    <row r="1682" spans="3:16" x14ac:dyDescent="0.25">
      <c r="C1682" s="614">
        <v>1676</v>
      </c>
      <c r="D1682" s="614">
        <v>569738</v>
      </c>
      <c r="E1682" s="64" t="s">
        <v>7335</v>
      </c>
      <c r="F1682" s="64" t="s">
        <v>7339</v>
      </c>
      <c r="G1682" s="614" t="s">
        <v>35</v>
      </c>
      <c r="H1682" s="614" t="s">
        <v>682</v>
      </c>
      <c r="I1682" s="614" t="s">
        <v>1149</v>
      </c>
      <c r="J1682" s="64" t="s">
        <v>7340</v>
      </c>
      <c r="K1682" s="1940" t="s">
        <v>7341</v>
      </c>
      <c r="L1682" s="1940" t="s">
        <v>9308</v>
      </c>
      <c r="M1682" t="s">
        <v>12678</v>
      </c>
      <c r="N1682" t="s">
        <v>11023</v>
      </c>
      <c r="O1682" t="s">
        <v>7339</v>
      </c>
      <c r="P1682" s="614">
        <f>COUNTIF(EducPlans_кодНАЦИД_Спец[аФакСец],EducPlans_кодНАЦИД_Спец[[#This Row],[аФакСец]])</f>
        <v>1</v>
      </c>
    </row>
    <row r="1683" spans="3:16" x14ac:dyDescent="0.25">
      <c r="C1683" s="614">
        <v>1677</v>
      </c>
      <c r="D1683" s="614">
        <v>557878</v>
      </c>
      <c r="E1683" s="64" t="s">
        <v>7342</v>
      </c>
      <c r="F1683" s="64" t="s">
        <v>7343</v>
      </c>
      <c r="G1683" s="614" t="s">
        <v>35</v>
      </c>
      <c r="H1683" s="614" t="s">
        <v>682</v>
      </c>
      <c r="I1683" s="614" t="s">
        <v>1153</v>
      </c>
      <c r="J1683" s="64" t="s">
        <v>7344</v>
      </c>
      <c r="K1683" s="1940" t="s">
        <v>7345</v>
      </c>
      <c r="L1683" s="1940" t="s">
        <v>9309</v>
      </c>
      <c r="M1683" t="s">
        <v>12679</v>
      </c>
      <c r="N1683" t="s">
        <v>11024</v>
      </c>
      <c r="O1683" t="s">
        <v>7343</v>
      </c>
      <c r="P1683" s="614">
        <f>COUNTIF(EducPlans_кодНАЦИД_Спец[аФакСец],EducPlans_кодНАЦИД_Спец[[#This Row],[аФакСец]])</f>
        <v>1</v>
      </c>
    </row>
    <row r="1684" spans="3:16" x14ac:dyDescent="0.25">
      <c r="C1684" s="614">
        <v>1678</v>
      </c>
      <c r="D1684" s="614">
        <v>10910</v>
      </c>
      <c r="E1684" s="64" t="s">
        <v>1689</v>
      </c>
      <c r="F1684" s="64" t="s">
        <v>7346</v>
      </c>
      <c r="G1684" s="614" t="s">
        <v>35</v>
      </c>
      <c r="H1684" s="614" t="s">
        <v>682</v>
      </c>
      <c r="I1684" s="614" t="s">
        <v>1153</v>
      </c>
      <c r="J1684" s="64" t="s">
        <v>4115</v>
      </c>
      <c r="K1684" s="1940" t="s">
        <v>7347</v>
      </c>
      <c r="L1684" s="1940" t="s">
        <v>9310</v>
      </c>
      <c r="M1684" t="s">
        <v>12680</v>
      </c>
      <c r="N1684" t="s">
        <v>11025</v>
      </c>
      <c r="O1684" t="s">
        <v>7346</v>
      </c>
      <c r="P1684" s="614">
        <f>COUNTIF(EducPlans_кодНАЦИД_Спец[аФакСец],EducPlans_кодНАЦИД_Спец[[#This Row],[аФакСец]])</f>
        <v>1</v>
      </c>
    </row>
    <row r="1685" spans="3:16" x14ac:dyDescent="0.25">
      <c r="C1685" s="614">
        <v>1679</v>
      </c>
      <c r="D1685" s="614">
        <v>12327</v>
      </c>
      <c r="E1685" s="64" t="s">
        <v>234</v>
      </c>
      <c r="F1685" s="64" t="s">
        <v>7348</v>
      </c>
      <c r="G1685" s="614" t="s">
        <v>50</v>
      </c>
      <c r="H1685" s="614" t="s">
        <v>681</v>
      </c>
      <c r="I1685" s="614" t="s">
        <v>1153</v>
      </c>
      <c r="J1685" s="64" t="s">
        <v>3053</v>
      </c>
      <c r="K1685" s="1940" t="s">
        <v>7349</v>
      </c>
      <c r="L1685" s="1940" t="s">
        <v>9311</v>
      </c>
      <c r="M1685" t="s">
        <v>12681</v>
      </c>
      <c r="N1685" t="s">
        <v>11026</v>
      </c>
      <c r="O1685" t="s">
        <v>7348</v>
      </c>
      <c r="P1685" s="614">
        <f>COUNTIF(EducPlans_кодНАЦИД_Спец[аФакСец],EducPlans_кодНАЦИД_Спец[[#This Row],[аФакСец]])</f>
        <v>1</v>
      </c>
    </row>
    <row r="1686" spans="3:16" x14ac:dyDescent="0.25">
      <c r="C1686" s="614">
        <v>1680</v>
      </c>
      <c r="D1686" s="614">
        <v>588206</v>
      </c>
      <c r="E1686" s="64" t="s">
        <v>234</v>
      </c>
      <c r="F1686" s="64" t="s">
        <v>7350</v>
      </c>
      <c r="G1686" s="614" t="s">
        <v>50</v>
      </c>
      <c r="H1686" s="614" t="s">
        <v>682</v>
      </c>
      <c r="I1686" s="614" t="s">
        <v>1153</v>
      </c>
      <c r="J1686" s="64" t="s">
        <v>7351</v>
      </c>
      <c r="K1686" s="1940" t="s">
        <v>7352</v>
      </c>
      <c r="L1686" s="1940" t="s">
        <v>9312</v>
      </c>
      <c r="M1686" t="s">
        <v>12682</v>
      </c>
      <c r="N1686" t="s">
        <v>11027</v>
      </c>
      <c r="O1686" t="s">
        <v>7350</v>
      </c>
      <c r="P1686" s="614">
        <f>COUNTIF(EducPlans_кодНАЦИД_Спец[аФакСец],EducPlans_кодНАЦИД_Спец[[#This Row],[аФакСец]])</f>
        <v>1</v>
      </c>
    </row>
    <row r="1687" spans="3:16" x14ac:dyDescent="0.25">
      <c r="C1687" s="614">
        <v>1681</v>
      </c>
      <c r="D1687" s="614">
        <v>12328</v>
      </c>
      <c r="E1687" s="64" t="s">
        <v>234</v>
      </c>
      <c r="F1687" s="64" t="s">
        <v>7353</v>
      </c>
      <c r="G1687" s="614" t="s">
        <v>50</v>
      </c>
      <c r="H1687" s="614" t="s">
        <v>682</v>
      </c>
      <c r="I1687" s="614" t="s">
        <v>1149</v>
      </c>
      <c r="J1687" s="64" t="s">
        <v>7354</v>
      </c>
      <c r="K1687" s="1940" t="s">
        <v>7355</v>
      </c>
      <c r="L1687" s="1940" t="s">
        <v>9313</v>
      </c>
      <c r="M1687" t="s">
        <v>12683</v>
      </c>
      <c r="N1687" t="s">
        <v>11028</v>
      </c>
      <c r="O1687" t="s">
        <v>7353</v>
      </c>
      <c r="P1687" s="614">
        <f>COUNTIF(EducPlans_кодНАЦИД_Спец[аФакСец],EducPlans_кодНАЦИД_Спец[[#This Row],[аФакСец]])</f>
        <v>1</v>
      </c>
    </row>
    <row r="1688" spans="3:16" x14ac:dyDescent="0.25">
      <c r="C1688" s="614">
        <v>1682</v>
      </c>
      <c r="D1688" s="614">
        <v>12329</v>
      </c>
      <c r="E1688" s="64" t="s">
        <v>234</v>
      </c>
      <c r="F1688" s="64" t="s">
        <v>7356</v>
      </c>
      <c r="G1688" s="614" t="s">
        <v>50</v>
      </c>
      <c r="H1688" s="614" t="s">
        <v>682</v>
      </c>
      <c r="I1688" s="614" t="s">
        <v>1149</v>
      </c>
      <c r="J1688" s="64" t="s">
        <v>7357</v>
      </c>
      <c r="K1688" s="1940" t="s">
        <v>7355</v>
      </c>
      <c r="L1688" s="1940" t="s">
        <v>9314</v>
      </c>
      <c r="M1688" t="s">
        <v>12684</v>
      </c>
      <c r="N1688" t="s">
        <v>11029</v>
      </c>
      <c r="O1688" t="s">
        <v>7356</v>
      </c>
      <c r="P1688" s="614">
        <f>COUNTIF(EducPlans_кодНАЦИД_Спец[аФакСец],EducPlans_кодНАЦИД_Спец[[#This Row],[аФакСец]])</f>
        <v>1</v>
      </c>
    </row>
    <row r="1689" spans="3:16" x14ac:dyDescent="0.25">
      <c r="C1689" s="614">
        <v>1683</v>
      </c>
      <c r="D1689" s="614">
        <v>12412</v>
      </c>
      <c r="E1689" s="64" t="s">
        <v>2096</v>
      </c>
      <c r="F1689" s="64" t="s">
        <v>7358</v>
      </c>
      <c r="G1689" s="614" t="s">
        <v>50</v>
      </c>
      <c r="H1689" s="614" t="s">
        <v>682</v>
      </c>
      <c r="I1689" s="614" t="s">
        <v>1149</v>
      </c>
      <c r="J1689" s="64" t="s">
        <v>3054</v>
      </c>
      <c r="K1689" s="1940" t="s">
        <v>7359</v>
      </c>
      <c r="L1689" s="1940" t="s">
        <v>9315</v>
      </c>
      <c r="M1689" t="s">
        <v>12685</v>
      </c>
      <c r="N1689" t="s">
        <v>11030</v>
      </c>
      <c r="O1689" t="s">
        <v>7358</v>
      </c>
      <c r="P1689" s="614">
        <f>COUNTIF(EducPlans_кодНАЦИД_Спец[аФакСец],EducPlans_кодНАЦИД_Спец[[#This Row],[аФакСец]])</f>
        <v>1</v>
      </c>
    </row>
    <row r="1690" spans="3:16" x14ac:dyDescent="0.25">
      <c r="C1690" s="614">
        <v>1684</v>
      </c>
      <c r="D1690" s="614">
        <v>12408</v>
      </c>
      <c r="E1690" s="64" t="s">
        <v>2097</v>
      </c>
      <c r="F1690" s="64" t="s">
        <v>7360</v>
      </c>
      <c r="G1690" s="614" t="s">
        <v>50</v>
      </c>
      <c r="H1690" s="614" t="s">
        <v>682</v>
      </c>
      <c r="I1690" s="614" t="s">
        <v>1149</v>
      </c>
      <c r="J1690" s="64" t="s">
        <v>3057</v>
      </c>
      <c r="K1690" s="1940" t="s">
        <v>7361</v>
      </c>
      <c r="L1690" s="1940" t="s">
        <v>9316</v>
      </c>
      <c r="M1690" t="s">
        <v>12686</v>
      </c>
      <c r="N1690" t="s">
        <v>11031</v>
      </c>
      <c r="O1690" t="s">
        <v>7360</v>
      </c>
      <c r="P1690" s="614">
        <f>COUNTIF(EducPlans_кодНАЦИД_Спец[аФакСец],EducPlans_кодНАЦИД_Спец[[#This Row],[аФакСец]])</f>
        <v>1</v>
      </c>
    </row>
    <row r="1691" spans="3:16" x14ac:dyDescent="0.25">
      <c r="C1691" s="614">
        <v>1685</v>
      </c>
      <c r="D1691" s="614">
        <v>12408</v>
      </c>
      <c r="E1691" s="64" t="s">
        <v>2097</v>
      </c>
      <c r="F1691" s="64" t="s">
        <v>7362</v>
      </c>
      <c r="G1691" s="614" t="s">
        <v>50</v>
      </c>
      <c r="H1691" s="614" t="s">
        <v>682</v>
      </c>
      <c r="I1691" s="614" t="s">
        <v>1149</v>
      </c>
      <c r="J1691" s="64" t="s">
        <v>3056</v>
      </c>
      <c r="K1691" s="1940" t="s">
        <v>7361</v>
      </c>
      <c r="L1691" s="1940" t="s">
        <v>9317</v>
      </c>
      <c r="M1691" t="s">
        <v>12687</v>
      </c>
      <c r="N1691" t="s">
        <v>11032</v>
      </c>
      <c r="O1691" t="s">
        <v>7362</v>
      </c>
      <c r="P1691" s="614">
        <f>COUNTIF(EducPlans_кодНАЦИД_Спец[аФакСец],EducPlans_кодНАЦИД_Спец[[#This Row],[аФакСец]])</f>
        <v>1</v>
      </c>
    </row>
    <row r="1692" spans="3:16" x14ac:dyDescent="0.25">
      <c r="C1692" s="614">
        <v>1686</v>
      </c>
      <c r="D1692" s="614">
        <v>11534</v>
      </c>
      <c r="E1692" s="64" t="s">
        <v>1488</v>
      </c>
      <c r="F1692" s="64" t="s">
        <v>7363</v>
      </c>
      <c r="G1692" s="614" t="s">
        <v>33</v>
      </c>
      <c r="H1692" s="614" t="s">
        <v>681</v>
      </c>
      <c r="I1692" s="614" t="s">
        <v>1153</v>
      </c>
      <c r="J1692" s="64" t="s">
        <v>3630</v>
      </c>
      <c r="K1692" s="1940" t="s">
        <v>7364</v>
      </c>
      <c r="L1692" s="1940" t="s">
        <v>9318</v>
      </c>
      <c r="M1692" t="s">
        <v>12688</v>
      </c>
      <c r="N1692" t="s">
        <v>11033</v>
      </c>
      <c r="O1692" t="s">
        <v>7363</v>
      </c>
      <c r="P1692" s="614">
        <f>COUNTIF(EducPlans_кодНАЦИД_Спец[аФакСец],EducPlans_кодНАЦИД_Спец[[#This Row],[аФакСец]])</f>
        <v>1</v>
      </c>
    </row>
    <row r="1693" spans="3:16" x14ac:dyDescent="0.25">
      <c r="C1693" s="614">
        <v>1687</v>
      </c>
      <c r="D1693" s="614">
        <v>11534</v>
      </c>
      <c r="E1693" s="64" t="s">
        <v>1488</v>
      </c>
      <c r="F1693" s="64" t="s">
        <v>7365</v>
      </c>
      <c r="G1693" s="614" t="s">
        <v>33</v>
      </c>
      <c r="H1693" s="614" t="s">
        <v>681</v>
      </c>
      <c r="I1693" s="614" t="s">
        <v>1153</v>
      </c>
      <c r="J1693" s="64" t="s">
        <v>3631</v>
      </c>
      <c r="K1693" s="1940" t="s">
        <v>7364</v>
      </c>
      <c r="L1693" s="1940" t="s">
        <v>9319</v>
      </c>
      <c r="M1693" t="s">
        <v>12689</v>
      </c>
      <c r="N1693" t="s">
        <v>11034</v>
      </c>
      <c r="O1693" t="s">
        <v>7365</v>
      </c>
      <c r="P1693" s="614">
        <f>COUNTIF(EducPlans_кодНАЦИД_Спец[аФакСец],EducPlans_кодНАЦИД_Спец[[#This Row],[аФакСец]])</f>
        <v>1</v>
      </c>
    </row>
    <row r="1694" spans="3:16" x14ac:dyDescent="0.25">
      <c r="C1694" s="614">
        <v>1688</v>
      </c>
      <c r="D1694" s="614">
        <v>11536</v>
      </c>
      <c r="E1694" s="64" t="s">
        <v>922</v>
      </c>
      <c r="F1694" s="64" t="s">
        <v>7366</v>
      </c>
      <c r="G1694" s="614" t="s">
        <v>33</v>
      </c>
      <c r="H1694" s="614" t="s">
        <v>681</v>
      </c>
      <c r="I1694" s="614" t="s">
        <v>1153</v>
      </c>
      <c r="J1694" s="64" t="s">
        <v>3632</v>
      </c>
      <c r="K1694" s="1940" t="s">
        <v>7367</v>
      </c>
      <c r="L1694" s="1940" t="s">
        <v>9320</v>
      </c>
      <c r="M1694" t="s">
        <v>12690</v>
      </c>
      <c r="N1694" t="s">
        <v>11035</v>
      </c>
      <c r="O1694" t="s">
        <v>7366</v>
      </c>
      <c r="P1694" s="614">
        <f>COUNTIF(EducPlans_кодНАЦИД_Спец[аФакСец],EducPlans_кодНАЦИД_Спец[[#This Row],[аФакСец]])</f>
        <v>1</v>
      </c>
    </row>
    <row r="1695" spans="3:16" x14ac:dyDescent="0.25">
      <c r="C1695" s="614">
        <v>1689</v>
      </c>
      <c r="D1695" s="614">
        <v>11536</v>
      </c>
      <c r="E1695" s="64" t="s">
        <v>922</v>
      </c>
      <c r="F1695" s="64" t="s">
        <v>7368</v>
      </c>
      <c r="G1695" s="614" t="s">
        <v>33</v>
      </c>
      <c r="H1695" s="614" t="s">
        <v>681</v>
      </c>
      <c r="I1695" s="614" t="s">
        <v>1153</v>
      </c>
      <c r="J1695" s="64" t="s">
        <v>923</v>
      </c>
      <c r="K1695" s="1940" t="s">
        <v>7367</v>
      </c>
      <c r="L1695" s="1940" t="s">
        <v>9321</v>
      </c>
      <c r="M1695" t="s">
        <v>12691</v>
      </c>
      <c r="N1695" t="s">
        <v>11036</v>
      </c>
      <c r="O1695" t="s">
        <v>7368</v>
      </c>
      <c r="P1695" s="614">
        <f>COUNTIF(EducPlans_кодНАЦИД_Спец[аФакСец],EducPlans_кодНАЦИД_Спец[[#This Row],[аФакСец]])</f>
        <v>1</v>
      </c>
    </row>
    <row r="1696" spans="3:16" x14ac:dyDescent="0.25">
      <c r="C1696" s="614">
        <v>1690</v>
      </c>
      <c r="D1696" s="614">
        <v>734779</v>
      </c>
      <c r="E1696" s="64" t="s">
        <v>13051</v>
      </c>
      <c r="F1696" s="64" t="s">
        <v>13052</v>
      </c>
      <c r="G1696" s="614" t="s">
        <v>626</v>
      </c>
      <c r="H1696" s="614" t="s">
        <v>682</v>
      </c>
      <c r="I1696" s="614" t="s">
        <v>1149</v>
      </c>
      <c r="J1696" s="64" t="s">
        <v>13053</v>
      </c>
      <c r="K1696" s="1940" t="s">
        <v>13054</v>
      </c>
      <c r="L1696" s="1940" t="s">
        <v>13055</v>
      </c>
      <c r="M1696" t="s">
        <v>13056</v>
      </c>
      <c r="N1696" t="s">
        <v>13057</v>
      </c>
      <c r="O1696" t="s">
        <v>13052</v>
      </c>
      <c r="P1696" s="614">
        <f>COUNTIF(EducPlans_кодНАЦИД_Спец[аФакСец],EducPlans_кодНАЦИД_Спец[[#This Row],[аФакСец]])</f>
        <v>1</v>
      </c>
    </row>
    <row r="1697" spans="3:16" x14ac:dyDescent="0.25">
      <c r="C1697" s="614">
        <v>1691</v>
      </c>
      <c r="D1697" s="614">
        <v>734779</v>
      </c>
      <c r="E1697" s="64" t="s">
        <v>13051</v>
      </c>
      <c r="F1697" s="64" t="s">
        <v>13058</v>
      </c>
      <c r="G1697" s="614" t="s">
        <v>626</v>
      </c>
      <c r="H1697" s="614" t="s">
        <v>682</v>
      </c>
      <c r="I1697" s="614" t="s">
        <v>1149</v>
      </c>
      <c r="J1697" s="64" t="s">
        <v>13059</v>
      </c>
      <c r="K1697" s="1940" t="s">
        <v>13054</v>
      </c>
      <c r="L1697" s="1940" t="s">
        <v>13060</v>
      </c>
      <c r="M1697" t="s">
        <v>13061</v>
      </c>
      <c r="N1697" t="s">
        <v>13062</v>
      </c>
      <c r="O1697" t="s">
        <v>13058</v>
      </c>
      <c r="P1697" s="614">
        <f>COUNTIF(EducPlans_кодНАЦИД_Спец[аФакСец],EducPlans_кодНАЦИД_Спец[[#This Row],[аФакСец]])</f>
        <v>1</v>
      </c>
    </row>
    <row r="1698" spans="3:16" x14ac:dyDescent="0.25">
      <c r="C1698" s="614">
        <v>1692</v>
      </c>
      <c r="D1698" s="614">
        <v>734779</v>
      </c>
      <c r="E1698" s="64" t="s">
        <v>13051</v>
      </c>
      <c r="F1698" s="64" t="s">
        <v>13063</v>
      </c>
      <c r="G1698" s="614" t="s">
        <v>626</v>
      </c>
      <c r="H1698" s="614" t="s">
        <v>682</v>
      </c>
      <c r="I1698" s="614" t="s">
        <v>1149</v>
      </c>
      <c r="J1698" s="64" t="s">
        <v>13064</v>
      </c>
      <c r="K1698" s="1940" t="s">
        <v>13054</v>
      </c>
      <c r="L1698" s="1940" t="s">
        <v>13065</v>
      </c>
      <c r="M1698" t="s">
        <v>13066</v>
      </c>
      <c r="N1698" t="s">
        <v>13067</v>
      </c>
      <c r="O1698" t="s">
        <v>13063</v>
      </c>
      <c r="P1698" s="614">
        <f>COUNTIF(EducPlans_кодНАЦИД_Спец[аФакСец],EducPlans_кодНАЦИД_Спец[[#This Row],[аФакСец]])</f>
        <v>1</v>
      </c>
    </row>
    <row r="1699" spans="3:16" x14ac:dyDescent="0.25">
      <c r="C1699" s="614">
        <v>1693</v>
      </c>
      <c r="D1699" s="614">
        <v>734779</v>
      </c>
      <c r="E1699" s="64" t="s">
        <v>13051</v>
      </c>
      <c r="F1699" s="64" t="s">
        <v>13068</v>
      </c>
      <c r="G1699" s="614" t="s">
        <v>626</v>
      </c>
      <c r="H1699" s="614" t="s">
        <v>682</v>
      </c>
      <c r="I1699" s="614" t="s">
        <v>1149</v>
      </c>
      <c r="J1699" s="64" t="s">
        <v>13069</v>
      </c>
      <c r="K1699" s="1940" t="s">
        <v>13054</v>
      </c>
      <c r="L1699" s="1940" t="s">
        <v>13070</v>
      </c>
      <c r="M1699" t="s">
        <v>13071</v>
      </c>
      <c r="N1699" t="s">
        <v>13072</v>
      </c>
      <c r="O1699" t="s">
        <v>13068</v>
      </c>
      <c r="P1699" s="614">
        <f>COUNTIF(EducPlans_кодНАЦИД_Спец[аФакСец],EducPlans_кодНАЦИД_Спец[[#This Row],[аФакСец]])</f>
        <v>1</v>
      </c>
    </row>
    <row r="1700" spans="3:16" x14ac:dyDescent="0.25">
      <c r="C1700" s="614">
        <v>1694</v>
      </c>
      <c r="D1700" s="614">
        <v>711111</v>
      </c>
      <c r="E1700" s="64" t="s">
        <v>1926</v>
      </c>
      <c r="F1700" s="64" t="s">
        <v>13073</v>
      </c>
      <c r="G1700" s="614" t="s">
        <v>626</v>
      </c>
      <c r="H1700" s="614" t="s">
        <v>682</v>
      </c>
      <c r="I1700" s="614" t="s">
        <v>1153</v>
      </c>
      <c r="J1700" s="64" t="s">
        <v>13074</v>
      </c>
      <c r="K1700" s="1940" t="s">
        <v>13075</v>
      </c>
      <c r="L1700" s="1940" t="s">
        <v>13076</v>
      </c>
      <c r="M1700" t="s">
        <v>13077</v>
      </c>
      <c r="N1700" t="s">
        <v>13078</v>
      </c>
      <c r="O1700" t="s">
        <v>13073</v>
      </c>
      <c r="P1700" s="614">
        <f>COUNTIF(EducPlans_кодНАЦИД_Спец[аФакСец],EducPlans_кодНАЦИД_Спец[[#This Row],[аФакСец]])</f>
        <v>1</v>
      </c>
    </row>
    <row r="1701" spans="3:16" x14ac:dyDescent="0.25">
      <c r="C1701" s="614">
        <v>1695</v>
      </c>
      <c r="D1701" s="614">
        <v>711111</v>
      </c>
      <c r="E1701" s="64" t="s">
        <v>1926</v>
      </c>
      <c r="F1701" s="64" t="s">
        <v>13079</v>
      </c>
      <c r="G1701" s="614" t="s">
        <v>626</v>
      </c>
      <c r="H1701" s="614" t="s">
        <v>682</v>
      </c>
      <c r="I1701" s="614" t="s">
        <v>1153</v>
      </c>
      <c r="J1701" s="64" t="s">
        <v>13080</v>
      </c>
      <c r="K1701" s="1940" t="s">
        <v>13075</v>
      </c>
      <c r="L1701" s="1940" t="s">
        <v>13081</v>
      </c>
      <c r="M1701" t="s">
        <v>13082</v>
      </c>
      <c r="N1701" t="s">
        <v>13083</v>
      </c>
      <c r="O1701" t="s">
        <v>13079</v>
      </c>
      <c r="P1701" s="614">
        <f>COUNTIF(EducPlans_кодНАЦИД_Спец[аФакСец],EducPlans_кодНАЦИД_Спец[[#This Row],[аФакСец]])</f>
        <v>1</v>
      </c>
    </row>
    <row r="1702" spans="3:16" x14ac:dyDescent="0.25">
      <c r="C1702" s="614">
        <v>1696</v>
      </c>
      <c r="D1702" s="614">
        <v>770551</v>
      </c>
      <c r="E1702" s="64" t="s">
        <v>1839</v>
      </c>
      <c r="F1702" s="64" t="s">
        <v>14012</v>
      </c>
      <c r="G1702" s="614" t="s">
        <v>35</v>
      </c>
      <c r="H1702" s="614" t="s">
        <v>682</v>
      </c>
      <c r="I1702" s="614" t="s">
        <v>1153</v>
      </c>
      <c r="J1702" s="64" t="s">
        <v>14013</v>
      </c>
      <c r="K1702" s="1940" t="s">
        <v>14014</v>
      </c>
      <c r="L1702" s="1940" t="s">
        <v>14015</v>
      </c>
      <c r="M1702" t="s">
        <v>14016</v>
      </c>
      <c r="N1702" t="s">
        <v>14017</v>
      </c>
      <c r="O1702" t="s">
        <v>14012</v>
      </c>
      <c r="P1702" s="614">
        <f>COUNTIF(EducPlans_кодНАЦИД_Спец[аФакСец],EducPlans_кодНАЦИД_Спец[[#This Row],[аФакСец]])</f>
        <v>1</v>
      </c>
    </row>
    <row r="1703" spans="3:16" x14ac:dyDescent="0.25">
      <c r="C1703" s="614">
        <v>1697</v>
      </c>
      <c r="D1703" s="614">
        <v>770551</v>
      </c>
      <c r="E1703" s="64" t="s">
        <v>1839</v>
      </c>
      <c r="F1703" s="64" t="s">
        <v>14018</v>
      </c>
      <c r="G1703" s="614" t="s">
        <v>35</v>
      </c>
      <c r="H1703" s="614" t="s">
        <v>682</v>
      </c>
      <c r="I1703" s="614" t="s">
        <v>1153</v>
      </c>
      <c r="J1703" s="64" t="s">
        <v>14019</v>
      </c>
      <c r="K1703" s="1940" t="s">
        <v>14014</v>
      </c>
      <c r="L1703" s="1940" t="s">
        <v>14020</v>
      </c>
      <c r="M1703" t="s">
        <v>14021</v>
      </c>
      <c r="N1703" t="s">
        <v>14022</v>
      </c>
      <c r="O1703" t="s">
        <v>14018</v>
      </c>
      <c r="P1703" s="614">
        <f>COUNTIF(EducPlans_кодНАЦИД_Спец[аФакСец],EducPlans_кодНАЦИД_Спец[[#This Row],[аФакСец]])</f>
        <v>1</v>
      </c>
    </row>
    <row r="1704" spans="3:16" x14ac:dyDescent="0.25">
      <c r="C1704" s="614">
        <v>1698</v>
      </c>
      <c r="D1704" s="614">
        <v>10995</v>
      </c>
      <c r="E1704" s="64" t="s">
        <v>1839</v>
      </c>
      <c r="F1704" s="64" t="s">
        <v>7369</v>
      </c>
      <c r="G1704" s="614" t="s">
        <v>35</v>
      </c>
      <c r="H1704" s="614" t="s">
        <v>682</v>
      </c>
      <c r="I1704" s="614" t="s">
        <v>1149</v>
      </c>
      <c r="J1704" s="64" t="s">
        <v>4116</v>
      </c>
      <c r="K1704" s="1940" t="s">
        <v>7370</v>
      </c>
      <c r="L1704" s="1940" t="s">
        <v>9322</v>
      </c>
      <c r="M1704" t="s">
        <v>12692</v>
      </c>
      <c r="N1704" t="s">
        <v>11037</v>
      </c>
      <c r="O1704" t="s">
        <v>7369</v>
      </c>
      <c r="P1704" s="614">
        <f>COUNTIF(EducPlans_кодНАЦИД_Спец[аФакСец],EducPlans_кодНАЦИД_Спец[[#This Row],[аФакСец]])</f>
        <v>1</v>
      </c>
    </row>
    <row r="1705" spans="3:16" x14ac:dyDescent="0.25">
      <c r="C1705" s="614">
        <v>1699</v>
      </c>
      <c r="D1705" s="614">
        <v>10995</v>
      </c>
      <c r="E1705" s="64" t="s">
        <v>1839</v>
      </c>
      <c r="F1705" s="64" t="s">
        <v>7371</v>
      </c>
      <c r="G1705" s="614" t="s">
        <v>35</v>
      </c>
      <c r="H1705" s="614" t="s">
        <v>682</v>
      </c>
      <c r="I1705" s="614" t="s">
        <v>1149</v>
      </c>
      <c r="J1705" s="64" t="s">
        <v>4117</v>
      </c>
      <c r="K1705" s="1940" t="s">
        <v>7370</v>
      </c>
      <c r="L1705" s="1940" t="s">
        <v>9323</v>
      </c>
      <c r="M1705" t="s">
        <v>12693</v>
      </c>
      <c r="N1705" t="s">
        <v>11038</v>
      </c>
      <c r="O1705" t="s">
        <v>7371</v>
      </c>
      <c r="P1705" s="614">
        <f>COUNTIF(EducPlans_кодНАЦИД_Спец[аФакСец],EducPlans_кодНАЦИД_Спец[[#This Row],[аФакСец]])</f>
        <v>1</v>
      </c>
    </row>
    <row r="1706" spans="3:16" x14ac:dyDescent="0.25">
      <c r="C1706" s="614">
        <v>1700</v>
      </c>
      <c r="D1706" s="614">
        <v>12802</v>
      </c>
      <c r="E1706" s="64" t="s">
        <v>14023</v>
      </c>
      <c r="F1706" s="64" t="s">
        <v>14024</v>
      </c>
      <c r="G1706" s="614" t="s">
        <v>626</v>
      </c>
      <c r="H1706" s="614" t="s">
        <v>682</v>
      </c>
      <c r="I1706" s="614" t="s">
        <v>1153</v>
      </c>
      <c r="J1706" s="64" t="s">
        <v>3418</v>
      </c>
      <c r="K1706" s="1940" t="s">
        <v>14025</v>
      </c>
      <c r="L1706" s="1940" t="s">
        <v>9324</v>
      </c>
      <c r="M1706" t="s">
        <v>14026</v>
      </c>
      <c r="N1706" t="s">
        <v>11039</v>
      </c>
      <c r="O1706" t="s">
        <v>14024</v>
      </c>
      <c r="P1706" s="614">
        <f>COUNTIF(EducPlans_кодНАЦИД_Спец[аФакСец],EducPlans_кодНАЦИД_Спец[[#This Row],[аФакСец]])</f>
        <v>1</v>
      </c>
    </row>
    <row r="1707" spans="3:16" x14ac:dyDescent="0.25">
      <c r="C1707" s="614">
        <v>1701</v>
      </c>
      <c r="D1707" s="614">
        <v>12803</v>
      </c>
      <c r="E1707" s="64" t="s">
        <v>14023</v>
      </c>
      <c r="F1707" s="64" t="s">
        <v>14027</v>
      </c>
      <c r="G1707" s="614" t="s">
        <v>626</v>
      </c>
      <c r="H1707" s="614" t="s">
        <v>682</v>
      </c>
      <c r="I1707" s="614" t="s">
        <v>1153</v>
      </c>
      <c r="J1707" s="64" t="s">
        <v>3421</v>
      </c>
      <c r="K1707" s="1940" t="s">
        <v>14025</v>
      </c>
      <c r="L1707" s="1940" t="s">
        <v>9325</v>
      </c>
      <c r="M1707" t="s">
        <v>14028</v>
      </c>
      <c r="N1707" t="s">
        <v>11040</v>
      </c>
      <c r="O1707" t="s">
        <v>14027</v>
      </c>
      <c r="P1707" s="614">
        <f>COUNTIF(EducPlans_кодНАЦИД_Спец[аФакСец],EducPlans_кодНАЦИД_Спец[[#This Row],[аФакСец]])</f>
        <v>1</v>
      </c>
    </row>
    <row r="1708" spans="3:16" x14ac:dyDescent="0.25">
      <c r="C1708" s="614">
        <v>1702</v>
      </c>
      <c r="D1708" s="614">
        <v>12803</v>
      </c>
      <c r="E1708" s="64" t="s">
        <v>14023</v>
      </c>
      <c r="F1708" s="64" t="s">
        <v>14029</v>
      </c>
      <c r="G1708" s="614" t="s">
        <v>626</v>
      </c>
      <c r="H1708" s="614" t="s">
        <v>682</v>
      </c>
      <c r="I1708" s="614" t="s">
        <v>1153</v>
      </c>
      <c r="J1708" s="64" t="s">
        <v>3422</v>
      </c>
      <c r="K1708" s="1940" t="s">
        <v>14025</v>
      </c>
      <c r="L1708" s="1940" t="s">
        <v>9326</v>
      </c>
      <c r="M1708" t="s">
        <v>14030</v>
      </c>
      <c r="N1708" t="s">
        <v>11041</v>
      </c>
      <c r="O1708" t="s">
        <v>14029</v>
      </c>
      <c r="P1708" s="614">
        <f>COUNTIF(EducPlans_кодНАЦИД_Спец[аФакСец],EducPlans_кодНАЦИД_Спец[[#This Row],[аФакСец]])</f>
        <v>1</v>
      </c>
    </row>
    <row r="1709" spans="3:16" x14ac:dyDescent="0.25">
      <c r="C1709" s="614">
        <v>1703</v>
      </c>
      <c r="D1709" s="614">
        <v>12803</v>
      </c>
      <c r="E1709" s="64" t="s">
        <v>14023</v>
      </c>
      <c r="F1709" s="64" t="s">
        <v>14031</v>
      </c>
      <c r="G1709" s="614" t="s">
        <v>626</v>
      </c>
      <c r="H1709" s="614" t="s">
        <v>682</v>
      </c>
      <c r="I1709" s="614" t="s">
        <v>1153</v>
      </c>
      <c r="J1709" s="64" t="s">
        <v>3420</v>
      </c>
      <c r="K1709" s="1940" t="s">
        <v>14025</v>
      </c>
      <c r="L1709" s="1940" t="s">
        <v>9327</v>
      </c>
      <c r="M1709" t="s">
        <v>14032</v>
      </c>
      <c r="N1709" t="s">
        <v>11042</v>
      </c>
      <c r="O1709" t="s">
        <v>14031</v>
      </c>
      <c r="P1709" s="614">
        <f>COUNTIF(EducPlans_кодНАЦИД_Спец[аФакСец],EducPlans_кодНАЦИД_Спец[[#This Row],[аФакСец]])</f>
        <v>1</v>
      </c>
    </row>
    <row r="1710" spans="3:16" x14ac:dyDescent="0.25">
      <c r="C1710" s="614">
        <v>1704</v>
      </c>
      <c r="D1710" s="614">
        <v>11293</v>
      </c>
      <c r="E1710" s="64" t="s">
        <v>1779</v>
      </c>
      <c r="F1710" s="64" t="s">
        <v>7372</v>
      </c>
      <c r="G1710" s="614" t="s">
        <v>39</v>
      </c>
      <c r="H1710" s="614" t="s">
        <v>682</v>
      </c>
      <c r="I1710" s="614" t="s">
        <v>1153</v>
      </c>
      <c r="J1710" s="64" t="s">
        <v>3912</v>
      </c>
      <c r="K1710" s="1940" t="s">
        <v>7373</v>
      </c>
      <c r="L1710" s="1940" t="s">
        <v>9328</v>
      </c>
      <c r="M1710" t="s">
        <v>12694</v>
      </c>
      <c r="N1710" t="s">
        <v>11043</v>
      </c>
      <c r="O1710" t="s">
        <v>7372</v>
      </c>
      <c r="P1710" s="614">
        <f>COUNTIF(EducPlans_кодНАЦИД_Спец[аФакСец],EducPlans_кодНАЦИД_Спец[[#This Row],[аФакСец]])</f>
        <v>1</v>
      </c>
    </row>
    <row r="1711" spans="3:16" x14ac:dyDescent="0.25">
      <c r="C1711" s="614">
        <v>1705</v>
      </c>
      <c r="D1711" s="614">
        <v>11296</v>
      </c>
      <c r="E1711" s="64" t="s">
        <v>1779</v>
      </c>
      <c r="F1711" s="64" t="s">
        <v>7374</v>
      </c>
      <c r="G1711" s="614" t="s">
        <v>39</v>
      </c>
      <c r="H1711" s="614" t="s">
        <v>682</v>
      </c>
      <c r="I1711" s="614" t="s">
        <v>1153</v>
      </c>
      <c r="J1711" s="64" t="s">
        <v>3911</v>
      </c>
      <c r="K1711" s="1940" t="s">
        <v>7375</v>
      </c>
      <c r="L1711" s="1940" t="s">
        <v>9329</v>
      </c>
      <c r="M1711" t="s">
        <v>12695</v>
      </c>
      <c r="N1711" t="s">
        <v>11044</v>
      </c>
      <c r="O1711" t="s">
        <v>7374</v>
      </c>
      <c r="P1711" s="614">
        <f>COUNTIF(EducPlans_кодНАЦИД_Спец[аФакСец],EducPlans_кодНАЦИД_Спец[[#This Row],[аФакСец]])</f>
        <v>1</v>
      </c>
    </row>
    <row r="1712" spans="3:16" x14ac:dyDescent="0.25">
      <c r="C1712" s="614">
        <v>1706</v>
      </c>
      <c r="D1712" s="614">
        <v>11295</v>
      </c>
      <c r="E1712" s="64" t="s">
        <v>1779</v>
      </c>
      <c r="F1712" s="64" t="s">
        <v>7376</v>
      </c>
      <c r="G1712" s="614" t="s">
        <v>39</v>
      </c>
      <c r="H1712" s="614" t="s">
        <v>682</v>
      </c>
      <c r="I1712" s="614" t="s">
        <v>1149</v>
      </c>
      <c r="J1712" s="64" t="s">
        <v>3909</v>
      </c>
      <c r="K1712" s="1940" t="s">
        <v>7377</v>
      </c>
      <c r="L1712" s="1940" t="s">
        <v>9330</v>
      </c>
      <c r="M1712" t="s">
        <v>12696</v>
      </c>
      <c r="N1712" t="s">
        <v>11045</v>
      </c>
      <c r="O1712" t="s">
        <v>7376</v>
      </c>
      <c r="P1712" s="614">
        <f>COUNTIF(EducPlans_кодНАЦИД_Спец[аФакСец],EducPlans_кодНАЦИД_Спец[[#This Row],[аФакСец]])</f>
        <v>1</v>
      </c>
    </row>
    <row r="1713" spans="3:16" x14ac:dyDescent="0.25">
      <c r="C1713" s="614">
        <v>1707</v>
      </c>
      <c r="D1713" s="614">
        <v>11297</v>
      </c>
      <c r="E1713" s="64" t="s">
        <v>1779</v>
      </c>
      <c r="F1713" s="64" t="s">
        <v>7378</v>
      </c>
      <c r="G1713" s="614" t="s">
        <v>39</v>
      </c>
      <c r="H1713" s="614" t="s">
        <v>682</v>
      </c>
      <c r="I1713" s="614" t="s">
        <v>1149</v>
      </c>
      <c r="J1713" s="64" t="s">
        <v>3910</v>
      </c>
      <c r="K1713" s="1940" t="s">
        <v>7379</v>
      </c>
      <c r="L1713" s="1940" t="s">
        <v>9331</v>
      </c>
      <c r="M1713" t="s">
        <v>12697</v>
      </c>
      <c r="N1713" t="s">
        <v>11046</v>
      </c>
      <c r="O1713" t="s">
        <v>7378</v>
      </c>
      <c r="P1713" s="614">
        <f>COUNTIF(EducPlans_кодНАЦИД_Спец[аФакСец],EducPlans_кодНАЦИД_Спец[[#This Row],[аФакСец]])</f>
        <v>1</v>
      </c>
    </row>
    <row r="1714" spans="3:16" x14ac:dyDescent="0.25">
      <c r="C1714" s="614">
        <v>1708</v>
      </c>
      <c r="D1714" s="614">
        <v>10990</v>
      </c>
      <c r="E1714" s="64" t="s">
        <v>1840</v>
      </c>
      <c r="F1714" s="64" t="s">
        <v>7380</v>
      </c>
      <c r="G1714" s="614" t="s">
        <v>35</v>
      </c>
      <c r="H1714" s="614" t="s">
        <v>682</v>
      </c>
      <c r="I1714" s="614" t="s">
        <v>1153</v>
      </c>
      <c r="J1714" s="64" t="s">
        <v>7381</v>
      </c>
      <c r="K1714" s="1940" t="s">
        <v>7382</v>
      </c>
      <c r="L1714" s="1940" t="s">
        <v>9332</v>
      </c>
      <c r="M1714" t="s">
        <v>12698</v>
      </c>
      <c r="N1714" t="s">
        <v>11047</v>
      </c>
      <c r="O1714" t="s">
        <v>7380</v>
      </c>
      <c r="P1714" s="614">
        <f>COUNTIF(EducPlans_кодНАЦИД_Спец[аФакСец],EducPlans_кодНАЦИД_Спец[[#This Row],[аФакСец]])</f>
        <v>1</v>
      </c>
    </row>
    <row r="1715" spans="3:16" x14ac:dyDescent="0.25">
      <c r="C1715" s="614">
        <v>1709</v>
      </c>
      <c r="D1715" s="614">
        <v>10991</v>
      </c>
      <c r="E1715" s="64" t="s">
        <v>1840</v>
      </c>
      <c r="F1715" s="64" t="s">
        <v>7383</v>
      </c>
      <c r="G1715" s="614" t="s">
        <v>35</v>
      </c>
      <c r="H1715" s="614" t="s">
        <v>682</v>
      </c>
      <c r="I1715" s="614" t="s">
        <v>1149</v>
      </c>
      <c r="J1715" s="64" t="s">
        <v>7384</v>
      </c>
      <c r="K1715" s="1940" t="s">
        <v>7385</v>
      </c>
      <c r="L1715" s="1940" t="s">
        <v>9333</v>
      </c>
      <c r="M1715" t="s">
        <v>12699</v>
      </c>
      <c r="N1715" t="s">
        <v>11048</v>
      </c>
      <c r="O1715" t="s">
        <v>7383</v>
      </c>
      <c r="P1715" s="614">
        <f>COUNTIF(EducPlans_кодНАЦИД_Спец[аФакСец],EducPlans_кодНАЦИД_Спец[[#This Row],[аФакСец]])</f>
        <v>1</v>
      </c>
    </row>
    <row r="1716" spans="3:16" x14ac:dyDescent="0.25">
      <c r="C1716" s="614">
        <v>1710</v>
      </c>
      <c r="D1716" s="614">
        <v>284196</v>
      </c>
      <c r="E1716" s="64" t="s">
        <v>2287</v>
      </c>
      <c r="F1716" s="64" t="s">
        <v>7386</v>
      </c>
      <c r="G1716" s="614" t="s">
        <v>50</v>
      </c>
      <c r="H1716" s="614" t="s">
        <v>682</v>
      </c>
      <c r="I1716" s="614" t="s">
        <v>1149</v>
      </c>
      <c r="J1716" s="64" t="s">
        <v>3058</v>
      </c>
      <c r="K1716" s="1940" t="s">
        <v>7387</v>
      </c>
      <c r="L1716" s="1940" t="s">
        <v>9334</v>
      </c>
      <c r="M1716" t="s">
        <v>12700</v>
      </c>
      <c r="N1716" t="s">
        <v>11049</v>
      </c>
      <c r="O1716" t="s">
        <v>7386</v>
      </c>
      <c r="P1716" s="614">
        <f>COUNTIF(EducPlans_кодНАЦИД_Спец[аФакСец],EducPlans_кодНАЦИД_Спец[[#This Row],[аФакСец]])</f>
        <v>1</v>
      </c>
    </row>
    <row r="1717" spans="3:16" x14ac:dyDescent="0.25">
      <c r="C1717" s="614">
        <v>1711</v>
      </c>
      <c r="D1717" s="614">
        <v>12414</v>
      </c>
      <c r="E1717" s="64" t="s">
        <v>2099</v>
      </c>
      <c r="F1717" s="64" t="s">
        <v>7388</v>
      </c>
      <c r="G1717" s="614" t="s">
        <v>50</v>
      </c>
      <c r="H1717" s="614" t="s">
        <v>682</v>
      </c>
      <c r="I1717" s="614" t="s">
        <v>1149</v>
      </c>
      <c r="J1717" s="64" t="s">
        <v>3059</v>
      </c>
      <c r="K1717" s="1940" t="s">
        <v>7389</v>
      </c>
      <c r="L1717" s="1940" t="s">
        <v>9335</v>
      </c>
      <c r="M1717" t="s">
        <v>12701</v>
      </c>
      <c r="N1717" t="s">
        <v>11050</v>
      </c>
      <c r="O1717" t="s">
        <v>7388</v>
      </c>
      <c r="P1717" s="614">
        <f>COUNTIF(EducPlans_кодНАЦИД_Спец[аФакСец],EducPlans_кодНАЦИД_Спец[[#This Row],[аФакСец]])</f>
        <v>1</v>
      </c>
    </row>
    <row r="1718" spans="3:16" x14ac:dyDescent="0.25">
      <c r="C1718" s="614">
        <v>1712</v>
      </c>
      <c r="D1718" s="614">
        <v>12410</v>
      </c>
      <c r="E1718" s="64" t="s">
        <v>2100</v>
      </c>
      <c r="F1718" s="64" t="s">
        <v>7390</v>
      </c>
      <c r="G1718" s="614" t="s">
        <v>50</v>
      </c>
      <c r="H1718" s="614" t="s">
        <v>682</v>
      </c>
      <c r="I1718" s="614" t="s">
        <v>1149</v>
      </c>
      <c r="J1718" s="64" t="s">
        <v>3060</v>
      </c>
      <c r="K1718" s="1940" t="s">
        <v>7391</v>
      </c>
      <c r="L1718" s="1940" t="s">
        <v>9336</v>
      </c>
      <c r="M1718" t="s">
        <v>12702</v>
      </c>
      <c r="N1718" t="s">
        <v>11051</v>
      </c>
      <c r="O1718" t="s">
        <v>7390</v>
      </c>
      <c r="P1718" s="614">
        <f>COUNTIF(EducPlans_кодНАЦИД_Спец[аФакСец],EducPlans_кодНАЦИД_Спец[[#This Row],[аФакСец]])</f>
        <v>1</v>
      </c>
    </row>
    <row r="1719" spans="3:16" x14ac:dyDescent="0.25">
      <c r="C1719" s="614">
        <v>1713</v>
      </c>
      <c r="D1719" s="614">
        <v>12428</v>
      </c>
      <c r="E1719" s="64" t="s">
        <v>2288</v>
      </c>
      <c r="F1719" s="64" t="s">
        <v>7392</v>
      </c>
      <c r="G1719" s="614" t="s">
        <v>50</v>
      </c>
      <c r="H1719" s="614" t="s">
        <v>682</v>
      </c>
      <c r="I1719" s="614" t="s">
        <v>1153</v>
      </c>
      <c r="J1719" s="64" t="s">
        <v>7393</v>
      </c>
      <c r="K1719" s="1940" t="s">
        <v>7394</v>
      </c>
      <c r="L1719" s="1940" t="s">
        <v>9337</v>
      </c>
      <c r="M1719" t="s">
        <v>12703</v>
      </c>
      <c r="N1719" t="s">
        <v>11052</v>
      </c>
      <c r="O1719" t="s">
        <v>7392</v>
      </c>
      <c r="P1719" s="614">
        <f>COUNTIF(EducPlans_кодНАЦИД_Спец[аФакСец],EducPlans_кодНАЦИД_Спец[[#This Row],[аФакСец]])</f>
        <v>1</v>
      </c>
    </row>
    <row r="1720" spans="3:16" x14ac:dyDescent="0.25">
      <c r="C1720" s="614">
        <v>1714</v>
      </c>
      <c r="D1720" s="614">
        <v>12429</v>
      </c>
      <c r="E1720" s="64" t="s">
        <v>2288</v>
      </c>
      <c r="F1720" s="64" t="s">
        <v>7395</v>
      </c>
      <c r="G1720" s="614" t="s">
        <v>50</v>
      </c>
      <c r="H1720" s="614" t="s">
        <v>682</v>
      </c>
      <c r="I1720" s="614" t="s">
        <v>1149</v>
      </c>
      <c r="J1720" s="64" t="s">
        <v>7396</v>
      </c>
      <c r="K1720" s="1940" t="s">
        <v>7397</v>
      </c>
      <c r="L1720" s="1940" t="s">
        <v>9338</v>
      </c>
      <c r="M1720" t="s">
        <v>12704</v>
      </c>
      <c r="N1720" t="s">
        <v>11053</v>
      </c>
      <c r="O1720" t="s">
        <v>7395</v>
      </c>
      <c r="P1720" s="614">
        <f>COUNTIF(EducPlans_кодНАЦИД_Спец[аФакСец],EducPlans_кодНАЦИД_Спец[[#This Row],[аФакСец]])</f>
        <v>1</v>
      </c>
    </row>
    <row r="1721" spans="3:16" x14ac:dyDescent="0.25">
      <c r="C1721" s="614">
        <v>1715</v>
      </c>
      <c r="D1721" s="614">
        <v>12429</v>
      </c>
      <c r="E1721" s="64" t="s">
        <v>2288</v>
      </c>
      <c r="F1721" s="64" t="s">
        <v>7398</v>
      </c>
      <c r="G1721" s="614" t="s">
        <v>50</v>
      </c>
      <c r="H1721" s="614" t="s">
        <v>682</v>
      </c>
      <c r="I1721" s="614" t="s">
        <v>1149</v>
      </c>
      <c r="J1721" s="64" t="s">
        <v>7399</v>
      </c>
      <c r="K1721" s="1940" t="s">
        <v>7397</v>
      </c>
      <c r="L1721" s="1940" t="s">
        <v>9339</v>
      </c>
      <c r="M1721" t="s">
        <v>12705</v>
      </c>
      <c r="N1721" t="s">
        <v>11054</v>
      </c>
      <c r="O1721" t="s">
        <v>7398</v>
      </c>
      <c r="P1721" s="614">
        <f>COUNTIF(EducPlans_кодНАЦИД_Спец[аФакСец],EducPlans_кодНАЦИД_Спец[[#This Row],[аФакСец]])</f>
        <v>1</v>
      </c>
    </row>
    <row r="1722" spans="3:16" x14ac:dyDescent="0.25">
      <c r="C1722" s="614">
        <v>1716</v>
      </c>
      <c r="D1722" s="614">
        <v>12387</v>
      </c>
      <c r="E1722" s="64" t="s">
        <v>1933</v>
      </c>
      <c r="F1722" s="64" t="s">
        <v>7400</v>
      </c>
      <c r="G1722" s="614" t="s">
        <v>50</v>
      </c>
      <c r="H1722" s="614" t="s">
        <v>682</v>
      </c>
      <c r="I1722" s="614" t="s">
        <v>1153</v>
      </c>
      <c r="J1722" s="64" t="s">
        <v>3063</v>
      </c>
      <c r="K1722" s="1940" t="s">
        <v>7401</v>
      </c>
      <c r="L1722" s="1940" t="s">
        <v>9340</v>
      </c>
      <c r="M1722" t="s">
        <v>12706</v>
      </c>
      <c r="N1722" t="s">
        <v>11055</v>
      </c>
      <c r="O1722" t="s">
        <v>7400</v>
      </c>
      <c r="P1722" s="614">
        <f>COUNTIF(EducPlans_кодНАЦИД_Спец[аФакСец],EducPlans_кодНАЦИД_Спец[[#This Row],[аФакСец]])</f>
        <v>1</v>
      </c>
    </row>
    <row r="1723" spans="3:16" x14ac:dyDescent="0.25">
      <c r="C1723" s="614">
        <v>1717</v>
      </c>
      <c r="D1723" s="614">
        <v>12387</v>
      </c>
      <c r="E1723" s="64" t="s">
        <v>1933</v>
      </c>
      <c r="F1723" s="64" t="s">
        <v>7402</v>
      </c>
      <c r="G1723" s="614" t="s">
        <v>50</v>
      </c>
      <c r="H1723" s="614" t="s">
        <v>682</v>
      </c>
      <c r="I1723" s="614" t="s">
        <v>1153</v>
      </c>
      <c r="J1723" s="64" t="s">
        <v>3066</v>
      </c>
      <c r="K1723" s="1940" t="s">
        <v>7401</v>
      </c>
      <c r="L1723" s="1940" t="s">
        <v>9341</v>
      </c>
      <c r="M1723" t="s">
        <v>12707</v>
      </c>
      <c r="N1723" t="s">
        <v>11056</v>
      </c>
      <c r="O1723" t="s">
        <v>7402</v>
      </c>
      <c r="P1723" s="614">
        <f>COUNTIF(EducPlans_кодНАЦИД_Спец[аФакСец],EducPlans_кодНАЦИД_Спец[[#This Row],[аФакСец]])</f>
        <v>1</v>
      </c>
    </row>
    <row r="1724" spans="3:16" x14ac:dyDescent="0.25">
      <c r="C1724" s="614">
        <v>1718</v>
      </c>
      <c r="D1724" s="614">
        <v>12387</v>
      </c>
      <c r="E1724" s="64" t="s">
        <v>1933</v>
      </c>
      <c r="F1724" s="64" t="s">
        <v>7403</v>
      </c>
      <c r="G1724" s="614" t="s">
        <v>50</v>
      </c>
      <c r="H1724" s="614" t="s">
        <v>682</v>
      </c>
      <c r="I1724" s="614" t="s">
        <v>1153</v>
      </c>
      <c r="J1724" s="64" t="s">
        <v>3065</v>
      </c>
      <c r="K1724" s="1940" t="s">
        <v>7401</v>
      </c>
      <c r="L1724" s="1940" t="s">
        <v>9342</v>
      </c>
      <c r="M1724" t="s">
        <v>12708</v>
      </c>
      <c r="N1724" t="s">
        <v>11057</v>
      </c>
      <c r="O1724" t="s">
        <v>7403</v>
      </c>
      <c r="P1724" s="614">
        <f>COUNTIF(EducPlans_кодНАЦИД_Спец[аФакСец],EducPlans_кодНАЦИД_Спец[[#This Row],[аФакСец]])</f>
        <v>1</v>
      </c>
    </row>
    <row r="1725" spans="3:16" x14ac:dyDescent="0.25">
      <c r="C1725" s="614">
        <v>1719</v>
      </c>
      <c r="D1725" s="614">
        <v>12389</v>
      </c>
      <c r="E1725" s="64" t="s">
        <v>1933</v>
      </c>
      <c r="F1725" s="64" t="s">
        <v>7404</v>
      </c>
      <c r="G1725" s="614" t="s">
        <v>50</v>
      </c>
      <c r="H1725" s="614" t="s">
        <v>682</v>
      </c>
      <c r="I1725" s="614" t="s">
        <v>1153</v>
      </c>
      <c r="J1725" s="64" t="s">
        <v>3064</v>
      </c>
      <c r="K1725" s="1940" t="s">
        <v>7401</v>
      </c>
      <c r="L1725" s="1940" t="s">
        <v>9343</v>
      </c>
      <c r="M1725" t="s">
        <v>12709</v>
      </c>
      <c r="N1725" t="s">
        <v>11058</v>
      </c>
      <c r="O1725" t="s">
        <v>7404</v>
      </c>
      <c r="P1725" s="614">
        <f>COUNTIF(EducPlans_кодНАЦИД_Спец[аФакСец],EducPlans_кодНАЦИД_Спец[[#This Row],[аФакСец]])</f>
        <v>1</v>
      </c>
    </row>
    <row r="1726" spans="3:16" x14ac:dyDescent="0.25">
      <c r="C1726" s="614">
        <v>1720</v>
      </c>
      <c r="D1726" s="614">
        <v>12398</v>
      </c>
      <c r="E1726" s="64" t="s">
        <v>1933</v>
      </c>
      <c r="F1726" s="64" t="s">
        <v>7405</v>
      </c>
      <c r="G1726" s="614" t="s">
        <v>50</v>
      </c>
      <c r="H1726" s="614" t="s">
        <v>682</v>
      </c>
      <c r="I1726" s="614" t="s">
        <v>1153</v>
      </c>
      <c r="J1726" s="64" t="s">
        <v>3062</v>
      </c>
      <c r="K1726" s="1940" t="s">
        <v>7406</v>
      </c>
      <c r="L1726" s="1940" t="s">
        <v>9344</v>
      </c>
      <c r="M1726" t="s">
        <v>12710</v>
      </c>
      <c r="N1726" t="s">
        <v>11059</v>
      </c>
      <c r="O1726" t="s">
        <v>7405</v>
      </c>
      <c r="P1726" s="614">
        <f>COUNTIF(EducPlans_кодНАЦИД_Спец[аФакСец],EducPlans_кодНАЦИД_Спец[[#This Row],[аФакСец]])</f>
        <v>1</v>
      </c>
    </row>
    <row r="1727" spans="3:16" x14ac:dyDescent="0.25">
      <c r="C1727" s="614">
        <v>1721</v>
      </c>
      <c r="D1727" s="614">
        <v>12390</v>
      </c>
      <c r="E1727" s="64" t="s">
        <v>1933</v>
      </c>
      <c r="F1727" s="64" t="s">
        <v>7407</v>
      </c>
      <c r="G1727" s="614" t="s">
        <v>50</v>
      </c>
      <c r="H1727" s="614" t="s">
        <v>682</v>
      </c>
      <c r="I1727" s="614" t="s">
        <v>1149</v>
      </c>
      <c r="J1727" s="64" t="s">
        <v>7408</v>
      </c>
      <c r="K1727" s="1940" t="s">
        <v>7409</v>
      </c>
      <c r="L1727" s="1940" t="s">
        <v>9345</v>
      </c>
      <c r="M1727" t="s">
        <v>12711</v>
      </c>
      <c r="N1727" t="s">
        <v>11060</v>
      </c>
      <c r="O1727" t="s">
        <v>7407</v>
      </c>
      <c r="P1727" s="614">
        <f>COUNTIF(EducPlans_кодНАЦИД_Спец[аФакСец],EducPlans_кодНАЦИД_Спец[[#This Row],[аФакСец]])</f>
        <v>1</v>
      </c>
    </row>
    <row r="1728" spans="3:16" x14ac:dyDescent="0.25">
      <c r="C1728" s="614">
        <v>1722</v>
      </c>
      <c r="D1728" s="614">
        <v>12390</v>
      </c>
      <c r="E1728" s="64" t="s">
        <v>1933</v>
      </c>
      <c r="F1728" s="64" t="s">
        <v>7410</v>
      </c>
      <c r="G1728" s="614" t="s">
        <v>50</v>
      </c>
      <c r="H1728" s="614" t="s">
        <v>682</v>
      </c>
      <c r="I1728" s="614" t="s">
        <v>1149</v>
      </c>
      <c r="J1728" s="64" t="s">
        <v>7411</v>
      </c>
      <c r="K1728" s="1940" t="s">
        <v>7409</v>
      </c>
      <c r="L1728" s="1940" t="s">
        <v>9346</v>
      </c>
      <c r="M1728" t="s">
        <v>12712</v>
      </c>
      <c r="N1728" t="s">
        <v>11061</v>
      </c>
      <c r="O1728" t="s">
        <v>7410</v>
      </c>
      <c r="P1728" s="614">
        <f>COUNTIF(EducPlans_кодНАЦИД_Спец[аФакСец],EducPlans_кодНАЦИД_Спец[[#This Row],[аФакСец]])</f>
        <v>1</v>
      </c>
    </row>
    <row r="1729" spans="3:16" x14ac:dyDescent="0.25">
      <c r="C1729" s="614">
        <v>1723</v>
      </c>
      <c r="D1729" s="614">
        <v>12400</v>
      </c>
      <c r="E1729" s="64" t="s">
        <v>1933</v>
      </c>
      <c r="F1729" s="64" t="s">
        <v>7412</v>
      </c>
      <c r="G1729" s="614" t="s">
        <v>50</v>
      </c>
      <c r="H1729" s="614" t="s">
        <v>682</v>
      </c>
      <c r="I1729" s="614" t="s">
        <v>1149</v>
      </c>
      <c r="J1729" s="64" t="s">
        <v>3061</v>
      </c>
      <c r="K1729" s="1940" t="s">
        <v>7413</v>
      </c>
      <c r="L1729" s="1940" t="s">
        <v>9347</v>
      </c>
      <c r="M1729" t="s">
        <v>12713</v>
      </c>
      <c r="N1729" t="s">
        <v>11062</v>
      </c>
      <c r="O1729" t="s">
        <v>7412</v>
      </c>
      <c r="P1729" s="614">
        <f>COUNTIF(EducPlans_кодНАЦИД_Спец[аФакСец],EducPlans_кодНАЦИД_Спец[[#This Row],[аФакСец]])</f>
        <v>1</v>
      </c>
    </row>
    <row r="1730" spans="3:16" x14ac:dyDescent="0.25">
      <c r="C1730" s="614">
        <v>1724</v>
      </c>
      <c r="D1730" s="614">
        <v>12392</v>
      </c>
      <c r="E1730" s="64" t="s">
        <v>1934</v>
      </c>
      <c r="F1730" s="64" t="s">
        <v>7414</v>
      </c>
      <c r="G1730" s="614" t="s">
        <v>50</v>
      </c>
      <c r="H1730" s="614" t="s">
        <v>682</v>
      </c>
      <c r="I1730" s="614" t="s">
        <v>1153</v>
      </c>
      <c r="J1730" s="64" t="s">
        <v>7415</v>
      </c>
      <c r="K1730" s="1940" t="s">
        <v>7416</v>
      </c>
      <c r="L1730" s="1940" t="s">
        <v>9348</v>
      </c>
      <c r="M1730" t="s">
        <v>12714</v>
      </c>
      <c r="N1730" t="s">
        <v>11063</v>
      </c>
      <c r="O1730" t="s">
        <v>7414</v>
      </c>
      <c r="P1730" s="614">
        <f>COUNTIF(EducPlans_кодНАЦИД_Спец[аФакСец],EducPlans_кодНАЦИД_Спец[[#This Row],[аФакСец]])</f>
        <v>1</v>
      </c>
    </row>
    <row r="1731" spans="3:16" x14ac:dyDescent="0.25">
      <c r="C1731" s="614">
        <v>1725</v>
      </c>
      <c r="D1731" s="614">
        <v>12392</v>
      </c>
      <c r="E1731" s="64" t="s">
        <v>1934</v>
      </c>
      <c r="F1731" s="64" t="s">
        <v>7417</v>
      </c>
      <c r="G1731" s="614" t="s">
        <v>50</v>
      </c>
      <c r="H1731" s="614" t="s">
        <v>682</v>
      </c>
      <c r="I1731" s="614" t="s">
        <v>1153</v>
      </c>
      <c r="J1731" s="64" t="s">
        <v>7418</v>
      </c>
      <c r="K1731" s="1940" t="s">
        <v>7416</v>
      </c>
      <c r="L1731" s="1940" t="s">
        <v>9349</v>
      </c>
      <c r="M1731" t="s">
        <v>12715</v>
      </c>
      <c r="N1731" t="s">
        <v>11064</v>
      </c>
      <c r="O1731" t="s">
        <v>7417</v>
      </c>
      <c r="P1731" s="614">
        <f>COUNTIF(EducPlans_кодНАЦИД_Спец[аФакСец],EducPlans_кодНАЦИД_Спец[[#This Row],[аФакСец]])</f>
        <v>1</v>
      </c>
    </row>
    <row r="1732" spans="3:16" x14ac:dyDescent="0.25">
      <c r="C1732" s="614">
        <v>1726</v>
      </c>
      <c r="D1732" s="614">
        <v>12392</v>
      </c>
      <c r="E1732" s="64" t="s">
        <v>1934</v>
      </c>
      <c r="F1732" s="64" t="s">
        <v>7419</v>
      </c>
      <c r="G1732" s="614" t="s">
        <v>50</v>
      </c>
      <c r="H1732" s="614" t="s">
        <v>682</v>
      </c>
      <c r="I1732" s="614" t="s">
        <v>1153</v>
      </c>
      <c r="J1732" s="64" t="s">
        <v>7420</v>
      </c>
      <c r="K1732" s="1940" t="s">
        <v>7416</v>
      </c>
      <c r="L1732" s="1940" t="s">
        <v>9350</v>
      </c>
      <c r="M1732" t="s">
        <v>12716</v>
      </c>
      <c r="N1732" t="s">
        <v>11065</v>
      </c>
      <c r="O1732" t="s">
        <v>7419</v>
      </c>
      <c r="P1732" s="614">
        <f>COUNTIF(EducPlans_кодНАЦИД_Спец[аФакСец],EducPlans_кодНАЦИД_Спец[[#This Row],[аФакСец]])</f>
        <v>1</v>
      </c>
    </row>
    <row r="1733" spans="3:16" x14ac:dyDescent="0.25">
      <c r="C1733" s="614">
        <v>1727</v>
      </c>
      <c r="D1733" s="614">
        <v>12393</v>
      </c>
      <c r="E1733" s="64" t="s">
        <v>1934</v>
      </c>
      <c r="F1733" s="64" t="s">
        <v>7421</v>
      </c>
      <c r="G1733" s="614" t="s">
        <v>50</v>
      </c>
      <c r="H1733" s="614" t="s">
        <v>682</v>
      </c>
      <c r="I1733" s="614" t="s">
        <v>1149</v>
      </c>
      <c r="J1733" s="64" t="s">
        <v>7422</v>
      </c>
      <c r="K1733" s="1940" t="s">
        <v>7423</v>
      </c>
      <c r="L1733" s="1940" t="s">
        <v>9351</v>
      </c>
      <c r="M1733" t="s">
        <v>12717</v>
      </c>
      <c r="N1733" t="s">
        <v>11066</v>
      </c>
      <c r="O1733" t="s">
        <v>7421</v>
      </c>
      <c r="P1733" s="614">
        <f>COUNTIF(EducPlans_кодНАЦИД_Спец[аФакСец],EducPlans_кодНАЦИД_Спец[[#This Row],[аФакСец]])</f>
        <v>1</v>
      </c>
    </row>
    <row r="1734" spans="3:16" x14ac:dyDescent="0.25">
      <c r="C1734" s="614">
        <v>1728</v>
      </c>
      <c r="D1734" s="614">
        <v>12402</v>
      </c>
      <c r="E1734" s="64" t="s">
        <v>1935</v>
      </c>
      <c r="F1734" s="64" t="s">
        <v>7424</v>
      </c>
      <c r="G1734" s="614" t="s">
        <v>50</v>
      </c>
      <c r="H1734" s="614" t="s">
        <v>682</v>
      </c>
      <c r="I1734" s="614" t="s">
        <v>1153</v>
      </c>
      <c r="J1734" s="64" t="s">
        <v>3068</v>
      </c>
      <c r="K1734" s="1940" t="s">
        <v>7425</v>
      </c>
      <c r="L1734" s="1940" t="s">
        <v>9352</v>
      </c>
      <c r="M1734" t="s">
        <v>12718</v>
      </c>
      <c r="N1734" t="s">
        <v>11067</v>
      </c>
      <c r="O1734" t="s">
        <v>7424</v>
      </c>
      <c r="P1734" s="614">
        <f>COUNTIF(EducPlans_кодНАЦИД_Спец[аФакСец],EducPlans_кодНАЦИД_Спец[[#This Row],[аФакСец]])</f>
        <v>1</v>
      </c>
    </row>
    <row r="1735" spans="3:16" x14ac:dyDescent="0.25">
      <c r="C1735" s="614">
        <v>1729</v>
      </c>
      <c r="D1735" s="614">
        <v>12791</v>
      </c>
      <c r="E1735" s="64" t="s">
        <v>1937</v>
      </c>
      <c r="F1735" s="64" t="s">
        <v>7426</v>
      </c>
      <c r="G1735" s="614" t="s">
        <v>626</v>
      </c>
      <c r="H1735" s="614" t="s">
        <v>682</v>
      </c>
      <c r="I1735" s="614" t="s">
        <v>1153</v>
      </c>
      <c r="J1735" s="64" t="s">
        <v>3426</v>
      </c>
      <c r="K1735" s="1940" t="s">
        <v>7427</v>
      </c>
      <c r="L1735" s="1940" t="s">
        <v>9353</v>
      </c>
      <c r="M1735" t="s">
        <v>12719</v>
      </c>
      <c r="N1735" t="s">
        <v>11068</v>
      </c>
      <c r="O1735" t="s">
        <v>7426</v>
      </c>
      <c r="P1735" s="614">
        <f>COUNTIF(EducPlans_кодНАЦИД_Спец[аФакСец],EducPlans_кодНАЦИД_Спец[[#This Row],[аФакСец]])</f>
        <v>1</v>
      </c>
    </row>
    <row r="1736" spans="3:16" x14ac:dyDescent="0.25">
      <c r="C1736" s="614">
        <v>1730</v>
      </c>
      <c r="D1736" s="614">
        <v>12791</v>
      </c>
      <c r="E1736" s="64" t="s">
        <v>1937</v>
      </c>
      <c r="F1736" s="64" t="s">
        <v>7428</v>
      </c>
      <c r="G1736" s="614" t="s">
        <v>626</v>
      </c>
      <c r="H1736" s="614" t="s">
        <v>682</v>
      </c>
      <c r="I1736" s="614" t="s">
        <v>1153</v>
      </c>
      <c r="J1736" s="64" t="s">
        <v>3425</v>
      </c>
      <c r="K1736" s="1940" t="s">
        <v>7427</v>
      </c>
      <c r="L1736" s="1940" t="s">
        <v>9354</v>
      </c>
      <c r="M1736" t="s">
        <v>12720</v>
      </c>
      <c r="N1736" t="s">
        <v>11069</v>
      </c>
      <c r="O1736" t="s">
        <v>7428</v>
      </c>
      <c r="P1736" s="614">
        <f>COUNTIF(EducPlans_кодНАЦИД_Спец[аФакСец],EducPlans_кодНАЦИД_Спец[[#This Row],[аФакСец]])</f>
        <v>1</v>
      </c>
    </row>
    <row r="1737" spans="3:16" x14ac:dyDescent="0.25">
      <c r="C1737" s="614">
        <v>1731</v>
      </c>
      <c r="D1737" s="614">
        <v>12819</v>
      </c>
      <c r="E1737" s="64" t="s">
        <v>1938</v>
      </c>
      <c r="F1737" s="64" t="s">
        <v>7429</v>
      </c>
      <c r="G1737" s="614" t="s">
        <v>626</v>
      </c>
      <c r="H1737" s="614" t="s">
        <v>682</v>
      </c>
      <c r="I1737" s="614" t="s">
        <v>1153</v>
      </c>
      <c r="J1737" s="64" t="s">
        <v>3429</v>
      </c>
      <c r="K1737" s="1940" t="s">
        <v>7430</v>
      </c>
      <c r="L1737" s="1940" t="s">
        <v>9355</v>
      </c>
      <c r="M1737" t="s">
        <v>12721</v>
      </c>
      <c r="N1737" t="s">
        <v>11070</v>
      </c>
      <c r="O1737" t="s">
        <v>7429</v>
      </c>
      <c r="P1737" s="614">
        <f>COUNTIF(EducPlans_кодНАЦИД_Спец[аФакСец],EducPlans_кодНАЦИД_Спец[[#This Row],[аФакСец]])</f>
        <v>1</v>
      </c>
    </row>
    <row r="1738" spans="3:16" x14ac:dyDescent="0.25">
      <c r="C1738" s="614">
        <v>1732</v>
      </c>
      <c r="D1738" s="614">
        <v>12790</v>
      </c>
      <c r="E1738" s="64" t="s">
        <v>4570</v>
      </c>
      <c r="F1738" s="64" t="s">
        <v>7431</v>
      </c>
      <c r="G1738" s="614" t="s">
        <v>626</v>
      </c>
      <c r="H1738" s="614" t="s">
        <v>682</v>
      </c>
      <c r="I1738" s="614" t="s">
        <v>1153</v>
      </c>
      <c r="J1738" s="64" t="s">
        <v>4569</v>
      </c>
      <c r="K1738" s="1940" t="s">
        <v>7432</v>
      </c>
      <c r="L1738" s="1940" t="s">
        <v>9356</v>
      </c>
      <c r="M1738" t="s">
        <v>12722</v>
      </c>
      <c r="N1738" t="s">
        <v>11071</v>
      </c>
      <c r="O1738" t="s">
        <v>7431</v>
      </c>
      <c r="P1738" s="614">
        <f>COUNTIF(EducPlans_кодНАЦИД_Спец[аФакСец],EducPlans_кодНАЦИД_Спец[[#This Row],[аФакСец]])</f>
        <v>1</v>
      </c>
    </row>
    <row r="1739" spans="3:16" x14ac:dyDescent="0.25">
      <c r="C1739" s="614">
        <v>1733</v>
      </c>
      <c r="D1739" s="614">
        <v>12790</v>
      </c>
      <c r="E1739" s="64" t="s">
        <v>4570</v>
      </c>
      <c r="F1739" s="64" t="s">
        <v>7433</v>
      </c>
      <c r="G1739" s="614" t="s">
        <v>626</v>
      </c>
      <c r="H1739" s="614" t="s">
        <v>682</v>
      </c>
      <c r="I1739" s="614" t="s">
        <v>1153</v>
      </c>
      <c r="J1739" s="64" t="s">
        <v>3427</v>
      </c>
      <c r="K1739" s="1940" t="s">
        <v>7432</v>
      </c>
      <c r="L1739" s="1940" t="s">
        <v>9357</v>
      </c>
      <c r="M1739" t="s">
        <v>12723</v>
      </c>
      <c r="N1739" t="s">
        <v>11072</v>
      </c>
      <c r="O1739" t="s">
        <v>7433</v>
      </c>
      <c r="P1739" s="614">
        <f>COUNTIF(EducPlans_кодНАЦИД_Спец[аФакСец],EducPlans_кодНАЦИД_Спец[[#This Row],[аФакСец]])</f>
        <v>1</v>
      </c>
    </row>
    <row r="1740" spans="3:16" x14ac:dyDescent="0.25">
      <c r="C1740" s="614">
        <v>1734</v>
      </c>
      <c r="D1740" s="614">
        <v>12790</v>
      </c>
      <c r="E1740" s="64" t="s">
        <v>4570</v>
      </c>
      <c r="F1740" s="64" t="s">
        <v>7434</v>
      </c>
      <c r="G1740" s="614" t="s">
        <v>626</v>
      </c>
      <c r="H1740" s="614" t="s">
        <v>682</v>
      </c>
      <c r="I1740" s="614" t="s">
        <v>1153</v>
      </c>
      <c r="J1740" s="64" t="s">
        <v>3428</v>
      </c>
      <c r="K1740" s="1940" t="s">
        <v>7432</v>
      </c>
      <c r="L1740" s="1940" t="s">
        <v>9358</v>
      </c>
      <c r="M1740" t="s">
        <v>12724</v>
      </c>
      <c r="N1740" t="s">
        <v>11073</v>
      </c>
      <c r="O1740" t="s">
        <v>7434</v>
      </c>
      <c r="P1740" s="614">
        <f>COUNTIF(EducPlans_кодНАЦИД_Спец[аФакСец],EducPlans_кодНАЦИД_Спец[[#This Row],[аФакСец]])</f>
        <v>1</v>
      </c>
    </row>
    <row r="1741" spans="3:16" x14ac:dyDescent="0.25">
      <c r="C1741" s="614">
        <v>1735</v>
      </c>
      <c r="D1741" s="614">
        <v>12790</v>
      </c>
      <c r="E1741" s="64" t="s">
        <v>4570</v>
      </c>
      <c r="F1741" s="64" t="s">
        <v>7435</v>
      </c>
      <c r="G1741" s="614" t="s">
        <v>626</v>
      </c>
      <c r="H1741" s="614" t="s">
        <v>682</v>
      </c>
      <c r="I1741" s="614" t="s">
        <v>1153</v>
      </c>
      <c r="J1741" s="64" t="s">
        <v>3423</v>
      </c>
      <c r="K1741" s="1940" t="s">
        <v>7432</v>
      </c>
      <c r="L1741" s="1940" t="s">
        <v>9359</v>
      </c>
      <c r="M1741" t="s">
        <v>12725</v>
      </c>
      <c r="N1741" t="s">
        <v>11074</v>
      </c>
      <c r="O1741" t="s">
        <v>7435</v>
      </c>
      <c r="P1741" s="614">
        <f>COUNTIF(EducPlans_кодНАЦИД_Спец[аФакСец],EducPlans_кодНАЦИД_Спец[[#This Row],[аФакСец]])</f>
        <v>1</v>
      </c>
    </row>
    <row r="1742" spans="3:16" x14ac:dyDescent="0.25">
      <c r="C1742" s="614">
        <v>1736</v>
      </c>
      <c r="D1742" s="614">
        <v>12820</v>
      </c>
      <c r="E1742" s="64" t="s">
        <v>1939</v>
      </c>
      <c r="F1742" s="64" t="s">
        <v>7436</v>
      </c>
      <c r="G1742" s="614" t="s">
        <v>626</v>
      </c>
      <c r="H1742" s="614" t="s">
        <v>682</v>
      </c>
      <c r="I1742" s="614" t="s">
        <v>1153</v>
      </c>
      <c r="J1742" s="64" t="s">
        <v>3431</v>
      </c>
      <c r="K1742" s="1940" t="s">
        <v>7437</v>
      </c>
      <c r="L1742" s="1940" t="s">
        <v>9360</v>
      </c>
      <c r="M1742" t="s">
        <v>12726</v>
      </c>
      <c r="N1742" t="s">
        <v>11075</v>
      </c>
      <c r="O1742" t="s">
        <v>7436</v>
      </c>
      <c r="P1742" s="614">
        <f>COUNTIF(EducPlans_кодНАЦИД_Спец[аФакСец],EducPlans_кодНАЦИД_Спец[[#This Row],[аФакСец]])</f>
        <v>1</v>
      </c>
    </row>
    <row r="1743" spans="3:16" x14ac:dyDescent="0.25">
      <c r="C1743" s="614">
        <v>1737</v>
      </c>
      <c r="D1743" s="614">
        <v>12820</v>
      </c>
      <c r="E1743" s="64" t="s">
        <v>1939</v>
      </c>
      <c r="F1743" s="64" t="s">
        <v>7438</v>
      </c>
      <c r="G1743" s="614" t="s">
        <v>626</v>
      </c>
      <c r="H1743" s="614" t="s">
        <v>682</v>
      </c>
      <c r="I1743" s="614" t="s">
        <v>1153</v>
      </c>
      <c r="J1743" s="64" t="s">
        <v>3430</v>
      </c>
      <c r="K1743" s="1940" t="s">
        <v>7437</v>
      </c>
      <c r="L1743" s="1940" t="s">
        <v>9361</v>
      </c>
      <c r="M1743" t="s">
        <v>12727</v>
      </c>
      <c r="N1743" t="s">
        <v>11076</v>
      </c>
      <c r="O1743" t="s">
        <v>7438</v>
      </c>
      <c r="P1743" s="614">
        <f>COUNTIF(EducPlans_кодНАЦИД_Спец[аФакСец],EducPlans_кодНАЦИД_Спец[[#This Row],[аФакСец]])</f>
        <v>1</v>
      </c>
    </row>
    <row r="1744" spans="3:16" x14ac:dyDescent="0.25">
      <c r="C1744" s="614">
        <v>1738</v>
      </c>
      <c r="D1744" s="614">
        <v>12820</v>
      </c>
      <c r="E1744" s="64" t="s">
        <v>1939</v>
      </c>
      <c r="F1744" s="64" t="s">
        <v>7439</v>
      </c>
      <c r="G1744" s="614" t="s">
        <v>626</v>
      </c>
      <c r="H1744" s="614" t="s">
        <v>682</v>
      </c>
      <c r="I1744" s="614" t="s">
        <v>1153</v>
      </c>
      <c r="J1744" s="64" t="s">
        <v>3432</v>
      </c>
      <c r="K1744" s="1940" t="s">
        <v>7437</v>
      </c>
      <c r="L1744" s="1940" t="s">
        <v>9362</v>
      </c>
      <c r="M1744" t="s">
        <v>12728</v>
      </c>
      <c r="N1744" t="s">
        <v>11077</v>
      </c>
      <c r="O1744" t="s">
        <v>7439</v>
      </c>
      <c r="P1744" s="614">
        <f>COUNTIF(EducPlans_кодНАЦИД_Спец[аФакСец],EducPlans_кодНАЦИД_Спец[[#This Row],[аФакСец]])</f>
        <v>1</v>
      </c>
    </row>
    <row r="1745" spans="3:16" x14ac:dyDescent="0.25">
      <c r="C1745" s="614">
        <v>1739</v>
      </c>
      <c r="D1745" s="614">
        <v>11786</v>
      </c>
      <c r="E1745" s="64" t="s">
        <v>2312</v>
      </c>
      <c r="F1745" s="64" t="s">
        <v>7440</v>
      </c>
      <c r="G1745" s="614" t="s">
        <v>26</v>
      </c>
      <c r="H1745" s="614" t="s">
        <v>682</v>
      </c>
      <c r="I1745" s="614" t="s">
        <v>1153</v>
      </c>
      <c r="J1745" s="64" t="s">
        <v>3756</v>
      </c>
      <c r="K1745" s="1940" t="s">
        <v>7441</v>
      </c>
      <c r="L1745" s="1940" t="s">
        <v>9363</v>
      </c>
      <c r="M1745" t="s">
        <v>12729</v>
      </c>
      <c r="N1745" t="s">
        <v>11078</v>
      </c>
      <c r="O1745" t="s">
        <v>7440</v>
      </c>
      <c r="P1745" s="614">
        <f>COUNTIF(EducPlans_кодНАЦИД_Спец[аФакСец],EducPlans_кодНАЦИД_Спец[[#This Row],[аФакСец]])</f>
        <v>1</v>
      </c>
    </row>
    <row r="1746" spans="3:16" x14ac:dyDescent="0.25">
      <c r="C1746" s="614">
        <v>1740</v>
      </c>
      <c r="D1746" s="614">
        <v>11786</v>
      </c>
      <c r="E1746" s="64" t="s">
        <v>2312</v>
      </c>
      <c r="F1746" s="64" t="s">
        <v>7442</v>
      </c>
      <c r="G1746" s="614" t="s">
        <v>26</v>
      </c>
      <c r="H1746" s="614" t="s">
        <v>682</v>
      </c>
      <c r="I1746" s="614" t="s">
        <v>1153</v>
      </c>
      <c r="J1746" s="64" t="s">
        <v>3757</v>
      </c>
      <c r="K1746" s="1940" t="s">
        <v>7441</v>
      </c>
      <c r="L1746" s="1940" t="s">
        <v>9364</v>
      </c>
      <c r="M1746" t="s">
        <v>12730</v>
      </c>
      <c r="N1746" t="s">
        <v>11079</v>
      </c>
      <c r="O1746" t="s">
        <v>7442</v>
      </c>
      <c r="P1746" s="614">
        <f>COUNTIF(EducPlans_кодНАЦИД_Спец[аФакСец],EducPlans_кодНАЦИД_Спец[[#This Row],[аФакСец]])</f>
        <v>1</v>
      </c>
    </row>
    <row r="1747" spans="3:16" x14ac:dyDescent="0.25">
      <c r="C1747" s="614">
        <v>1741</v>
      </c>
      <c r="D1747" s="614">
        <v>11801</v>
      </c>
      <c r="E1747" s="64" t="s">
        <v>2313</v>
      </c>
      <c r="F1747" s="64" t="s">
        <v>7443</v>
      </c>
      <c r="G1747" s="614" t="s">
        <v>26</v>
      </c>
      <c r="H1747" s="614" t="s">
        <v>682</v>
      </c>
      <c r="I1747" s="614" t="s">
        <v>1153</v>
      </c>
      <c r="J1747" s="64" t="s">
        <v>3758</v>
      </c>
      <c r="K1747" s="1940" t="s">
        <v>7444</v>
      </c>
      <c r="L1747" s="1940" t="s">
        <v>9365</v>
      </c>
      <c r="M1747" t="s">
        <v>12731</v>
      </c>
      <c r="N1747" t="s">
        <v>11080</v>
      </c>
      <c r="O1747" t="s">
        <v>7443</v>
      </c>
      <c r="P1747" s="614">
        <f>COUNTIF(EducPlans_кодНАЦИД_Спец[аФакСец],EducPlans_кодНАЦИД_Спец[[#This Row],[аФакСец]])</f>
        <v>1</v>
      </c>
    </row>
    <row r="1748" spans="3:16" x14ac:dyDescent="0.25">
      <c r="C1748" s="614">
        <v>1742</v>
      </c>
      <c r="D1748" s="614">
        <v>11641</v>
      </c>
      <c r="E1748" s="64" t="s">
        <v>1489</v>
      </c>
      <c r="F1748" s="64" t="s">
        <v>7445</v>
      </c>
      <c r="G1748" s="614" t="s">
        <v>33</v>
      </c>
      <c r="H1748" s="614" t="s">
        <v>682</v>
      </c>
      <c r="I1748" s="614" t="s">
        <v>1153</v>
      </c>
      <c r="J1748" s="64" t="s">
        <v>3633</v>
      </c>
      <c r="K1748" s="1940" t="s">
        <v>7446</v>
      </c>
      <c r="L1748" s="1940" t="s">
        <v>9366</v>
      </c>
      <c r="M1748" t="s">
        <v>12732</v>
      </c>
      <c r="N1748" t="s">
        <v>11081</v>
      </c>
      <c r="O1748" t="s">
        <v>7445</v>
      </c>
      <c r="P1748" s="614">
        <f>COUNTIF(EducPlans_кодНАЦИД_Спец[аФакСец],EducPlans_кодНАЦИД_Спец[[#This Row],[аФакСец]])</f>
        <v>1</v>
      </c>
    </row>
    <row r="1749" spans="3:16" x14ac:dyDescent="0.25">
      <c r="C1749" s="614">
        <v>1743</v>
      </c>
      <c r="D1749" s="614">
        <v>12226</v>
      </c>
      <c r="E1749" s="64" t="s">
        <v>1343</v>
      </c>
      <c r="F1749" s="64" t="s">
        <v>7447</v>
      </c>
      <c r="G1749" s="614" t="s">
        <v>31</v>
      </c>
      <c r="H1749" s="614" t="s">
        <v>682</v>
      </c>
      <c r="I1749" s="614" t="s">
        <v>1153</v>
      </c>
      <c r="J1749" s="64" t="s">
        <v>2972</v>
      </c>
      <c r="K1749" s="1940" t="s">
        <v>7448</v>
      </c>
      <c r="L1749" s="1940" t="s">
        <v>9367</v>
      </c>
      <c r="M1749" t="s">
        <v>12733</v>
      </c>
      <c r="N1749" t="s">
        <v>11082</v>
      </c>
      <c r="O1749" t="s">
        <v>7447</v>
      </c>
      <c r="P1749" s="614">
        <f>COUNTIF(EducPlans_кодНАЦИД_Спец[аФакСец],EducPlans_кодНАЦИД_Спец[[#This Row],[аФакСец]])</f>
        <v>2</v>
      </c>
    </row>
    <row r="1750" spans="3:16" x14ac:dyDescent="0.25">
      <c r="C1750" s="614">
        <v>1744</v>
      </c>
      <c r="D1750" s="614">
        <v>12248</v>
      </c>
      <c r="E1750" s="64" t="s">
        <v>1343</v>
      </c>
      <c r="F1750" s="64" t="s">
        <v>7449</v>
      </c>
      <c r="G1750" s="614" t="s">
        <v>31</v>
      </c>
      <c r="H1750" s="614" t="s">
        <v>682</v>
      </c>
      <c r="I1750" s="614" t="s">
        <v>1153</v>
      </c>
      <c r="J1750" s="64" t="s">
        <v>2972</v>
      </c>
      <c r="K1750" s="1940" t="s">
        <v>7450</v>
      </c>
      <c r="L1750" s="1940" t="s">
        <v>9367</v>
      </c>
      <c r="M1750" t="s">
        <v>12733</v>
      </c>
      <c r="N1750" t="s">
        <v>11082</v>
      </c>
      <c r="O1750" t="s">
        <v>7449</v>
      </c>
      <c r="P1750" s="614">
        <f>COUNTIF(EducPlans_кодНАЦИД_Спец[аФакСец],EducPlans_кодНАЦИД_Спец[[#This Row],[аФакСец]])</f>
        <v>2</v>
      </c>
    </row>
    <row r="1751" spans="3:16" x14ac:dyDescent="0.25">
      <c r="C1751" s="614">
        <v>1745</v>
      </c>
      <c r="D1751" s="614">
        <v>12227</v>
      </c>
      <c r="E1751" s="64" t="s">
        <v>1343</v>
      </c>
      <c r="F1751" s="64" t="s">
        <v>7451</v>
      </c>
      <c r="G1751" s="614" t="s">
        <v>31</v>
      </c>
      <c r="H1751" s="614" t="s">
        <v>682</v>
      </c>
      <c r="I1751" s="614" t="s">
        <v>1149</v>
      </c>
      <c r="J1751" s="64" t="s">
        <v>2971</v>
      </c>
      <c r="K1751" s="1940" t="s">
        <v>7452</v>
      </c>
      <c r="L1751" s="1940" t="s">
        <v>9368</v>
      </c>
      <c r="M1751" t="s">
        <v>12734</v>
      </c>
      <c r="N1751" t="s">
        <v>11083</v>
      </c>
      <c r="O1751" t="s">
        <v>7451</v>
      </c>
      <c r="P1751" s="614">
        <f>COUNTIF(EducPlans_кодНАЦИД_Спец[аФакСец],EducPlans_кодНАЦИД_Спец[[#This Row],[аФакСец]])</f>
        <v>1</v>
      </c>
    </row>
    <row r="1752" spans="3:16" x14ac:dyDescent="0.25">
      <c r="C1752" s="614">
        <v>1746</v>
      </c>
      <c r="D1752" s="614">
        <v>12249</v>
      </c>
      <c r="E1752" s="64" t="s">
        <v>1343</v>
      </c>
      <c r="F1752" s="64" t="s">
        <v>7453</v>
      </c>
      <c r="G1752" s="614" t="s">
        <v>31</v>
      </c>
      <c r="H1752" s="614" t="s">
        <v>682</v>
      </c>
      <c r="I1752" s="614" t="s">
        <v>1149</v>
      </c>
      <c r="J1752" s="64" t="s">
        <v>7454</v>
      </c>
      <c r="K1752" s="1940" t="s">
        <v>7455</v>
      </c>
      <c r="L1752" s="1940" t="s">
        <v>9369</v>
      </c>
      <c r="M1752" t="s">
        <v>12735</v>
      </c>
      <c r="N1752" t="s">
        <v>11084</v>
      </c>
      <c r="O1752" t="s">
        <v>7453</v>
      </c>
      <c r="P1752" s="614">
        <f>COUNTIF(EducPlans_кодНАЦИД_Спец[аФакСец],EducPlans_кодНАЦИД_Спец[[#This Row],[аФакСец]])</f>
        <v>1</v>
      </c>
    </row>
    <row r="1753" spans="3:16" x14ac:dyDescent="0.25">
      <c r="C1753" s="614">
        <v>1747</v>
      </c>
      <c r="D1753" s="614">
        <v>143690</v>
      </c>
      <c r="E1753" s="64" t="s">
        <v>1344</v>
      </c>
      <c r="F1753" s="64" t="s">
        <v>7456</v>
      </c>
      <c r="G1753" s="614" t="s">
        <v>50</v>
      </c>
      <c r="H1753" s="614" t="s">
        <v>682</v>
      </c>
      <c r="I1753" s="614" t="s">
        <v>1153</v>
      </c>
      <c r="J1753" s="64" t="s">
        <v>3071</v>
      </c>
      <c r="K1753" s="1940" t="s">
        <v>7457</v>
      </c>
      <c r="L1753" s="1940" t="s">
        <v>9370</v>
      </c>
      <c r="M1753" t="s">
        <v>12736</v>
      </c>
      <c r="N1753" t="s">
        <v>11085</v>
      </c>
      <c r="O1753" t="s">
        <v>7456</v>
      </c>
      <c r="P1753" s="614">
        <f>COUNTIF(EducPlans_кодНАЦИД_Спец[аФакСец],EducPlans_кодНАЦИД_Спец[[#This Row],[аФакСец]])</f>
        <v>1</v>
      </c>
    </row>
    <row r="1754" spans="3:16" x14ac:dyDescent="0.25">
      <c r="C1754" s="614">
        <v>1748</v>
      </c>
      <c r="D1754" s="614">
        <v>143690</v>
      </c>
      <c r="E1754" s="64" t="s">
        <v>1344</v>
      </c>
      <c r="F1754" s="64" t="s">
        <v>7458</v>
      </c>
      <c r="G1754" s="614" t="s">
        <v>50</v>
      </c>
      <c r="H1754" s="614" t="s">
        <v>682</v>
      </c>
      <c r="I1754" s="614" t="s">
        <v>1153</v>
      </c>
      <c r="J1754" s="64" t="s">
        <v>3070</v>
      </c>
      <c r="K1754" s="1940" t="s">
        <v>7457</v>
      </c>
      <c r="L1754" s="1940" t="s">
        <v>9371</v>
      </c>
      <c r="M1754" t="s">
        <v>12737</v>
      </c>
      <c r="N1754" t="s">
        <v>11086</v>
      </c>
      <c r="O1754" t="s">
        <v>7458</v>
      </c>
      <c r="P1754" s="614">
        <f>COUNTIF(EducPlans_кодНАЦИД_Спец[аФакСец],EducPlans_кодНАЦИД_Спец[[#This Row],[аФакСец]])</f>
        <v>1</v>
      </c>
    </row>
    <row r="1755" spans="3:16" x14ac:dyDescent="0.25">
      <c r="C1755" s="614">
        <v>1749</v>
      </c>
      <c r="D1755" s="614">
        <v>651065</v>
      </c>
      <c r="E1755" s="64" t="s">
        <v>7459</v>
      </c>
      <c r="F1755" s="64" t="s">
        <v>7460</v>
      </c>
      <c r="G1755" s="614" t="s">
        <v>50</v>
      </c>
      <c r="H1755" s="614" t="s">
        <v>682</v>
      </c>
      <c r="I1755" s="614" t="s">
        <v>1153</v>
      </c>
      <c r="J1755" s="64" t="s">
        <v>7461</v>
      </c>
      <c r="K1755" s="1940" t="s">
        <v>7462</v>
      </c>
      <c r="L1755" s="1940" t="s">
        <v>9372</v>
      </c>
      <c r="M1755" t="s">
        <v>12738</v>
      </c>
      <c r="N1755" t="s">
        <v>11087</v>
      </c>
      <c r="O1755" t="s">
        <v>7460</v>
      </c>
      <c r="P1755" s="614">
        <f>COUNTIF(EducPlans_кодНАЦИД_Спец[аФакСец],EducPlans_кодНАЦИД_Спец[[#This Row],[аФакСец]])</f>
        <v>1</v>
      </c>
    </row>
    <row r="1756" spans="3:16" x14ac:dyDescent="0.25">
      <c r="C1756" s="614">
        <v>1750</v>
      </c>
      <c r="D1756" s="614">
        <v>11876</v>
      </c>
      <c r="E1756" s="64" t="s">
        <v>1345</v>
      </c>
      <c r="F1756" s="64" t="s">
        <v>7463</v>
      </c>
      <c r="G1756" s="614" t="s">
        <v>628</v>
      </c>
      <c r="H1756" s="614" t="s">
        <v>681</v>
      </c>
      <c r="I1756" s="614" t="s">
        <v>1153</v>
      </c>
      <c r="J1756" s="64" t="s">
        <v>4260</v>
      </c>
      <c r="K1756" s="1940" t="s">
        <v>7464</v>
      </c>
      <c r="L1756" s="1940" t="s">
        <v>9373</v>
      </c>
      <c r="M1756" t="s">
        <v>12739</v>
      </c>
      <c r="N1756" t="s">
        <v>11088</v>
      </c>
      <c r="O1756" t="s">
        <v>7463</v>
      </c>
      <c r="P1756" s="614">
        <f>COUNTIF(EducPlans_кодНАЦИД_Спец[аФакСец],EducPlans_кодНАЦИД_Спец[[#This Row],[аФакСец]])</f>
        <v>1</v>
      </c>
    </row>
    <row r="1757" spans="3:16" x14ac:dyDescent="0.25">
      <c r="C1757" s="614">
        <v>1751</v>
      </c>
      <c r="D1757" s="614">
        <v>12094</v>
      </c>
      <c r="E1757" s="64" t="s">
        <v>1346</v>
      </c>
      <c r="F1757" s="64" t="s">
        <v>7465</v>
      </c>
      <c r="G1757" s="614" t="s">
        <v>29</v>
      </c>
      <c r="H1757" s="614" t="s">
        <v>682</v>
      </c>
      <c r="I1757" s="614" t="s">
        <v>1153</v>
      </c>
      <c r="J1757" s="64" t="s">
        <v>4177</v>
      </c>
      <c r="K1757" s="1940" t="s">
        <v>7466</v>
      </c>
      <c r="L1757" s="1940" t="s">
        <v>9374</v>
      </c>
      <c r="M1757" t="s">
        <v>12740</v>
      </c>
      <c r="N1757" t="s">
        <v>11089</v>
      </c>
      <c r="O1757" t="s">
        <v>7465</v>
      </c>
      <c r="P1757" s="614">
        <f>COUNTIF(EducPlans_кодНАЦИД_Спец[аФакСец],EducPlans_кодНАЦИД_Спец[[#This Row],[аФакСец]])</f>
        <v>1</v>
      </c>
    </row>
    <row r="1758" spans="3:16" x14ac:dyDescent="0.25">
      <c r="C1758" s="614">
        <v>1752</v>
      </c>
      <c r="D1758" s="614">
        <v>12113</v>
      </c>
      <c r="E1758" s="64" t="s">
        <v>1346</v>
      </c>
      <c r="F1758" s="64" t="s">
        <v>7467</v>
      </c>
      <c r="G1758" s="614" t="s">
        <v>29</v>
      </c>
      <c r="H1758" s="614" t="s">
        <v>682</v>
      </c>
      <c r="I1758" s="614" t="s">
        <v>1153</v>
      </c>
      <c r="J1758" s="64" t="s">
        <v>7468</v>
      </c>
      <c r="K1758" s="1940" t="s">
        <v>7469</v>
      </c>
      <c r="L1758" s="1940" t="s">
        <v>9375</v>
      </c>
      <c r="M1758" t="s">
        <v>12741</v>
      </c>
      <c r="N1758" t="s">
        <v>11090</v>
      </c>
      <c r="O1758" t="s">
        <v>7467</v>
      </c>
      <c r="P1758" s="614">
        <f>COUNTIF(EducPlans_кодНАЦИД_Спец[аФакСец],EducPlans_кодНАЦИД_Спец[[#This Row],[аФакСец]])</f>
        <v>1</v>
      </c>
    </row>
    <row r="1759" spans="3:16" x14ac:dyDescent="0.25">
      <c r="C1759" s="614">
        <v>1753</v>
      </c>
      <c r="D1759" s="614">
        <v>12095</v>
      </c>
      <c r="E1759" s="64" t="s">
        <v>1346</v>
      </c>
      <c r="F1759" s="64" t="s">
        <v>7470</v>
      </c>
      <c r="G1759" s="614" t="s">
        <v>29</v>
      </c>
      <c r="H1759" s="614" t="s">
        <v>682</v>
      </c>
      <c r="I1759" s="614" t="s">
        <v>1149</v>
      </c>
      <c r="J1759" s="64" t="s">
        <v>4176</v>
      </c>
      <c r="K1759" s="1940" t="s">
        <v>7471</v>
      </c>
      <c r="L1759" s="1940" t="s">
        <v>9376</v>
      </c>
      <c r="M1759" t="s">
        <v>12742</v>
      </c>
      <c r="N1759" t="s">
        <v>11091</v>
      </c>
      <c r="O1759" t="s">
        <v>7470</v>
      </c>
      <c r="P1759" s="614">
        <f>COUNTIF(EducPlans_кодНАЦИД_Спец[аФакСец],EducPlans_кодНАЦИД_Спец[[#This Row],[аФакСец]])</f>
        <v>1</v>
      </c>
    </row>
    <row r="1760" spans="3:16" x14ac:dyDescent="0.25">
      <c r="C1760" s="614">
        <v>1754</v>
      </c>
      <c r="D1760" s="614">
        <v>12114</v>
      </c>
      <c r="E1760" s="64" t="s">
        <v>1346</v>
      </c>
      <c r="F1760" s="64" t="s">
        <v>7472</v>
      </c>
      <c r="G1760" s="614" t="s">
        <v>29</v>
      </c>
      <c r="H1760" s="614" t="s">
        <v>682</v>
      </c>
      <c r="I1760" s="614" t="s">
        <v>1149</v>
      </c>
      <c r="J1760" s="64" t="s">
        <v>7473</v>
      </c>
      <c r="K1760" s="1940" t="s">
        <v>7474</v>
      </c>
      <c r="L1760" s="1940" t="s">
        <v>9377</v>
      </c>
      <c r="M1760" t="s">
        <v>12743</v>
      </c>
      <c r="N1760" t="s">
        <v>11092</v>
      </c>
      <c r="O1760" t="s">
        <v>7472</v>
      </c>
      <c r="P1760" s="614">
        <f>COUNTIF(EducPlans_кодНАЦИД_Спец[аФакСец],EducPlans_кодНАЦИД_Спец[[#This Row],[аФакСец]])</f>
        <v>1</v>
      </c>
    </row>
    <row r="1761" spans="3:16" x14ac:dyDescent="0.25">
      <c r="C1761" s="614">
        <v>1755</v>
      </c>
      <c r="D1761" s="614">
        <v>12090</v>
      </c>
      <c r="E1761" s="64" t="s">
        <v>276</v>
      </c>
      <c r="F1761" s="64" t="s">
        <v>7475</v>
      </c>
      <c r="G1761" s="614" t="s">
        <v>29</v>
      </c>
      <c r="H1761" s="614" t="s">
        <v>682</v>
      </c>
      <c r="I1761" s="614" t="s">
        <v>1153</v>
      </c>
      <c r="J1761" s="64" t="s">
        <v>4178</v>
      </c>
      <c r="K1761" s="1940" t="s">
        <v>7476</v>
      </c>
      <c r="L1761" s="1940" t="s">
        <v>9378</v>
      </c>
      <c r="M1761" t="s">
        <v>12744</v>
      </c>
      <c r="N1761" t="s">
        <v>11093</v>
      </c>
      <c r="O1761" t="s">
        <v>7475</v>
      </c>
      <c r="P1761" s="614">
        <f>COUNTIF(EducPlans_кодНАЦИД_Спец[аФакСец],EducPlans_кодНАЦИД_Спец[[#This Row],[аФакСец]])</f>
        <v>1</v>
      </c>
    </row>
    <row r="1762" spans="3:16" x14ac:dyDescent="0.25">
      <c r="C1762" s="614">
        <v>1756</v>
      </c>
      <c r="D1762" s="614">
        <v>12092</v>
      </c>
      <c r="E1762" s="64" t="s">
        <v>2573</v>
      </c>
      <c r="F1762" s="64" t="s">
        <v>7477</v>
      </c>
      <c r="G1762" s="614" t="s">
        <v>29</v>
      </c>
      <c r="H1762" s="614" t="s">
        <v>682</v>
      </c>
      <c r="I1762" s="614" t="s">
        <v>1153</v>
      </c>
      <c r="J1762" s="64" t="s">
        <v>4179</v>
      </c>
      <c r="K1762" s="1940" t="s">
        <v>7478</v>
      </c>
      <c r="L1762" s="1940" t="s">
        <v>9379</v>
      </c>
      <c r="M1762" t="s">
        <v>12745</v>
      </c>
      <c r="N1762" t="s">
        <v>11094</v>
      </c>
      <c r="O1762" t="s">
        <v>7477</v>
      </c>
      <c r="P1762" s="614">
        <f>COUNTIF(EducPlans_кодНАЦИД_Спец[аФакСец],EducPlans_кодНАЦИД_Спец[[#This Row],[аФакСец]])</f>
        <v>1</v>
      </c>
    </row>
    <row r="1763" spans="3:16" x14ac:dyDescent="0.25">
      <c r="C1763" s="614">
        <v>1757</v>
      </c>
      <c r="D1763" s="614">
        <v>142245</v>
      </c>
      <c r="E1763" s="64" t="s">
        <v>2073</v>
      </c>
      <c r="F1763" s="64" t="s">
        <v>7479</v>
      </c>
      <c r="G1763" s="614" t="s">
        <v>626</v>
      </c>
      <c r="H1763" s="614" t="s">
        <v>682</v>
      </c>
      <c r="I1763" s="614" t="s">
        <v>1149</v>
      </c>
      <c r="J1763" s="64" t="s">
        <v>3435</v>
      </c>
      <c r="K1763" s="1940" t="s">
        <v>7480</v>
      </c>
      <c r="L1763" s="1940" t="s">
        <v>9380</v>
      </c>
      <c r="M1763" t="s">
        <v>12746</v>
      </c>
      <c r="N1763" t="s">
        <v>11095</v>
      </c>
      <c r="O1763" t="s">
        <v>7479</v>
      </c>
      <c r="P1763" s="614">
        <f>COUNTIF(EducPlans_кодНАЦИД_Спец[аФакСец],EducPlans_кодНАЦИД_Спец[[#This Row],[аФакСец]])</f>
        <v>1</v>
      </c>
    </row>
    <row r="1764" spans="3:16" x14ac:dyDescent="0.25">
      <c r="C1764" s="614">
        <v>1758</v>
      </c>
      <c r="D1764" s="614">
        <v>142245</v>
      </c>
      <c r="E1764" s="64" t="s">
        <v>2073</v>
      </c>
      <c r="F1764" s="64" t="s">
        <v>7481</v>
      </c>
      <c r="G1764" s="614" t="s">
        <v>626</v>
      </c>
      <c r="H1764" s="614" t="s">
        <v>682</v>
      </c>
      <c r="I1764" s="614" t="s">
        <v>1149</v>
      </c>
      <c r="J1764" s="64" t="s">
        <v>3434</v>
      </c>
      <c r="K1764" s="1940" t="s">
        <v>7480</v>
      </c>
      <c r="L1764" s="1940" t="s">
        <v>9381</v>
      </c>
      <c r="M1764" t="s">
        <v>12747</v>
      </c>
      <c r="N1764" t="s">
        <v>11096</v>
      </c>
      <c r="O1764" t="s">
        <v>7481</v>
      </c>
      <c r="P1764" s="614">
        <f>COUNTIF(EducPlans_кодНАЦИД_Спец[аФакСец],EducPlans_кодНАЦИД_Спец[[#This Row],[аФакСец]])</f>
        <v>1</v>
      </c>
    </row>
    <row r="1765" spans="3:16" x14ac:dyDescent="0.25">
      <c r="C1765" s="614">
        <v>1759</v>
      </c>
      <c r="D1765" s="614">
        <v>11883</v>
      </c>
      <c r="E1765" s="64" t="s">
        <v>2146</v>
      </c>
      <c r="F1765" s="64" t="s">
        <v>7482</v>
      </c>
      <c r="G1765" s="614" t="s">
        <v>628</v>
      </c>
      <c r="H1765" s="614" t="s">
        <v>681</v>
      </c>
      <c r="I1765" s="614" t="s">
        <v>1153</v>
      </c>
      <c r="J1765" s="64" t="s">
        <v>4263</v>
      </c>
      <c r="K1765" s="1940" t="s">
        <v>7483</v>
      </c>
      <c r="L1765" s="1940" t="s">
        <v>9382</v>
      </c>
      <c r="M1765" t="s">
        <v>12748</v>
      </c>
      <c r="N1765" t="s">
        <v>11097</v>
      </c>
      <c r="O1765" t="s">
        <v>7482</v>
      </c>
      <c r="P1765" s="614">
        <f>COUNTIF(EducPlans_кодНАЦИД_Спец[аФакСец],EducPlans_кодНАЦИД_Спец[[#This Row],[аФакСец]])</f>
        <v>1</v>
      </c>
    </row>
    <row r="1766" spans="3:16" x14ac:dyDescent="0.25">
      <c r="C1766" s="614">
        <v>1760</v>
      </c>
      <c r="D1766" s="614">
        <v>11885</v>
      </c>
      <c r="E1766" s="64" t="s">
        <v>2146</v>
      </c>
      <c r="F1766" s="64" t="s">
        <v>7484</v>
      </c>
      <c r="G1766" s="614" t="s">
        <v>628</v>
      </c>
      <c r="H1766" s="614" t="s">
        <v>681</v>
      </c>
      <c r="I1766" s="614" t="s">
        <v>1149</v>
      </c>
      <c r="J1766" s="64" t="s">
        <v>4261</v>
      </c>
      <c r="K1766" s="1940" t="s">
        <v>7485</v>
      </c>
      <c r="L1766" s="1940" t="s">
        <v>9383</v>
      </c>
      <c r="M1766" t="s">
        <v>12749</v>
      </c>
      <c r="N1766" t="s">
        <v>11098</v>
      </c>
      <c r="O1766" t="s">
        <v>7484</v>
      </c>
      <c r="P1766" s="614">
        <f>COUNTIF(EducPlans_кодНАЦИД_Спец[аФакСец],EducPlans_кодНАЦИД_Спец[[#This Row],[аФакСец]])</f>
        <v>2</v>
      </c>
    </row>
    <row r="1767" spans="3:16" x14ac:dyDescent="0.25">
      <c r="C1767" s="614">
        <v>1761</v>
      </c>
      <c r="D1767" s="614">
        <v>11885</v>
      </c>
      <c r="E1767" s="64" t="s">
        <v>2146</v>
      </c>
      <c r="F1767" s="64" t="s">
        <v>7486</v>
      </c>
      <c r="G1767" s="614" t="s">
        <v>628</v>
      </c>
      <c r="H1767" s="614" t="s">
        <v>681</v>
      </c>
      <c r="I1767" s="614" t="s">
        <v>1149</v>
      </c>
      <c r="J1767" s="64" t="s">
        <v>4262</v>
      </c>
      <c r="K1767" s="1940" t="s">
        <v>7485</v>
      </c>
      <c r="L1767" s="1940" t="s">
        <v>9384</v>
      </c>
      <c r="M1767" t="s">
        <v>12750</v>
      </c>
      <c r="N1767" t="s">
        <v>11099</v>
      </c>
      <c r="O1767" t="s">
        <v>7486</v>
      </c>
      <c r="P1767" s="614">
        <f>COUNTIF(EducPlans_кодНАЦИД_Спец[аФакСец],EducPlans_кодНАЦИД_Спец[[#This Row],[аФакСец]])</f>
        <v>2</v>
      </c>
    </row>
    <row r="1768" spans="3:16" x14ac:dyDescent="0.25">
      <c r="C1768" s="614">
        <v>1762</v>
      </c>
      <c r="D1768" s="614">
        <v>11973</v>
      </c>
      <c r="E1768" s="64" t="s">
        <v>2146</v>
      </c>
      <c r="F1768" s="64" t="s">
        <v>7487</v>
      </c>
      <c r="G1768" s="614" t="s">
        <v>628</v>
      </c>
      <c r="H1768" s="614" t="s">
        <v>682</v>
      </c>
      <c r="I1768" s="614" t="s">
        <v>1153</v>
      </c>
      <c r="J1768" s="64" t="s">
        <v>7488</v>
      </c>
      <c r="K1768" s="1940" t="s">
        <v>7489</v>
      </c>
      <c r="L1768" s="1940" t="s">
        <v>9385</v>
      </c>
      <c r="M1768" t="s">
        <v>12751</v>
      </c>
      <c r="N1768" t="s">
        <v>11100</v>
      </c>
      <c r="O1768" t="s">
        <v>7487</v>
      </c>
      <c r="P1768" s="614">
        <f>COUNTIF(EducPlans_кодНАЦИД_Спец[аФакСец],EducPlans_кодНАЦИД_Спец[[#This Row],[аФакСец]])</f>
        <v>1</v>
      </c>
    </row>
    <row r="1769" spans="3:16" x14ac:dyDescent="0.25">
      <c r="C1769" s="614">
        <v>1763</v>
      </c>
      <c r="D1769" s="614">
        <v>11973</v>
      </c>
      <c r="E1769" s="64" t="s">
        <v>2146</v>
      </c>
      <c r="F1769" s="64" t="s">
        <v>7490</v>
      </c>
      <c r="G1769" s="614" t="s">
        <v>628</v>
      </c>
      <c r="H1769" s="614" t="s">
        <v>682</v>
      </c>
      <c r="I1769" s="614" t="s">
        <v>1153</v>
      </c>
      <c r="J1769" s="64" t="s">
        <v>7491</v>
      </c>
      <c r="K1769" s="1940" t="s">
        <v>7489</v>
      </c>
      <c r="L1769" s="1940" t="s">
        <v>9386</v>
      </c>
      <c r="M1769" t="s">
        <v>12752</v>
      </c>
      <c r="N1769" t="s">
        <v>11101</v>
      </c>
      <c r="O1769" t="s">
        <v>7490</v>
      </c>
      <c r="P1769" s="614">
        <f>COUNTIF(EducPlans_кодНАЦИД_Спец[аФакСец],EducPlans_кодНАЦИД_Спец[[#This Row],[аФакСец]])</f>
        <v>1</v>
      </c>
    </row>
    <row r="1770" spans="3:16" x14ac:dyDescent="0.25">
      <c r="C1770" s="614">
        <v>1764</v>
      </c>
      <c r="D1770" s="614">
        <v>11886</v>
      </c>
      <c r="E1770" s="64" t="s">
        <v>2146</v>
      </c>
      <c r="F1770" s="64" t="s">
        <v>7492</v>
      </c>
      <c r="G1770" s="614" t="s">
        <v>628</v>
      </c>
      <c r="H1770" s="614" t="s">
        <v>682</v>
      </c>
      <c r="I1770" s="614" t="s">
        <v>1149</v>
      </c>
      <c r="J1770" s="64" t="s">
        <v>7493</v>
      </c>
      <c r="K1770" s="1940" t="s">
        <v>7494</v>
      </c>
      <c r="L1770" s="1940" t="s">
        <v>9387</v>
      </c>
      <c r="M1770" t="s">
        <v>12753</v>
      </c>
      <c r="N1770" t="s">
        <v>11102</v>
      </c>
      <c r="O1770" t="s">
        <v>7492</v>
      </c>
      <c r="P1770" s="614">
        <f>COUNTIF(EducPlans_кодНАЦИД_Спец[аФакСец],EducPlans_кодНАЦИД_Спец[[#This Row],[аФакСец]])</f>
        <v>1</v>
      </c>
    </row>
    <row r="1771" spans="3:16" x14ac:dyDescent="0.25">
      <c r="C1771" s="614">
        <v>1765</v>
      </c>
      <c r="D1771" s="614">
        <v>11871</v>
      </c>
      <c r="E1771" s="64" t="s">
        <v>1347</v>
      </c>
      <c r="F1771" s="64" t="s">
        <v>7495</v>
      </c>
      <c r="G1771" s="614" t="s">
        <v>628</v>
      </c>
      <c r="H1771" s="614" t="s">
        <v>681</v>
      </c>
      <c r="I1771" s="614" t="s">
        <v>1153</v>
      </c>
      <c r="J1771" s="64" t="s">
        <v>4264</v>
      </c>
      <c r="K1771" s="1940" t="s">
        <v>7496</v>
      </c>
      <c r="L1771" s="1940" t="s">
        <v>9388</v>
      </c>
      <c r="M1771" t="s">
        <v>12754</v>
      </c>
      <c r="N1771" t="s">
        <v>11103</v>
      </c>
      <c r="O1771" t="s">
        <v>7495</v>
      </c>
      <c r="P1771" s="614">
        <f>COUNTIF(EducPlans_кодНАЦИД_Спец[аФакСец],EducPlans_кодНАЦИД_Спец[[#This Row],[аФакСец]])</f>
        <v>1</v>
      </c>
    </row>
    <row r="1772" spans="3:16" x14ac:dyDescent="0.25">
      <c r="C1772" s="614">
        <v>1766</v>
      </c>
      <c r="D1772" s="614">
        <v>11867</v>
      </c>
      <c r="E1772" s="64" t="s">
        <v>1348</v>
      </c>
      <c r="F1772" s="64" t="s">
        <v>7497</v>
      </c>
      <c r="G1772" s="614" t="s">
        <v>628</v>
      </c>
      <c r="H1772" s="614" t="s">
        <v>681</v>
      </c>
      <c r="I1772" s="614" t="s">
        <v>1153</v>
      </c>
      <c r="J1772" s="64" t="s">
        <v>4268</v>
      </c>
      <c r="K1772" s="1940" t="s">
        <v>7498</v>
      </c>
      <c r="L1772" s="1940" t="s">
        <v>9389</v>
      </c>
      <c r="M1772" t="s">
        <v>12755</v>
      </c>
      <c r="N1772" t="s">
        <v>11104</v>
      </c>
      <c r="O1772" t="s">
        <v>7497</v>
      </c>
      <c r="P1772" s="614">
        <f>COUNTIF(EducPlans_кодНАЦИД_Спец[аФакСец],EducPlans_кодНАЦИД_Спец[[#This Row],[аФакСец]])</f>
        <v>1</v>
      </c>
    </row>
    <row r="1773" spans="3:16" x14ac:dyDescent="0.25">
      <c r="C1773" s="614">
        <v>1767</v>
      </c>
      <c r="D1773" s="614">
        <v>11867</v>
      </c>
      <c r="E1773" s="64" t="s">
        <v>1348</v>
      </c>
      <c r="F1773" s="64" t="s">
        <v>7499</v>
      </c>
      <c r="G1773" s="614" t="s">
        <v>628</v>
      </c>
      <c r="H1773" s="614" t="s">
        <v>681</v>
      </c>
      <c r="I1773" s="614" t="s">
        <v>1153</v>
      </c>
      <c r="J1773" s="64" t="s">
        <v>4267</v>
      </c>
      <c r="K1773" s="1940" t="s">
        <v>7498</v>
      </c>
      <c r="L1773" s="1940" t="s">
        <v>9390</v>
      </c>
      <c r="M1773" t="s">
        <v>12756</v>
      </c>
      <c r="N1773" t="s">
        <v>11105</v>
      </c>
      <c r="O1773" t="s">
        <v>7499</v>
      </c>
      <c r="P1773" s="614">
        <f>COUNTIF(EducPlans_кодНАЦИД_Спец[аФакСец],EducPlans_кодНАЦИД_Спец[[#This Row],[аФакСец]])</f>
        <v>1</v>
      </c>
    </row>
    <row r="1774" spans="3:16" x14ac:dyDescent="0.25">
      <c r="C1774" s="614">
        <v>1768</v>
      </c>
      <c r="D1774" s="614">
        <v>11869</v>
      </c>
      <c r="E1774" s="64" t="s">
        <v>1348</v>
      </c>
      <c r="F1774" s="64" t="s">
        <v>7500</v>
      </c>
      <c r="G1774" s="614" t="s">
        <v>628</v>
      </c>
      <c r="H1774" s="614" t="s">
        <v>681</v>
      </c>
      <c r="I1774" s="614" t="s">
        <v>1149</v>
      </c>
      <c r="J1774" s="64" t="s">
        <v>4265</v>
      </c>
      <c r="K1774" s="1940" t="s">
        <v>7501</v>
      </c>
      <c r="L1774" s="1940" t="s">
        <v>9391</v>
      </c>
      <c r="M1774" t="s">
        <v>12757</v>
      </c>
      <c r="N1774" t="s">
        <v>11106</v>
      </c>
      <c r="O1774" t="s">
        <v>7500</v>
      </c>
      <c r="P1774" s="614">
        <f>COUNTIF(EducPlans_кодНАЦИД_Спец[аФакСец],EducPlans_кодНАЦИД_Спец[[#This Row],[аФакСец]])</f>
        <v>1</v>
      </c>
    </row>
    <row r="1775" spans="3:16" x14ac:dyDescent="0.25">
      <c r="C1775" s="614">
        <v>1769</v>
      </c>
      <c r="D1775" s="614">
        <v>11869</v>
      </c>
      <c r="E1775" s="64" t="s">
        <v>1348</v>
      </c>
      <c r="F1775" s="64" t="s">
        <v>7502</v>
      </c>
      <c r="G1775" s="614" t="s">
        <v>628</v>
      </c>
      <c r="H1775" s="614" t="s">
        <v>681</v>
      </c>
      <c r="I1775" s="614" t="s">
        <v>1149</v>
      </c>
      <c r="J1775" s="64" t="s">
        <v>4266</v>
      </c>
      <c r="K1775" s="1940" t="s">
        <v>7501</v>
      </c>
      <c r="L1775" s="1940" t="s">
        <v>9392</v>
      </c>
      <c r="M1775" t="s">
        <v>12758</v>
      </c>
      <c r="N1775" t="s">
        <v>11107</v>
      </c>
      <c r="O1775" t="s">
        <v>7502</v>
      </c>
      <c r="P1775" s="614">
        <f>COUNTIF(EducPlans_кодНАЦИД_Спец[аФакСец],EducPlans_кодНАЦИД_Спец[[#This Row],[аФакСец]])</f>
        <v>1</v>
      </c>
    </row>
    <row r="1776" spans="3:16" x14ac:dyDescent="0.25">
      <c r="C1776" s="614">
        <v>1770</v>
      </c>
      <c r="D1776" s="614">
        <v>12019</v>
      </c>
      <c r="E1776" s="64" t="s">
        <v>2148</v>
      </c>
      <c r="F1776" s="64" t="s">
        <v>14033</v>
      </c>
      <c r="G1776" s="614" t="s">
        <v>628</v>
      </c>
      <c r="H1776" s="614" t="s">
        <v>682</v>
      </c>
      <c r="I1776" s="614" t="s">
        <v>1153</v>
      </c>
      <c r="J1776" s="64" t="s">
        <v>14034</v>
      </c>
      <c r="K1776" s="1940" t="s">
        <v>14035</v>
      </c>
      <c r="L1776" s="1940" t="s">
        <v>14036</v>
      </c>
      <c r="M1776" t="s">
        <v>14037</v>
      </c>
      <c r="N1776" t="s">
        <v>14038</v>
      </c>
      <c r="O1776" t="s">
        <v>14033</v>
      </c>
      <c r="P1776" s="614">
        <f>COUNTIF(EducPlans_кодНАЦИД_Спец[аФакСец],EducPlans_кодНАЦИД_Спец[[#This Row],[аФакСец]])</f>
        <v>1</v>
      </c>
    </row>
    <row r="1777" spans="3:16" x14ac:dyDescent="0.25">
      <c r="C1777" s="614">
        <v>1771</v>
      </c>
      <c r="D1777" s="614">
        <v>12020</v>
      </c>
      <c r="E1777" s="64" t="s">
        <v>2148</v>
      </c>
      <c r="F1777" s="64" t="s">
        <v>7503</v>
      </c>
      <c r="G1777" s="614" t="s">
        <v>628</v>
      </c>
      <c r="H1777" s="614" t="s">
        <v>682</v>
      </c>
      <c r="I1777" s="614" t="s">
        <v>1149</v>
      </c>
      <c r="J1777" s="64" t="s">
        <v>4269</v>
      </c>
      <c r="K1777" s="1940" t="s">
        <v>7504</v>
      </c>
      <c r="L1777" s="1940" t="s">
        <v>9393</v>
      </c>
      <c r="M1777" t="s">
        <v>12759</v>
      </c>
      <c r="N1777" t="s">
        <v>11108</v>
      </c>
      <c r="O1777" t="s">
        <v>7503</v>
      </c>
      <c r="P1777" s="614">
        <f>COUNTIF(EducPlans_кодНАЦИД_Спец[аФакСец],EducPlans_кодНАЦИД_Спец[[#This Row],[аФакСец]])</f>
        <v>1</v>
      </c>
    </row>
    <row r="1778" spans="3:16" x14ac:dyDescent="0.25">
      <c r="C1778" s="614">
        <v>1772</v>
      </c>
      <c r="D1778" s="614">
        <v>11979</v>
      </c>
      <c r="E1778" s="64" t="s">
        <v>2149</v>
      </c>
      <c r="F1778" s="64" t="s">
        <v>7505</v>
      </c>
      <c r="G1778" s="614" t="s">
        <v>628</v>
      </c>
      <c r="H1778" s="614" t="s">
        <v>682</v>
      </c>
      <c r="I1778" s="614" t="s">
        <v>1153</v>
      </c>
      <c r="J1778" s="64" t="s">
        <v>7506</v>
      </c>
      <c r="K1778" s="1940" t="s">
        <v>7507</v>
      </c>
      <c r="L1778" s="1940" t="s">
        <v>9394</v>
      </c>
      <c r="M1778" t="s">
        <v>12760</v>
      </c>
      <c r="N1778" t="s">
        <v>11109</v>
      </c>
      <c r="O1778" t="s">
        <v>7505</v>
      </c>
      <c r="P1778" s="614">
        <f>COUNTIF(EducPlans_кодНАЦИД_Спец[аФакСец],EducPlans_кодНАЦИД_Спец[[#This Row],[аФакСец]])</f>
        <v>1</v>
      </c>
    </row>
    <row r="1779" spans="3:16" x14ac:dyDescent="0.25">
      <c r="C1779" s="614">
        <v>1773</v>
      </c>
      <c r="D1779" s="614">
        <v>11980</v>
      </c>
      <c r="E1779" s="64" t="s">
        <v>2149</v>
      </c>
      <c r="F1779" s="64" t="s">
        <v>7508</v>
      </c>
      <c r="G1779" s="614" t="s">
        <v>628</v>
      </c>
      <c r="H1779" s="614" t="s">
        <v>682</v>
      </c>
      <c r="I1779" s="614" t="s">
        <v>1149</v>
      </c>
      <c r="J1779" s="64" t="s">
        <v>7509</v>
      </c>
      <c r="K1779" s="1940" t="s">
        <v>7510</v>
      </c>
      <c r="L1779" s="1940" t="s">
        <v>9395</v>
      </c>
      <c r="M1779" t="s">
        <v>12761</v>
      </c>
      <c r="N1779" t="s">
        <v>11110</v>
      </c>
      <c r="O1779" t="s">
        <v>7508</v>
      </c>
      <c r="P1779" s="614">
        <f>COUNTIF(EducPlans_кодНАЦИД_Спец[аФакСец],EducPlans_кодНАЦИД_Спец[[#This Row],[аФакСец]])</f>
        <v>1</v>
      </c>
    </row>
    <row r="1780" spans="3:16" x14ac:dyDescent="0.25">
      <c r="C1780" s="614">
        <v>1774</v>
      </c>
      <c r="D1780" s="614">
        <v>11992</v>
      </c>
      <c r="E1780" s="64" t="s">
        <v>2150</v>
      </c>
      <c r="F1780" s="64" t="s">
        <v>7511</v>
      </c>
      <c r="G1780" s="614" t="s">
        <v>628</v>
      </c>
      <c r="H1780" s="614" t="s">
        <v>682</v>
      </c>
      <c r="I1780" s="614" t="s">
        <v>1153</v>
      </c>
      <c r="J1780" s="64" t="s">
        <v>7512</v>
      </c>
      <c r="K1780" s="1940" t="s">
        <v>7513</v>
      </c>
      <c r="L1780" s="1940" t="s">
        <v>9396</v>
      </c>
      <c r="M1780" t="s">
        <v>12762</v>
      </c>
      <c r="N1780" t="s">
        <v>11111</v>
      </c>
      <c r="O1780" t="s">
        <v>7511</v>
      </c>
      <c r="P1780" s="614">
        <f>COUNTIF(EducPlans_кодНАЦИД_Спец[аФакСец],EducPlans_кодНАЦИД_Спец[[#This Row],[аФакСец]])</f>
        <v>1</v>
      </c>
    </row>
    <row r="1781" spans="3:16" x14ac:dyDescent="0.25">
      <c r="C1781" s="614">
        <v>1775</v>
      </c>
      <c r="D1781" s="614">
        <v>584275</v>
      </c>
      <c r="E1781" s="64" t="s">
        <v>2152</v>
      </c>
      <c r="F1781" s="64" t="s">
        <v>7514</v>
      </c>
      <c r="G1781" s="614" t="s">
        <v>628</v>
      </c>
      <c r="H1781" s="614" t="s">
        <v>682</v>
      </c>
      <c r="I1781" s="614" t="s">
        <v>1153</v>
      </c>
      <c r="J1781" s="64" t="s">
        <v>7515</v>
      </c>
      <c r="K1781" s="1940" t="s">
        <v>7516</v>
      </c>
      <c r="L1781" s="1940" t="s">
        <v>9397</v>
      </c>
      <c r="M1781" t="s">
        <v>12763</v>
      </c>
      <c r="N1781" t="s">
        <v>11112</v>
      </c>
      <c r="O1781" t="s">
        <v>7514</v>
      </c>
      <c r="P1781" s="614">
        <f>COUNTIF(EducPlans_кодНАЦИД_Спец[аФакСец],EducPlans_кодНАЦИД_Спец[[#This Row],[аФакСец]])</f>
        <v>1</v>
      </c>
    </row>
    <row r="1782" spans="3:16" x14ac:dyDescent="0.25">
      <c r="C1782" s="614">
        <v>1776</v>
      </c>
      <c r="D1782" s="614">
        <v>11981</v>
      </c>
      <c r="E1782" s="64" t="s">
        <v>2153</v>
      </c>
      <c r="F1782" s="64" t="s">
        <v>7517</v>
      </c>
      <c r="G1782" s="614" t="s">
        <v>628</v>
      </c>
      <c r="H1782" s="614" t="s">
        <v>682</v>
      </c>
      <c r="I1782" s="614" t="s">
        <v>1153</v>
      </c>
      <c r="J1782" s="64" t="s">
        <v>7518</v>
      </c>
      <c r="K1782" s="1940" t="s">
        <v>7519</v>
      </c>
      <c r="L1782" s="1940" t="s">
        <v>9398</v>
      </c>
      <c r="M1782" t="s">
        <v>12764</v>
      </c>
      <c r="N1782" t="s">
        <v>11113</v>
      </c>
      <c r="O1782" t="s">
        <v>7517</v>
      </c>
      <c r="P1782" s="614">
        <f>COUNTIF(EducPlans_кодНАЦИД_Спец[аФакСец],EducPlans_кодНАЦИД_Спец[[#This Row],[аФакСец]])</f>
        <v>1</v>
      </c>
    </row>
    <row r="1783" spans="3:16" x14ac:dyDescent="0.25">
      <c r="C1783" s="614">
        <v>1777</v>
      </c>
      <c r="D1783" s="614">
        <v>11981</v>
      </c>
      <c r="E1783" s="64" t="s">
        <v>2153</v>
      </c>
      <c r="F1783" s="64" t="s">
        <v>7520</v>
      </c>
      <c r="G1783" s="614" t="s">
        <v>628</v>
      </c>
      <c r="H1783" s="614" t="s">
        <v>682</v>
      </c>
      <c r="I1783" s="614" t="s">
        <v>1153</v>
      </c>
      <c r="J1783" s="64" t="s">
        <v>7521</v>
      </c>
      <c r="K1783" s="1940" t="s">
        <v>7519</v>
      </c>
      <c r="L1783" s="1940" t="s">
        <v>9399</v>
      </c>
      <c r="M1783" t="s">
        <v>12765</v>
      </c>
      <c r="N1783" t="s">
        <v>11114</v>
      </c>
      <c r="O1783" t="s">
        <v>7520</v>
      </c>
      <c r="P1783" s="614">
        <f>COUNTIF(EducPlans_кодНАЦИД_Спец[аФакСец],EducPlans_кодНАЦИД_Спец[[#This Row],[аФакСец]])</f>
        <v>1</v>
      </c>
    </row>
    <row r="1784" spans="3:16" x14ac:dyDescent="0.25">
      <c r="C1784" s="614">
        <v>1778</v>
      </c>
      <c r="D1784" s="614">
        <v>11937</v>
      </c>
      <c r="E1784" s="64" t="s">
        <v>2154</v>
      </c>
      <c r="F1784" s="64" t="s">
        <v>7522</v>
      </c>
      <c r="G1784" s="614" t="s">
        <v>628</v>
      </c>
      <c r="H1784" s="614" t="s">
        <v>681</v>
      </c>
      <c r="I1784" s="614" t="s">
        <v>1153</v>
      </c>
      <c r="J1784" s="64" t="s">
        <v>4270</v>
      </c>
      <c r="K1784" s="1940" t="s">
        <v>7523</v>
      </c>
      <c r="L1784" s="1940" t="s">
        <v>9400</v>
      </c>
      <c r="M1784" t="s">
        <v>12766</v>
      </c>
      <c r="N1784" t="s">
        <v>11115</v>
      </c>
      <c r="O1784" t="s">
        <v>7522</v>
      </c>
      <c r="P1784" s="614">
        <f>COUNTIF(EducPlans_кодНАЦИД_Спец[аФакСец],EducPlans_кодНАЦИД_Спец[[#This Row],[аФакСец]])</f>
        <v>1</v>
      </c>
    </row>
    <row r="1785" spans="3:16" x14ac:dyDescent="0.25">
      <c r="C1785" s="614">
        <v>1779</v>
      </c>
      <c r="D1785" s="614">
        <v>11983</v>
      </c>
      <c r="E1785" s="64" t="s">
        <v>2154</v>
      </c>
      <c r="F1785" s="64" t="s">
        <v>7524</v>
      </c>
      <c r="G1785" s="614" t="s">
        <v>628</v>
      </c>
      <c r="H1785" s="614" t="s">
        <v>682</v>
      </c>
      <c r="I1785" s="614" t="s">
        <v>1153</v>
      </c>
      <c r="J1785" s="64" t="s">
        <v>4273</v>
      </c>
      <c r="K1785" s="1940" t="s">
        <v>7525</v>
      </c>
      <c r="L1785" s="1940" t="s">
        <v>9401</v>
      </c>
      <c r="M1785" t="s">
        <v>12767</v>
      </c>
      <c r="N1785" t="s">
        <v>11116</v>
      </c>
      <c r="O1785" t="s">
        <v>7524</v>
      </c>
      <c r="P1785" s="614">
        <f>COUNTIF(EducPlans_кодНАЦИД_Спец[аФакСец],EducPlans_кодНАЦИД_Спец[[#This Row],[аФакСец]])</f>
        <v>1</v>
      </c>
    </row>
    <row r="1786" spans="3:16" x14ac:dyDescent="0.25">
      <c r="C1786" s="614">
        <v>1780</v>
      </c>
      <c r="D1786" s="614">
        <v>11985</v>
      </c>
      <c r="E1786" s="64" t="s">
        <v>2154</v>
      </c>
      <c r="F1786" s="64" t="s">
        <v>7526</v>
      </c>
      <c r="G1786" s="614" t="s">
        <v>628</v>
      </c>
      <c r="H1786" s="614" t="s">
        <v>682</v>
      </c>
      <c r="I1786" s="614" t="s">
        <v>1153</v>
      </c>
      <c r="J1786" s="64" t="s">
        <v>4272</v>
      </c>
      <c r="K1786" s="1940" t="s">
        <v>7527</v>
      </c>
      <c r="L1786" s="1940" t="s">
        <v>9402</v>
      </c>
      <c r="M1786" t="s">
        <v>12768</v>
      </c>
      <c r="N1786" t="s">
        <v>11117</v>
      </c>
      <c r="O1786" t="s">
        <v>7526</v>
      </c>
      <c r="P1786" s="614">
        <f>COUNTIF(EducPlans_кодНАЦИД_Спец[аФакСец],EducPlans_кодНАЦИД_Спец[[#This Row],[аФакСец]])</f>
        <v>1</v>
      </c>
    </row>
    <row r="1787" spans="3:16" x14ac:dyDescent="0.25">
      <c r="C1787" s="614">
        <v>1781</v>
      </c>
      <c r="D1787" s="614">
        <v>11985</v>
      </c>
      <c r="E1787" s="64" t="s">
        <v>2154</v>
      </c>
      <c r="F1787" s="64" t="s">
        <v>7528</v>
      </c>
      <c r="G1787" s="614" t="s">
        <v>628</v>
      </c>
      <c r="H1787" s="614" t="s">
        <v>682</v>
      </c>
      <c r="I1787" s="614" t="s">
        <v>1153</v>
      </c>
      <c r="J1787" s="64" t="s">
        <v>4271</v>
      </c>
      <c r="K1787" s="1940" t="s">
        <v>7527</v>
      </c>
      <c r="L1787" s="1940" t="s">
        <v>9403</v>
      </c>
      <c r="M1787" t="s">
        <v>12769</v>
      </c>
      <c r="N1787" t="s">
        <v>11118</v>
      </c>
      <c r="O1787" t="s">
        <v>7528</v>
      </c>
      <c r="P1787" s="614">
        <f>COUNTIF(EducPlans_кодНАЦИД_Спец[аФакСец],EducPlans_кодНАЦИД_Спец[[#This Row],[аФакСец]])</f>
        <v>1</v>
      </c>
    </row>
    <row r="1788" spans="3:16" x14ac:dyDescent="0.25">
      <c r="C1788" s="614">
        <v>1782</v>
      </c>
      <c r="D1788" s="614">
        <v>842521</v>
      </c>
      <c r="E1788" s="64" t="s">
        <v>2154</v>
      </c>
      <c r="F1788" s="64" t="s">
        <v>14039</v>
      </c>
      <c r="G1788" s="614" t="s">
        <v>628</v>
      </c>
      <c r="H1788" s="614" t="s">
        <v>682</v>
      </c>
      <c r="I1788" s="614" t="s">
        <v>1153</v>
      </c>
      <c r="J1788" s="64" t="s">
        <v>14040</v>
      </c>
      <c r="K1788" s="1940" t="s">
        <v>7525</v>
      </c>
      <c r="L1788" s="1940" t="s">
        <v>14041</v>
      </c>
      <c r="M1788" t="s">
        <v>14042</v>
      </c>
      <c r="N1788" t="s">
        <v>14043</v>
      </c>
      <c r="O1788" t="s">
        <v>14039</v>
      </c>
      <c r="P1788" s="614">
        <f>COUNTIF(EducPlans_кодНАЦИД_Спец[аФакСец],EducPlans_кодНАЦИД_Спец[[#This Row],[аФакСец]])</f>
        <v>1</v>
      </c>
    </row>
    <row r="1789" spans="3:16" x14ac:dyDescent="0.25">
      <c r="C1789" s="614">
        <v>1783</v>
      </c>
      <c r="D1789" s="614">
        <v>842521</v>
      </c>
      <c r="E1789" s="64" t="s">
        <v>2154</v>
      </c>
      <c r="F1789" s="64" t="s">
        <v>14044</v>
      </c>
      <c r="G1789" s="614" t="s">
        <v>628</v>
      </c>
      <c r="H1789" s="614" t="s">
        <v>682</v>
      </c>
      <c r="I1789" s="614" t="s">
        <v>1153</v>
      </c>
      <c r="J1789" s="64" t="s">
        <v>14045</v>
      </c>
      <c r="K1789" s="1940" t="s">
        <v>7525</v>
      </c>
      <c r="L1789" s="1940" t="s">
        <v>14046</v>
      </c>
      <c r="M1789" t="s">
        <v>14047</v>
      </c>
      <c r="N1789" t="s">
        <v>14048</v>
      </c>
      <c r="O1789" t="s">
        <v>14044</v>
      </c>
      <c r="P1789" s="614">
        <f>COUNTIF(EducPlans_кодНАЦИД_Спец[аФакСец],EducPlans_кодНАЦИД_Спец[[#This Row],[аФакСец]])</f>
        <v>1</v>
      </c>
    </row>
    <row r="1790" spans="3:16" x14ac:dyDescent="0.25">
      <c r="C1790" s="614">
        <v>1784</v>
      </c>
      <c r="D1790" s="614">
        <v>842522</v>
      </c>
      <c r="E1790" s="64" t="s">
        <v>2154</v>
      </c>
      <c r="F1790" s="64" t="s">
        <v>14049</v>
      </c>
      <c r="G1790" s="614" t="s">
        <v>628</v>
      </c>
      <c r="H1790" s="614" t="s">
        <v>682</v>
      </c>
      <c r="I1790" s="614" t="s">
        <v>1153</v>
      </c>
      <c r="J1790" s="64" t="s">
        <v>14050</v>
      </c>
      <c r="K1790" s="1940" t="s">
        <v>7527</v>
      </c>
      <c r="L1790" s="1940" t="s">
        <v>14051</v>
      </c>
      <c r="M1790" t="s">
        <v>14052</v>
      </c>
      <c r="N1790" t="s">
        <v>14053</v>
      </c>
      <c r="O1790" t="s">
        <v>14049</v>
      </c>
      <c r="P1790" s="614">
        <f>COUNTIF(EducPlans_кодНАЦИД_Спец[аФакСец],EducPlans_кодНАЦИД_Спец[[#This Row],[аФакСец]])</f>
        <v>1</v>
      </c>
    </row>
    <row r="1791" spans="3:16" x14ac:dyDescent="0.25">
      <c r="C1791" s="614">
        <v>1785</v>
      </c>
      <c r="D1791" s="614">
        <v>842522</v>
      </c>
      <c r="E1791" s="64" t="s">
        <v>2154</v>
      </c>
      <c r="F1791" s="64" t="s">
        <v>14054</v>
      </c>
      <c r="G1791" s="614" t="s">
        <v>628</v>
      </c>
      <c r="H1791" s="614" t="s">
        <v>682</v>
      </c>
      <c r="I1791" s="614" t="s">
        <v>1153</v>
      </c>
      <c r="J1791" s="64" t="s">
        <v>14055</v>
      </c>
      <c r="K1791" s="1940" t="s">
        <v>7527</v>
      </c>
      <c r="L1791" s="1940" t="s">
        <v>14056</v>
      </c>
      <c r="M1791" t="s">
        <v>14057</v>
      </c>
      <c r="N1791" t="s">
        <v>14058</v>
      </c>
      <c r="O1791" t="s">
        <v>14054</v>
      </c>
      <c r="P1791" s="614">
        <f>COUNTIF(EducPlans_кодНАЦИД_Спец[аФакСец],EducPlans_кодНАЦИД_Спец[[#This Row],[аФакСец]])</f>
        <v>1</v>
      </c>
    </row>
    <row r="1792" spans="3:16" x14ac:dyDescent="0.25">
      <c r="C1792" s="614">
        <v>1786</v>
      </c>
      <c r="D1792" s="614">
        <v>12278</v>
      </c>
      <c r="E1792" s="64" t="s">
        <v>2238</v>
      </c>
      <c r="F1792" s="64" t="s">
        <v>7529</v>
      </c>
      <c r="G1792" s="614" t="s">
        <v>31</v>
      </c>
      <c r="H1792" s="614" t="s">
        <v>682</v>
      </c>
      <c r="I1792" s="614" t="s">
        <v>1153</v>
      </c>
      <c r="J1792" s="64" t="s">
        <v>2974</v>
      </c>
      <c r="K1792" s="1940" t="s">
        <v>7530</v>
      </c>
      <c r="L1792" s="1940" t="s">
        <v>9404</v>
      </c>
      <c r="M1792" t="s">
        <v>12770</v>
      </c>
      <c r="N1792" t="s">
        <v>11119</v>
      </c>
      <c r="O1792" t="s">
        <v>7529</v>
      </c>
      <c r="P1792" s="614">
        <f>COUNTIF(EducPlans_кодНАЦИД_Спец[аФакСец],EducPlans_кодНАЦИД_Спец[[#This Row],[аФакСец]])</f>
        <v>1</v>
      </c>
    </row>
    <row r="1793" spans="3:16" x14ac:dyDescent="0.25">
      <c r="C1793" s="614">
        <v>1787</v>
      </c>
      <c r="D1793" s="614">
        <v>12280</v>
      </c>
      <c r="E1793" s="64" t="s">
        <v>2238</v>
      </c>
      <c r="F1793" s="64" t="s">
        <v>7531</v>
      </c>
      <c r="G1793" s="614" t="s">
        <v>31</v>
      </c>
      <c r="H1793" s="614" t="s">
        <v>682</v>
      </c>
      <c r="I1793" s="614" t="s">
        <v>1149</v>
      </c>
      <c r="J1793" s="64" t="s">
        <v>2973</v>
      </c>
      <c r="K1793" s="1940" t="s">
        <v>7532</v>
      </c>
      <c r="L1793" s="1940" t="s">
        <v>9405</v>
      </c>
      <c r="M1793" t="s">
        <v>12771</v>
      </c>
      <c r="N1793" t="s">
        <v>11120</v>
      </c>
      <c r="O1793" t="s">
        <v>7531</v>
      </c>
      <c r="P1793" s="614">
        <f>COUNTIF(EducPlans_кодНАЦИД_Спец[аФакСец],EducPlans_кодНАЦИД_Спец[[#This Row],[аФакСец]])</f>
        <v>1</v>
      </c>
    </row>
    <row r="1794" spans="3:16" x14ac:dyDescent="0.25">
      <c r="C1794" s="614">
        <v>1788</v>
      </c>
      <c r="D1794" s="614">
        <v>12290</v>
      </c>
      <c r="E1794" s="64" t="s">
        <v>2239</v>
      </c>
      <c r="F1794" s="64" t="s">
        <v>7533</v>
      </c>
      <c r="G1794" s="614" t="s">
        <v>31</v>
      </c>
      <c r="H1794" s="614" t="s">
        <v>682</v>
      </c>
      <c r="I1794" s="614" t="s">
        <v>1153</v>
      </c>
      <c r="J1794" s="64" t="s">
        <v>2975</v>
      </c>
      <c r="K1794" s="1940" t="s">
        <v>7534</v>
      </c>
      <c r="L1794" s="1940" t="s">
        <v>9406</v>
      </c>
      <c r="M1794" t="s">
        <v>12772</v>
      </c>
      <c r="N1794" t="s">
        <v>11121</v>
      </c>
      <c r="O1794" t="s">
        <v>7533</v>
      </c>
      <c r="P1794" s="614">
        <f>COUNTIF(EducPlans_кодНАЦИД_Спец[аФакСец],EducPlans_кодНАЦИД_Спец[[#This Row],[аФакСец]])</f>
        <v>1</v>
      </c>
    </row>
    <row r="1795" spans="3:16" x14ac:dyDescent="0.25">
      <c r="C1795" s="614">
        <v>1789</v>
      </c>
      <c r="D1795" s="614">
        <v>12282</v>
      </c>
      <c r="E1795" s="64" t="s">
        <v>2240</v>
      </c>
      <c r="F1795" s="64" t="s">
        <v>7535</v>
      </c>
      <c r="G1795" s="614" t="s">
        <v>31</v>
      </c>
      <c r="H1795" s="614" t="s">
        <v>682</v>
      </c>
      <c r="I1795" s="614" t="s">
        <v>1153</v>
      </c>
      <c r="J1795" s="64" t="s">
        <v>2976</v>
      </c>
      <c r="K1795" s="1940" t="s">
        <v>7536</v>
      </c>
      <c r="L1795" s="1940" t="s">
        <v>9407</v>
      </c>
      <c r="M1795" t="s">
        <v>12773</v>
      </c>
      <c r="N1795" t="s">
        <v>11122</v>
      </c>
      <c r="O1795" t="s">
        <v>7535</v>
      </c>
      <c r="P1795" s="614">
        <f>COUNTIF(EducPlans_кодНАЦИД_Спец[аФакСец],EducPlans_кодНАЦИД_Спец[[#This Row],[аФакСец]])</f>
        <v>1</v>
      </c>
    </row>
    <row r="1796" spans="3:16" x14ac:dyDescent="0.25">
      <c r="C1796" s="614">
        <v>1790</v>
      </c>
      <c r="D1796" s="614">
        <v>12430</v>
      </c>
      <c r="E1796" s="64" t="s">
        <v>2291</v>
      </c>
      <c r="F1796" s="64" t="s">
        <v>7537</v>
      </c>
      <c r="G1796" s="614" t="s">
        <v>50</v>
      </c>
      <c r="H1796" s="614" t="s">
        <v>682</v>
      </c>
      <c r="I1796" s="614" t="s">
        <v>1153</v>
      </c>
      <c r="J1796" s="64" t="s">
        <v>7538</v>
      </c>
      <c r="K1796" s="1940" t="s">
        <v>7539</v>
      </c>
      <c r="L1796" s="1940" t="s">
        <v>9408</v>
      </c>
      <c r="M1796" t="s">
        <v>12774</v>
      </c>
      <c r="N1796" t="s">
        <v>11123</v>
      </c>
      <c r="O1796" t="s">
        <v>7537</v>
      </c>
      <c r="P1796" s="614">
        <f>COUNTIF(EducPlans_кодНАЦИД_Спец[аФакСец],EducPlans_кодНАЦИД_Спец[[#This Row],[аФакСец]])</f>
        <v>1</v>
      </c>
    </row>
    <row r="1797" spans="3:16" x14ac:dyDescent="0.25">
      <c r="C1797" s="614">
        <v>1791</v>
      </c>
      <c r="D1797" s="614">
        <v>12431</v>
      </c>
      <c r="E1797" s="64" t="s">
        <v>2291</v>
      </c>
      <c r="F1797" s="64" t="s">
        <v>7540</v>
      </c>
      <c r="G1797" s="614" t="s">
        <v>50</v>
      </c>
      <c r="H1797" s="614" t="s">
        <v>682</v>
      </c>
      <c r="I1797" s="614" t="s">
        <v>1149</v>
      </c>
      <c r="J1797" s="64" t="s">
        <v>7541</v>
      </c>
      <c r="K1797" s="1940" t="s">
        <v>7542</v>
      </c>
      <c r="L1797" s="1940" t="s">
        <v>9409</v>
      </c>
      <c r="M1797" t="s">
        <v>12775</v>
      </c>
      <c r="N1797" t="s">
        <v>11124</v>
      </c>
      <c r="O1797" t="s">
        <v>7540</v>
      </c>
      <c r="P1797" s="614">
        <f>COUNTIF(EducPlans_кодНАЦИД_Спец[аФакСец],EducPlans_кодНАЦИД_Спец[[#This Row],[аФакСец]])</f>
        <v>1</v>
      </c>
    </row>
    <row r="1798" spans="3:16" x14ac:dyDescent="0.25">
      <c r="C1798" s="614">
        <v>1792</v>
      </c>
      <c r="D1798" s="614">
        <v>12431</v>
      </c>
      <c r="E1798" s="64" t="s">
        <v>2291</v>
      </c>
      <c r="F1798" s="64" t="s">
        <v>7543</v>
      </c>
      <c r="G1798" s="614" t="s">
        <v>50</v>
      </c>
      <c r="H1798" s="614" t="s">
        <v>682</v>
      </c>
      <c r="I1798" s="614" t="s">
        <v>1149</v>
      </c>
      <c r="J1798" s="64" t="s">
        <v>7544</v>
      </c>
      <c r="K1798" s="1940" t="s">
        <v>7542</v>
      </c>
      <c r="L1798" s="1940" t="s">
        <v>9410</v>
      </c>
      <c r="M1798" t="s">
        <v>12776</v>
      </c>
      <c r="N1798" t="s">
        <v>11125</v>
      </c>
      <c r="O1798" t="s">
        <v>7543</v>
      </c>
      <c r="P1798" s="614">
        <f>COUNTIF(EducPlans_кодНАЦИД_Спец[аФакСец],EducPlans_кодНАЦИД_Спец[[#This Row],[аФакСец]])</f>
        <v>1</v>
      </c>
    </row>
    <row r="1799" spans="3:16" x14ac:dyDescent="0.25">
      <c r="C1799" s="614">
        <v>1793</v>
      </c>
      <c r="D1799" s="614">
        <v>12633</v>
      </c>
      <c r="E1799" s="64" t="s">
        <v>1349</v>
      </c>
      <c r="F1799" s="64" t="s">
        <v>7545</v>
      </c>
      <c r="G1799" s="614" t="s">
        <v>296</v>
      </c>
      <c r="H1799" s="614" t="s">
        <v>681</v>
      </c>
      <c r="I1799" s="614" t="s">
        <v>1153</v>
      </c>
      <c r="J1799" s="64" t="s">
        <v>3866</v>
      </c>
      <c r="K1799" s="1940" t="s">
        <v>7546</v>
      </c>
      <c r="L1799" s="1940" t="s">
        <v>9411</v>
      </c>
      <c r="M1799" t="s">
        <v>12777</v>
      </c>
      <c r="N1799" t="s">
        <v>11126</v>
      </c>
      <c r="O1799" t="s">
        <v>7545</v>
      </c>
      <c r="P1799" s="614">
        <f>COUNTIF(EducPlans_кодНАЦИД_Спец[аФакСец],EducPlans_кодНАЦИД_Спец[[#This Row],[аФакСец]])</f>
        <v>1</v>
      </c>
    </row>
    <row r="1800" spans="3:16" x14ac:dyDescent="0.25">
      <c r="C1800" s="614">
        <v>1794</v>
      </c>
      <c r="D1800" s="614">
        <v>725046</v>
      </c>
      <c r="E1800" s="64" t="s">
        <v>14059</v>
      </c>
      <c r="F1800" s="64" t="s">
        <v>14060</v>
      </c>
      <c r="G1800" s="614" t="s">
        <v>12921</v>
      </c>
      <c r="H1800" s="614" t="s">
        <v>682</v>
      </c>
      <c r="I1800" s="614" t="s">
        <v>1153</v>
      </c>
      <c r="J1800" s="64" t="s">
        <v>14061</v>
      </c>
      <c r="K1800" s="1940" t="s">
        <v>14062</v>
      </c>
      <c r="L1800" s="1940" t="s">
        <v>14063</v>
      </c>
      <c r="M1800" t="s">
        <v>14064</v>
      </c>
      <c r="N1800" t="s">
        <v>14065</v>
      </c>
      <c r="O1800" t="s">
        <v>14060</v>
      </c>
      <c r="P1800" s="614">
        <f>COUNTIF(EducPlans_кодНАЦИД_Спец[аФакСец],EducPlans_кодНАЦИД_Спец[[#This Row],[аФакСец]])</f>
        <v>1</v>
      </c>
    </row>
    <row r="1801" spans="3:16" x14ac:dyDescent="0.25">
      <c r="C1801" s="614">
        <v>1795</v>
      </c>
      <c r="D1801" s="614">
        <v>10738</v>
      </c>
      <c r="E1801" s="64" t="s">
        <v>220</v>
      </c>
      <c r="F1801" s="64" t="s">
        <v>7547</v>
      </c>
      <c r="G1801" s="614" t="s">
        <v>35</v>
      </c>
      <c r="H1801" s="614" t="s">
        <v>681</v>
      </c>
      <c r="I1801" s="614" t="s">
        <v>1153</v>
      </c>
      <c r="J1801" s="64" t="s">
        <v>4119</v>
      </c>
      <c r="K1801" s="1940" t="s">
        <v>7548</v>
      </c>
      <c r="L1801" s="1940" t="s">
        <v>9412</v>
      </c>
      <c r="M1801" t="s">
        <v>12778</v>
      </c>
      <c r="N1801" t="s">
        <v>11127</v>
      </c>
      <c r="O1801" t="s">
        <v>7547</v>
      </c>
      <c r="P1801" s="614">
        <f>COUNTIF(EducPlans_кодНАЦИД_Спец[аФакСец],EducPlans_кодНАЦИД_Спец[[#This Row],[аФакСец]])</f>
        <v>1</v>
      </c>
    </row>
    <row r="1802" spans="3:16" x14ac:dyDescent="0.25">
      <c r="C1802" s="614">
        <v>1796</v>
      </c>
      <c r="D1802" s="614">
        <v>10740</v>
      </c>
      <c r="E1802" s="64" t="s">
        <v>220</v>
      </c>
      <c r="F1802" s="64" t="s">
        <v>7549</v>
      </c>
      <c r="G1802" s="614" t="s">
        <v>35</v>
      </c>
      <c r="H1802" s="614" t="s">
        <v>681</v>
      </c>
      <c r="I1802" s="614" t="s">
        <v>1149</v>
      </c>
      <c r="J1802" s="64" t="s">
        <v>4118</v>
      </c>
      <c r="K1802" s="1940" t="s">
        <v>7550</v>
      </c>
      <c r="L1802" s="1940" t="s">
        <v>9413</v>
      </c>
      <c r="M1802" t="s">
        <v>12779</v>
      </c>
      <c r="N1802" t="s">
        <v>11128</v>
      </c>
      <c r="O1802" t="s">
        <v>7549</v>
      </c>
      <c r="P1802" s="614">
        <f>COUNTIF(EducPlans_кодНАЦИД_Спец[аФакСец],EducPlans_кодНАЦИД_Спец[[#This Row],[аФакСец]])</f>
        <v>1</v>
      </c>
    </row>
    <row r="1803" spans="3:16" x14ac:dyDescent="0.25">
      <c r="C1803" s="614">
        <v>1797</v>
      </c>
      <c r="D1803" s="614">
        <v>10893</v>
      </c>
      <c r="E1803" s="64" t="s">
        <v>1616</v>
      </c>
      <c r="F1803" s="64" t="s">
        <v>7551</v>
      </c>
      <c r="G1803" s="614" t="s">
        <v>35</v>
      </c>
      <c r="H1803" s="614" t="s">
        <v>682</v>
      </c>
      <c r="I1803" s="614" t="s">
        <v>1153</v>
      </c>
      <c r="J1803" s="64" t="s">
        <v>4121</v>
      </c>
      <c r="K1803" s="1940" t="s">
        <v>7552</v>
      </c>
      <c r="L1803" s="1940" t="s">
        <v>9414</v>
      </c>
      <c r="M1803" t="s">
        <v>12780</v>
      </c>
      <c r="N1803" t="s">
        <v>11129</v>
      </c>
      <c r="O1803" t="s">
        <v>7551</v>
      </c>
      <c r="P1803" s="614">
        <f>COUNTIF(EducPlans_кодНАЦИД_Спец[аФакСец],EducPlans_кодНАЦИД_Спец[[#This Row],[аФакСец]])</f>
        <v>1</v>
      </c>
    </row>
    <row r="1804" spans="3:16" x14ac:dyDescent="0.25">
      <c r="C1804" s="614">
        <v>1798</v>
      </c>
      <c r="D1804" s="614">
        <v>10893</v>
      </c>
      <c r="E1804" s="64" t="s">
        <v>1616</v>
      </c>
      <c r="F1804" s="64" t="s">
        <v>7553</v>
      </c>
      <c r="G1804" s="614" t="s">
        <v>35</v>
      </c>
      <c r="H1804" s="614" t="s">
        <v>682</v>
      </c>
      <c r="I1804" s="614" t="s">
        <v>1153</v>
      </c>
      <c r="J1804" s="64" t="s">
        <v>4122</v>
      </c>
      <c r="K1804" s="1940" t="s">
        <v>7552</v>
      </c>
      <c r="L1804" s="1940" t="s">
        <v>9415</v>
      </c>
      <c r="M1804" t="s">
        <v>12781</v>
      </c>
      <c r="N1804" t="s">
        <v>11130</v>
      </c>
      <c r="O1804" t="s">
        <v>7553</v>
      </c>
      <c r="P1804" s="614">
        <f>COUNTIF(EducPlans_кодНАЦИД_Спец[аФакСец],EducPlans_кодНАЦИД_Спец[[#This Row],[аФакСец]])</f>
        <v>1</v>
      </c>
    </row>
    <row r="1805" spans="3:16" x14ac:dyDescent="0.25">
      <c r="C1805" s="614">
        <v>1799</v>
      </c>
      <c r="D1805" s="614">
        <v>10893</v>
      </c>
      <c r="E1805" s="64" t="s">
        <v>1616</v>
      </c>
      <c r="F1805" s="64" t="s">
        <v>7554</v>
      </c>
      <c r="G1805" s="614" t="s">
        <v>35</v>
      </c>
      <c r="H1805" s="614" t="s">
        <v>682</v>
      </c>
      <c r="I1805" s="614" t="s">
        <v>1153</v>
      </c>
      <c r="J1805" s="64" t="s">
        <v>4120</v>
      </c>
      <c r="K1805" s="1940" t="s">
        <v>7552</v>
      </c>
      <c r="L1805" s="1940" t="s">
        <v>9416</v>
      </c>
      <c r="M1805" t="s">
        <v>12782</v>
      </c>
      <c r="N1805" t="s">
        <v>11131</v>
      </c>
      <c r="O1805" t="s">
        <v>7554</v>
      </c>
      <c r="P1805" s="614">
        <f>COUNTIF(EducPlans_кодНАЦИД_Спец[аФакСец],EducPlans_кодНАЦИД_Спец[[#This Row],[аФакСец]])</f>
        <v>1</v>
      </c>
    </row>
    <row r="1806" spans="3:16" x14ac:dyDescent="0.25">
      <c r="C1806" s="614">
        <v>1800</v>
      </c>
      <c r="D1806" s="614">
        <v>10893</v>
      </c>
      <c r="E1806" s="64" t="s">
        <v>1616</v>
      </c>
      <c r="F1806" s="64" t="s">
        <v>7555</v>
      </c>
      <c r="G1806" s="614" t="s">
        <v>35</v>
      </c>
      <c r="H1806" s="614" t="s">
        <v>682</v>
      </c>
      <c r="I1806" s="614" t="s">
        <v>1153</v>
      </c>
      <c r="J1806" s="64" t="s">
        <v>4123</v>
      </c>
      <c r="K1806" s="1940" t="s">
        <v>7552</v>
      </c>
      <c r="L1806" s="1940" t="s">
        <v>9417</v>
      </c>
      <c r="M1806" t="s">
        <v>12783</v>
      </c>
      <c r="N1806" t="s">
        <v>11132</v>
      </c>
      <c r="O1806" t="s">
        <v>7555</v>
      </c>
      <c r="P1806" s="614">
        <f>COUNTIF(EducPlans_кодНАЦИД_Спец[аФакСец],EducPlans_кодНАЦИД_Спец[[#This Row],[аФакСец]])</f>
        <v>1</v>
      </c>
    </row>
    <row r="1807" spans="3:16" x14ac:dyDescent="0.25">
      <c r="C1807" s="614">
        <v>1801</v>
      </c>
      <c r="D1807" s="614">
        <v>10893</v>
      </c>
      <c r="E1807" s="64" t="s">
        <v>1616</v>
      </c>
      <c r="F1807" s="64" t="s">
        <v>7556</v>
      </c>
      <c r="G1807" s="614" t="s">
        <v>35</v>
      </c>
      <c r="H1807" s="614" t="s">
        <v>682</v>
      </c>
      <c r="I1807" s="614" t="s">
        <v>1153</v>
      </c>
      <c r="J1807" s="64" t="s">
        <v>4124</v>
      </c>
      <c r="K1807" s="1940" t="s">
        <v>7552</v>
      </c>
      <c r="L1807" s="1940" t="s">
        <v>9418</v>
      </c>
      <c r="M1807" t="s">
        <v>12784</v>
      </c>
      <c r="N1807" t="s">
        <v>11133</v>
      </c>
      <c r="O1807" t="s">
        <v>7556</v>
      </c>
      <c r="P1807" s="614">
        <f>COUNTIF(EducPlans_кодНАЦИД_Спец[аФакСец],EducPlans_кодНАЦИД_Спец[[#This Row],[аФакСец]])</f>
        <v>1</v>
      </c>
    </row>
    <row r="1808" spans="3:16" x14ac:dyDescent="0.25">
      <c r="C1808" s="614">
        <v>1802</v>
      </c>
      <c r="D1808" s="614">
        <v>10880</v>
      </c>
      <c r="E1808" s="64" t="s">
        <v>1617</v>
      </c>
      <c r="F1808" s="64" t="s">
        <v>7557</v>
      </c>
      <c r="G1808" s="614" t="s">
        <v>35</v>
      </c>
      <c r="H1808" s="614" t="s">
        <v>682</v>
      </c>
      <c r="I1808" s="614" t="s">
        <v>1153</v>
      </c>
      <c r="J1808" s="64" t="s">
        <v>4129</v>
      </c>
      <c r="K1808" s="1940" t="s">
        <v>7558</v>
      </c>
      <c r="L1808" s="1940" t="s">
        <v>9419</v>
      </c>
      <c r="M1808" t="s">
        <v>12785</v>
      </c>
      <c r="N1808" t="s">
        <v>11134</v>
      </c>
      <c r="O1808" t="s">
        <v>7557</v>
      </c>
      <c r="P1808" s="614">
        <f>COUNTIF(EducPlans_кодНАЦИД_Спец[аФакСец],EducPlans_кодНАЦИД_Спец[[#This Row],[аФакСец]])</f>
        <v>1</v>
      </c>
    </row>
    <row r="1809" spans="3:16" x14ac:dyDescent="0.25">
      <c r="C1809" s="614">
        <v>1803</v>
      </c>
      <c r="D1809" s="614">
        <v>10880</v>
      </c>
      <c r="E1809" s="64" t="s">
        <v>1617</v>
      </c>
      <c r="F1809" s="64" t="s">
        <v>7559</v>
      </c>
      <c r="G1809" s="614" t="s">
        <v>35</v>
      </c>
      <c r="H1809" s="614" t="s">
        <v>682</v>
      </c>
      <c r="I1809" s="614" t="s">
        <v>1153</v>
      </c>
      <c r="J1809" s="64" t="s">
        <v>4128</v>
      </c>
      <c r="K1809" s="1940" t="s">
        <v>7558</v>
      </c>
      <c r="L1809" s="1940" t="s">
        <v>9420</v>
      </c>
      <c r="M1809" t="s">
        <v>12786</v>
      </c>
      <c r="N1809" t="s">
        <v>11135</v>
      </c>
      <c r="O1809" t="s">
        <v>7559</v>
      </c>
      <c r="P1809" s="614">
        <f>COUNTIF(EducPlans_кодНАЦИД_Спец[аФакСец],EducPlans_кодНАЦИД_Спец[[#This Row],[аФакСец]])</f>
        <v>1</v>
      </c>
    </row>
    <row r="1810" spans="3:16" x14ac:dyDescent="0.25">
      <c r="C1810" s="614">
        <v>1804</v>
      </c>
      <c r="D1810" s="614">
        <v>10880</v>
      </c>
      <c r="E1810" s="64" t="s">
        <v>1617</v>
      </c>
      <c r="F1810" s="64" t="s">
        <v>7560</v>
      </c>
      <c r="G1810" s="614" t="s">
        <v>35</v>
      </c>
      <c r="H1810" s="614" t="s">
        <v>682</v>
      </c>
      <c r="I1810" s="614" t="s">
        <v>1153</v>
      </c>
      <c r="J1810" s="64" t="s">
        <v>4127</v>
      </c>
      <c r="K1810" s="1940" t="s">
        <v>7558</v>
      </c>
      <c r="L1810" s="1940" t="s">
        <v>9421</v>
      </c>
      <c r="M1810" t="s">
        <v>12787</v>
      </c>
      <c r="N1810" t="s">
        <v>11136</v>
      </c>
      <c r="O1810" t="s">
        <v>7560</v>
      </c>
      <c r="P1810" s="614">
        <f>COUNTIF(EducPlans_кодНАЦИД_Спец[аФакСец],EducPlans_кодНАЦИД_Спец[[#This Row],[аФакСец]])</f>
        <v>1</v>
      </c>
    </row>
    <row r="1811" spans="3:16" x14ac:dyDescent="0.25">
      <c r="C1811" s="614">
        <v>1805</v>
      </c>
      <c r="D1811" s="614">
        <v>10880</v>
      </c>
      <c r="E1811" s="64" t="s">
        <v>1617</v>
      </c>
      <c r="F1811" s="64" t="s">
        <v>7561</v>
      </c>
      <c r="G1811" s="614" t="s">
        <v>35</v>
      </c>
      <c r="H1811" s="614" t="s">
        <v>682</v>
      </c>
      <c r="I1811" s="614" t="s">
        <v>1153</v>
      </c>
      <c r="J1811" s="64" t="s">
        <v>4126</v>
      </c>
      <c r="K1811" s="1940" t="s">
        <v>7558</v>
      </c>
      <c r="L1811" s="1940" t="s">
        <v>9422</v>
      </c>
      <c r="M1811" t="s">
        <v>12788</v>
      </c>
      <c r="N1811" t="s">
        <v>11137</v>
      </c>
      <c r="O1811" t="s">
        <v>7561</v>
      </c>
      <c r="P1811" s="614">
        <f>COUNTIF(EducPlans_кодНАЦИД_Спец[аФакСец],EducPlans_кодНАЦИД_Спец[[#This Row],[аФакСец]])</f>
        <v>1</v>
      </c>
    </row>
    <row r="1812" spans="3:16" x14ac:dyDescent="0.25">
      <c r="C1812" s="614">
        <v>1806</v>
      </c>
      <c r="D1812" s="614">
        <v>10882</v>
      </c>
      <c r="E1812" s="64" t="s">
        <v>1617</v>
      </c>
      <c r="F1812" s="64" t="s">
        <v>7562</v>
      </c>
      <c r="G1812" s="614" t="s">
        <v>35</v>
      </c>
      <c r="H1812" s="614" t="s">
        <v>682</v>
      </c>
      <c r="I1812" s="614" t="s">
        <v>1149</v>
      </c>
      <c r="J1812" s="64" t="s">
        <v>4125</v>
      </c>
      <c r="K1812" s="1940" t="s">
        <v>7563</v>
      </c>
      <c r="L1812" s="1940" t="s">
        <v>9423</v>
      </c>
      <c r="M1812" t="s">
        <v>12789</v>
      </c>
      <c r="N1812" t="s">
        <v>11138</v>
      </c>
      <c r="O1812" t="s">
        <v>7562</v>
      </c>
      <c r="P1812" s="614">
        <f>COUNTIF(EducPlans_кодНАЦИД_Спец[аФакСец],EducPlans_кодНАЦИД_Спец[[#This Row],[аФакСец]])</f>
        <v>1</v>
      </c>
    </row>
    <row r="1813" spans="3:16" x14ac:dyDescent="0.25">
      <c r="C1813" s="614">
        <v>1807</v>
      </c>
      <c r="D1813" s="614">
        <v>10772</v>
      </c>
      <c r="E1813" s="64" t="s">
        <v>1618</v>
      </c>
      <c r="F1813" s="64" t="s">
        <v>7564</v>
      </c>
      <c r="G1813" s="614" t="s">
        <v>35</v>
      </c>
      <c r="H1813" s="614" t="s">
        <v>681</v>
      </c>
      <c r="I1813" s="614" t="s">
        <v>1153</v>
      </c>
      <c r="J1813" s="64" t="s">
        <v>4130</v>
      </c>
      <c r="K1813" s="1940" t="s">
        <v>7565</v>
      </c>
      <c r="L1813" s="1940" t="s">
        <v>9424</v>
      </c>
      <c r="M1813" t="s">
        <v>12790</v>
      </c>
      <c r="N1813" t="s">
        <v>11139</v>
      </c>
      <c r="O1813" t="s">
        <v>7564</v>
      </c>
      <c r="P1813" s="614">
        <f>COUNTIF(EducPlans_кодНАЦИД_Спец[аФакСец],EducPlans_кодНАЦИД_Спец[[#This Row],[аФакСец]])</f>
        <v>1</v>
      </c>
    </row>
    <row r="1814" spans="3:16" x14ac:dyDescent="0.25">
      <c r="C1814" s="614">
        <v>1808</v>
      </c>
      <c r="D1814" s="614">
        <v>10883</v>
      </c>
      <c r="E1814" s="64" t="s">
        <v>1619</v>
      </c>
      <c r="F1814" s="64" t="s">
        <v>7566</v>
      </c>
      <c r="G1814" s="614" t="s">
        <v>35</v>
      </c>
      <c r="H1814" s="614" t="s">
        <v>682</v>
      </c>
      <c r="I1814" s="614" t="s">
        <v>1153</v>
      </c>
      <c r="J1814" s="64" t="s">
        <v>7567</v>
      </c>
      <c r="K1814" s="1940" t="s">
        <v>7568</v>
      </c>
      <c r="L1814" s="1940" t="s">
        <v>9425</v>
      </c>
      <c r="M1814" t="s">
        <v>12791</v>
      </c>
      <c r="N1814" t="s">
        <v>11140</v>
      </c>
      <c r="O1814" t="s">
        <v>7566</v>
      </c>
      <c r="P1814" s="614">
        <f>COUNTIF(EducPlans_кодНАЦИД_Спец[аФакСец],EducPlans_кодНАЦИД_Спец[[#This Row],[аФакСец]])</f>
        <v>1</v>
      </c>
    </row>
    <row r="1815" spans="3:16" x14ac:dyDescent="0.25">
      <c r="C1815" s="614">
        <v>1809</v>
      </c>
      <c r="D1815" s="614">
        <v>10884</v>
      </c>
      <c r="E1815" s="64" t="s">
        <v>1619</v>
      </c>
      <c r="F1815" s="64" t="s">
        <v>7569</v>
      </c>
      <c r="G1815" s="614" t="s">
        <v>35</v>
      </c>
      <c r="H1815" s="614" t="s">
        <v>682</v>
      </c>
      <c r="I1815" s="614" t="s">
        <v>1153</v>
      </c>
      <c r="J1815" s="64" t="s">
        <v>7570</v>
      </c>
      <c r="K1815" s="1940" t="s">
        <v>7571</v>
      </c>
      <c r="L1815" s="1940" t="s">
        <v>9426</v>
      </c>
      <c r="M1815" t="s">
        <v>12792</v>
      </c>
      <c r="N1815" t="s">
        <v>11141</v>
      </c>
      <c r="O1815" t="s">
        <v>7569</v>
      </c>
      <c r="P1815" s="614">
        <f>COUNTIF(EducPlans_кодНАЦИД_Спец[аФакСец],EducPlans_кодНАЦИД_Спец[[#This Row],[аФакСец]])</f>
        <v>1</v>
      </c>
    </row>
    <row r="1816" spans="3:16" x14ac:dyDescent="0.25">
      <c r="C1816" s="614">
        <v>1810</v>
      </c>
      <c r="D1816" s="614">
        <v>10884</v>
      </c>
      <c r="E1816" s="64" t="s">
        <v>1619</v>
      </c>
      <c r="F1816" s="64" t="s">
        <v>7572</v>
      </c>
      <c r="G1816" s="614" t="s">
        <v>35</v>
      </c>
      <c r="H1816" s="614" t="s">
        <v>682</v>
      </c>
      <c r="I1816" s="614" t="s">
        <v>1153</v>
      </c>
      <c r="J1816" s="64" t="s">
        <v>7573</v>
      </c>
      <c r="K1816" s="1940" t="s">
        <v>7571</v>
      </c>
      <c r="L1816" s="1940" t="s">
        <v>9427</v>
      </c>
      <c r="M1816" t="s">
        <v>12793</v>
      </c>
      <c r="N1816" t="s">
        <v>11142</v>
      </c>
      <c r="O1816" t="s">
        <v>7572</v>
      </c>
      <c r="P1816" s="614">
        <f>COUNTIF(EducPlans_кодНАЦИД_Спец[аФакСец],EducPlans_кодНАЦИД_Спец[[#This Row],[аФакСец]])</f>
        <v>1</v>
      </c>
    </row>
    <row r="1817" spans="3:16" x14ac:dyDescent="0.25">
      <c r="C1817" s="614">
        <v>1811</v>
      </c>
      <c r="D1817" s="614">
        <v>10902</v>
      </c>
      <c r="E1817" s="64" t="s">
        <v>1622</v>
      </c>
      <c r="F1817" s="64" t="s">
        <v>7574</v>
      </c>
      <c r="G1817" s="614" t="s">
        <v>35</v>
      </c>
      <c r="H1817" s="614" t="s">
        <v>682</v>
      </c>
      <c r="I1817" s="614" t="s">
        <v>1149</v>
      </c>
      <c r="J1817" s="64" t="s">
        <v>4132</v>
      </c>
      <c r="K1817" s="1940" t="s">
        <v>7575</v>
      </c>
      <c r="L1817" s="1940" t="s">
        <v>9428</v>
      </c>
      <c r="M1817" t="s">
        <v>12794</v>
      </c>
      <c r="N1817" t="s">
        <v>11143</v>
      </c>
      <c r="O1817" t="s">
        <v>7574</v>
      </c>
      <c r="P1817" s="614">
        <f>COUNTIF(EducPlans_кодНАЦИД_Спец[аФакСец],EducPlans_кодНАЦИД_Спец[[#This Row],[аФакСец]])</f>
        <v>1</v>
      </c>
    </row>
    <row r="1818" spans="3:16" x14ac:dyDescent="0.25">
      <c r="C1818" s="614">
        <v>1812</v>
      </c>
      <c r="D1818" s="614">
        <v>10902</v>
      </c>
      <c r="E1818" s="64" t="s">
        <v>1622</v>
      </c>
      <c r="F1818" s="64" t="s">
        <v>7576</v>
      </c>
      <c r="G1818" s="614" t="s">
        <v>35</v>
      </c>
      <c r="H1818" s="614" t="s">
        <v>682</v>
      </c>
      <c r="I1818" s="614" t="s">
        <v>1149</v>
      </c>
      <c r="J1818" s="64" t="s">
        <v>4131</v>
      </c>
      <c r="K1818" s="1940" t="s">
        <v>7575</v>
      </c>
      <c r="L1818" s="1940" t="s">
        <v>9429</v>
      </c>
      <c r="M1818" t="s">
        <v>12795</v>
      </c>
      <c r="N1818" t="s">
        <v>11144</v>
      </c>
      <c r="O1818" t="s">
        <v>7576</v>
      </c>
      <c r="P1818" s="614">
        <f>COUNTIF(EducPlans_кодНАЦИД_Спец[аФакСец],EducPlans_кодНАЦИД_Спец[[#This Row],[аФакСец]])</f>
        <v>1</v>
      </c>
    </row>
    <row r="1819" spans="3:16" x14ac:dyDescent="0.25">
      <c r="C1819" s="614">
        <v>1813</v>
      </c>
      <c r="D1819" s="614">
        <v>10885</v>
      </c>
      <c r="E1819" s="64" t="s">
        <v>1623</v>
      </c>
      <c r="F1819" s="64" t="s">
        <v>7577</v>
      </c>
      <c r="G1819" s="614" t="s">
        <v>35</v>
      </c>
      <c r="H1819" s="614" t="s">
        <v>682</v>
      </c>
      <c r="I1819" s="614" t="s">
        <v>1149</v>
      </c>
      <c r="J1819" s="64" t="s">
        <v>4133</v>
      </c>
      <c r="K1819" s="1940" t="s">
        <v>7578</v>
      </c>
      <c r="L1819" s="1940" t="s">
        <v>9430</v>
      </c>
      <c r="M1819" t="s">
        <v>12796</v>
      </c>
      <c r="N1819" t="s">
        <v>11145</v>
      </c>
      <c r="O1819" t="s">
        <v>7577</v>
      </c>
      <c r="P1819" s="614">
        <f>COUNTIF(EducPlans_кодНАЦИД_Спец[аФакСец],EducPlans_кодНАЦИД_Спец[[#This Row],[аФакСец]])</f>
        <v>1</v>
      </c>
    </row>
    <row r="1820" spans="3:16" x14ac:dyDescent="0.25">
      <c r="C1820" s="614">
        <v>1814</v>
      </c>
      <c r="D1820" s="614">
        <v>10885</v>
      </c>
      <c r="E1820" s="64" t="s">
        <v>1623</v>
      </c>
      <c r="F1820" s="64" t="s">
        <v>7579</v>
      </c>
      <c r="G1820" s="614" t="s">
        <v>35</v>
      </c>
      <c r="H1820" s="614" t="s">
        <v>682</v>
      </c>
      <c r="I1820" s="614" t="s">
        <v>1149</v>
      </c>
      <c r="J1820" s="64" t="s">
        <v>4134</v>
      </c>
      <c r="K1820" s="1940" t="s">
        <v>7578</v>
      </c>
      <c r="L1820" s="1940" t="s">
        <v>9431</v>
      </c>
      <c r="M1820" t="s">
        <v>12797</v>
      </c>
      <c r="N1820" t="s">
        <v>11146</v>
      </c>
      <c r="O1820" t="s">
        <v>7579</v>
      </c>
      <c r="P1820" s="614">
        <f>COUNTIF(EducPlans_кодНАЦИД_Спец[аФакСец],EducPlans_кодНАЦИД_Спец[[#This Row],[аФакСец]])</f>
        <v>1</v>
      </c>
    </row>
    <row r="1821" spans="3:16" x14ac:dyDescent="0.25">
      <c r="C1821" s="614">
        <v>1815</v>
      </c>
      <c r="D1821" s="614">
        <v>10887</v>
      </c>
      <c r="E1821" s="64" t="s">
        <v>1624</v>
      </c>
      <c r="F1821" s="64" t="s">
        <v>7580</v>
      </c>
      <c r="G1821" s="614" t="s">
        <v>35</v>
      </c>
      <c r="H1821" s="614" t="s">
        <v>682</v>
      </c>
      <c r="I1821" s="614" t="s">
        <v>1153</v>
      </c>
      <c r="J1821" s="64" t="s">
        <v>4139</v>
      </c>
      <c r="K1821" s="1940" t="s">
        <v>7581</v>
      </c>
      <c r="L1821" s="1940" t="s">
        <v>9432</v>
      </c>
      <c r="M1821" t="s">
        <v>12798</v>
      </c>
      <c r="N1821" t="s">
        <v>11147</v>
      </c>
      <c r="O1821" t="s">
        <v>7580</v>
      </c>
      <c r="P1821" s="614">
        <f>COUNTIF(EducPlans_кодНАЦИД_Спец[аФакСец],EducPlans_кодНАЦИД_Спец[[#This Row],[аФакСец]])</f>
        <v>1</v>
      </c>
    </row>
    <row r="1822" spans="3:16" x14ac:dyDescent="0.25">
      <c r="C1822" s="614">
        <v>1816</v>
      </c>
      <c r="D1822" s="614">
        <v>10887</v>
      </c>
      <c r="E1822" s="64" t="s">
        <v>1624</v>
      </c>
      <c r="F1822" s="64" t="s">
        <v>7582</v>
      </c>
      <c r="G1822" s="614" t="s">
        <v>35</v>
      </c>
      <c r="H1822" s="614" t="s">
        <v>682</v>
      </c>
      <c r="I1822" s="614" t="s">
        <v>1153</v>
      </c>
      <c r="J1822" s="64" t="s">
        <v>4140</v>
      </c>
      <c r="K1822" s="1940" t="s">
        <v>7581</v>
      </c>
      <c r="L1822" s="1940" t="s">
        <v>9433</v>
      </c>
      <c r="M1822" t="s">
        <v>12799</v>
      </c>
      <c r="N1822" t="s">
        <v>11148</v>
      </c>
      <c r="O1822" t="s">
        <v>7582</v>
      </c>
      <c r="P1822" s="614">
        <f>COUNTIF(EducPlans_кодНАЦИД_Спец[аФакСец],EducPlans_кодНАЦИД_Спец[[#This Row],[аФакСец]])</f>
        <v>1</v>
      </c>
    </row>
    <row r="1823" spans="3:16" x14ac:dyDescent="0.25">
      <c r="C1823" s="614">
        <v>1817</v>
      </c>
      <c r="D1823" s="614">
        <v>10887</v>
      </c>
      <c r="E1823" s="64" t="s">
        <v>1624</v>
      </c>
      <c r="F1823" s="64" t="s">
        <v>7583</v>
      </c>
      <c r="G1823" s="614" t="s">
        <v>35</v>
      </c>
      <c r="H1823" s="614" t="s">
        <v>682</v>
      </c>
      <c r="I1823" s="614" t="s">
        <v>1153</v>
      </c>
      <c r="J1823" s="64" t="s">
        <v>4141</v>
      </c>
      <c r="K1823" s="1940" t="s">
        <v>7581</v>
      </c>
      <c r="L1823" s="1940" t="s">
        <v>9434</v>
      </c>
      <c r="M1823" t="s">
        <v>12800</v>
      </c>
      <c r="N1823" t="s">
        <v>11149</v>
      </c>
      <c r="O1823" t="s">
        <v>7583</v>
      </c>
      <c r="P1823" s="614">
        <f>COUNTIF(EducPlans_кодНАЦИД_Спец[аФакСец],EducPlans_кодНАЦИД_Спец[[#This Row],[аФакСец]])</f>
        <v>1</v>
      </c>
    </row>
    <row r="1824" spans="3:16" x14ac:dyDescent="0.25">
      <c r="C1824" s="614">
        <v>1818</v>
      </c>
      <c r="D1824" s="614">
        <v>10887</v>
      </c>
      <c r="E1824" s="64" t="s">
        <v>1624</v>
      </c>
      <c r="F1824" s="64" t="s">
        <v>7584</v>
      </c>
      <c r="G1824" s="614" t="s">
        <v>35</v>
      </c>
      <c r="H1824" s="614" t="s">
        <v>682</v>
      </c>
      <c r="I1824" s="614" t="s">
        <v>1153</v>
      </c>
      <c r="J1824" s="64" t="s">
        <v>4142</v>
      </c>
      <c r="K1824" s="1940" t="s">
        <v>7581</v>
      </c>
      <c r="L1824" s="1940" t="s">
        <v>9435</v>
      </c>
      <c r="M1824" t="s">
        <v>12801</v>
      </c>
      <c r="N1824" t="s">
        <v>11150</v>
      </c>
      <c r="O1824" t="s">
        <v>7584</v>
      </c>
      <c r="P1824" s="614">
        <f>COUNTIF(EducPlans_кодНАЦИД_Спец[аФакСец],EducPlans_кодНАЦИД_Спец[[#This Row],[аФакСец]])</f>
        <v>1</v>
      </c>
    </row>
    <row r="1825" spans="3:16" x14ac:dyDescent="0.25">
      <c r="C1825" s="614">
        <v>1819</v>
      </c>
      <c r="D1825" s="614">
        <v>10887</v>
      </c>
      <c r="E1825" s="64" t="s">
        <v>1624</v>
      </c>
      <c r="F1825" s="64" t="s">
        <v>7585</v>
      </c>
      <c r="G1825" s="614" t="s">
        <v>35</v>
      </c>
      <c r="H1825" s="614" t="s">
        <v>682</v>
      </c>
      <c r="I1825" s="614" t="s">
        <v>1153</v>
      </c>
      <c r="J1825" s="64" t="s">
        <v>4143</v>
      </c>
      <c r="K1825" s="1940" t="s">
        <v>7581</v>
      </c>
      <c r="L1825" s="1940" t="s">
        <v>9436</v>
      </c>
      <c r="M1825" t="s">
        <v>12802</v>
      </c>
      <c r="N1825" t="s">
        <v>11151</v>
      </c>
      <c r="O1825" t="s">
        <v>7585</v>
      </c>
      <c r="P1825" s="614">
        <f>COUNTIF(EducPlans_кодНАЦИД_Спец[аФакСец],EducPlans_кодНАЦИД_Спец[[#This Row],[аФакСец]])</f>
        <v>1</v>
      </c>
    </row>
    <row r="1826" spans="3:16" x14ac:dyDescent="0.25">
      <c r="C1826" s="614">
        <v>1820</v>
      </c>
      <c r="D1826" s="614">
        <v>10889</v>
      </c>
      <c r="E1826" s="64" t="s">
        <v>1624</v>
      </c>
      <c r="F1826" s="64" t="s">
        <v>7586</v>
      </c>
      <c r="G1826" s="614" t="s">
        <v>35</v>
      </c>
      <c r="H1826" s="614" t="s">
        <v>682</v>
      </c>
      <c r="I1826" s="614" t="s">
        <v>1149</v>
      </c>
      <c r="J1826" s="64" t="s">
        <v>4138</v>
      </c>
      <c r="K1826" s="1940" t="s">
        <v>7587</v>
      </c>
      <c r="L1826" s="1940" t="s">
        <v>9437</v>
      </c>
      <c r="M1826" t="s">
        <v>12803</v>
      </c>
      <c r="N1826" t="s">
        <v>11152</v>
      </c>
      <c r="O1826" t="s">
        <v>7586</v>
      </c>
      <c r="P1826" s="614">
        <f>COUNTIF(EducPlans_кодНАЦИД_Спец[аФакСец],EducPlans_кодНАЦИД_Спец[[#This Row],[аФакСец]])</f>
        <v>1</v>
      </c>
    </row>
    <row r="1827" spans="3:16" x14ac:dyDescent="0.25">
      <c r="C1827" s="614">
        <v>1821</v>
      </c>
      <c r="D1827" s="614">
        <v>10889</v>
      </c>
      <c r="E1827" s="64" t="s">
        <v>1624</v>
      </c>
      <c r="F1827" s="64" t="s">
        <v>7588</v>
      </c>
      <c r="G1827" s="614" t="s">
        <v>35</v>
      </c>
      <c r="H1827" s="614" t="s">
        <v>682</v>
      </c>
      <c r="I1827" s="614" t="s">
        <v>1149</v>
      </c>
      <c r="J1827" s="64" t="s">
        <v>4137</v>
      </c>
      <c r="K1827" s="1940" t="s">
        <v>7587</v>
      </c>
      <c r="L1827" s="1940" t="s">
        <v>9438</v>
      </c>
      <c r="M1827" t="s">
        <v>12804</v>
      </c>
      <c r="N1827" t="s">
        <v>11153</v>
      </c>
      <c r="O1827" t="s">
        <v>7588</v>
      </c>
      <c r="P1827" s="614">
        <f>COUNTIF(EducPlans_кодНАЦИД_Спец[аФакСец],EducPlans_кодНАЦИД_Спец[[#This Row],[аФакСец]])</f>
        <v>1</v>
      </c>
    </row>
    <row r="1828" spans="3:16" x14ac:dyDescent="0.25">
      <c r="C1828" s="614">
        <v>1822</v>
      </c>
      <c r="D1828" s="614">
        <v>10889</v>
      </c>
      <c r="E1828" s="64" t="s">
        <v>1624</v>
      </c>
      <c r="F1828" s="64" t="s">
        <v>7589</v>
      </c>
      <c r="G1828" s="614" t="s">
        <v>35</v>
      </c>
      <c r="H1828" s="614" t="s">
        <v>682</v>
      </c>
      <c r="I1828" s="614" t="s">
        <v>1149</v>
      </c>
      <c r="J1828" s="64" t="s">
        <v>4135</v>
      </c>
      <c r="K1828" s="1940" t="s">
        <v>7587</v>
      </c>
      <c r="L1828" s="1940" t="s">
        <v>9439</v>
      </c>
      <c r="M1828" t="s">
        <v>12805</v>
      </c>
      <c r="N1828" t="s">
        <v>11154</v>
      </c>
      <c r="O1828" t="s">
        <v>7589</v>
      </c>
      <c r="P1828" s="614">
        <f>COUNTIF(EducPlans_кодНАЦИД_Спец[аФакСец],EducPlans_кодНАЦИД_Спец[[#This Row],[аФакСец]])</f>
        <v>1</v>
      </c>
    </row>
    <row r="1829" spans="3:16" x14ac:dyDescent="0.25">
      <c r="C1829" s="614">
        <v>1823</v>
      </c>
      <c r="D1829" s="614">
        <v>10889</v>
      </c>
      <c r="E1829" s="64" t="s">
        <v>1624</v>
      </c>
      <c r="F1829" s="64" t="s">
        <v>7590</v>
      </c>
      <c r="G1829" s="614" t="s">
        <v>35</v>
      </c>
      <c r="H1829" s="614" t="s">
        <v>682</v>
      </c>
      <c r="I1829" s="614" t="s">
        <v>1149</v>
      </c>
      <c r="J1829" s="64" t="s">
        <v>4136</v>
      </c>
      <c r="K1829" s="1940" t="s">
        <v>7587</v>
      </c>
      <c r="L1829" s="1940" t="s">
        <v>9440</v>
      </c>
      <c r="M1829" t="s">
        <v>12806</v>
      </c>
      <c r="N1829" t="s">
        <v>11155</v>
      </c>
      <c r="O1829" t="s">
        <v>7590</v>
      </c>
      <c r="P1829" s="614">
        <f>COUNTIF(EducPlans_кодНАЦИД_Спец[аФакСец],EducPlans_кодНАЦИД_Спец[[#This Row],[аФакСец]])</f>
        <v>1</v>
      </c>
    </row>
    <row r="1830" spans="3:16" x14ac:dyDescent="0.25">
      <c r="C1830" s="614">
        <v>1824</v>
      </c>
      <c r="D1830" s="614">
        <v>283995</v>
      </c>
      <c r="E1830" s="64" t="s">
        <v>1625</v>
      </c>
      <c r="F1830" s="64" t="s">
        <v>7591</v>
      </c>
      <c r="G1830" s="614" t="s">
        <v>35</v>
      </c>
      <c r="H1830" s="614" t="s">
        <v>682</v>
      </c>
      <c r="I1830" s="614" t="s">
        <v>1153</v>
      </c>
      <c r="J1830" s="64" t="s">
        <v>4582</v>
      </c>
      <c r="K1830" s="1940" t="s">
        <v>7592</v>
      </c>
      <c r="L1830" s="1940" t="s">
        <v>9441</v>
      </c>
      <c r="M1830" t="s">
        <v>12807</v>
      </c>
      <c r="N1830" t="s">
        <v>11156</v>
      </c>
      <c r="O1830" t="s">
        <v>7591</v>
      </c>
      <c r="P1830" s="614">
        <f>COUNTIF(EducPlans_кодНАЦИД_Спец[аФакСец],EducPlans_кодНАЦИД_Спец[[#This Row],[аФакСец]])</f>
        <v>1</v>
      </c>
    </row>
    <row r="1831" spans="3:16" x14ac:dyDescent="0.25">
      <c r="C1831" s="614">
        <v>1825</v>
      </c>
      <c r="D1831" s="614">
        <v>283995</v>
      </c>
      <c r="E1831" s="64" t="s">
        <v>1625</v>
      </c>
      <c r="F1831" s="64" t="s">
        <v>7593</v>
      </c>
      <c r="G1831" s="614" t="s">
        <v>35</v>
      </c>
      <c r="H1831" s="614" t="s">
        <v>682</v>
      </c>
      <c r="I1831" s="614" t="s">
        <v>1153</v>
      </c>
      <c r="J1831" s="64" t="s">
        <v>4146</v>
      </c>
      <c r="K1831" s="1940" t="s">
        <v>7592</v>
      </c>
      <c r="L1831" s="1940" t="s">
        <v>9442</v>
      </c>
      <c r="M1831" t="s">
        <v>12808</v>
      </c>
      <c r="N1831" t="s">
        <v>11157</v>
      </c>
      <c r="O1831" t="s">
        <v>7593</v>
      </c>
      <c r="P1831" s="614">
        <f>COUNTIF(EducPlans_кодНАЦИД_Спец[аФакСец],EducPlans_кодНАЦИД_Спец[[#This Row],[аФакСец]])</f>
        <v>1</v>
      </c>
    </row>
    <row r="1832" spans="3:16" x14ac:dyDescent="0.25">
      <c r="C1832" s="614">
        <v>1826</v>
      </c>
      <c r="D1832" s="614">
        <v>289866</v>
      </c>
      <c r="E1832" s="64" t="s">
        <v>1625</v>
      </c>
      <c r="F1832" s="64" t="s">
        <v>7594</v>
      </c>
      <c r="G1832" s="614" t="s">
        <v>35</v>
      </c>
      <c r="H1832" s="614" t="s">
        <v>682</v>
      </c>
      <c r="I1832" s="614" t="s">
        <v>1149</v>
      </c>
      <c r="J1832" s="64" t="s">
        <v>4145</v>
      </c>
      <c r="K1832" s="1940" t="s">
        <v>7595</v>
      </c>
      <c r="L1832" s="1940" t="s">
        <v>9443</v>
      </c>
      <c r="M1832" t="s">
        <v>12809</v>
      </c>
      <c r="N1832" t="s">
        <v>11158</v>
      </c>
      <c r="O1832" t="s">
        <v>7594</v>
      </c>
      <c r="P1832" s="614">
        <f>COUNTIF(EducPlans_кодНАЦИД_Спец[аФакСец],EducPlans_кодНАЦИД_Спец[[#This Row],[аФакСец]])</f>
        <v>1</v>
      </c>
    </row>
    <row r="1833" spans="3:16" x14ac:dyDescent="0.25">
      <c r="C1833" s="614">
        <v>1827</v>
      </c>
      <c r="D1833" s="614">
        <v>289866</v>
      </c>
      <c r="E1833" s="64" t="s">
        <v>1625</v>
      </c>
      <c r="F1833" s="64" t="s">
        <v>7596</v>
      </c>
      <c r="G1833" s="614" t="s">
        <v>35</v>
      </c>
      <c r="H1833" s="614" t="s">
        <v>682</v>
      </c>
      <c r="I1833" s="614" t="s">
        <v>1149</v>
      </c>
      <c r="J1833" s="64" t="s">
        <v>4581</v>
      </c>
      <c r="K1833" s="1940" t="s">
        <v>7595</v>
      </c>
      <c r="L1833" s="1940" t="s">
        <v>9444</v>
      </c>
      <c r="M1833" t="s">
        <v>12810</v>
      </c>
      <c r="N1833" t="s">
        <v>11159</v>
      </c>
      <c r="O1833" t="s">
        <v>7596</v>
      </c>
      <c r="P1833" s="614">
        <f>COUNTIF(EducPlans_кодНАЦИД_Спец[аФакСец],EducPlans_кодНАЦИД_Спец[[#This Row],[аФакСец]])</f>
        <v>1</v>
      </c>
    </row>
    <row r="1834" spans="3:16" x14ac:dyDescent="0.25">
      <c r="C1834" s="614">
        <v>1828</v>
      </c>
      <c r="D1834" s="614">
        <v>289866</v>
      </c>
      <c r="E1834" s="64" t="s">
        <v>1625</v>
      </c>
      <c r="F1834" s="64" t="s">
        <v>7597</v>
      </c>
      <c r="G1834" s="614" t="s">
        <v>35</v>
      </c>
      <c r="H1834" s="614" t="s">
        <v>682</v>
      </c>
      <c r="I1834" s="614" t="s">
        <v>1149</v>
      </c>
      <c r="J1834" s="64" t="s">
        <v>4144</v>
      </c>
      <c r="K1834" s="1940" t="s">
        <v>7595</v>
      </c>
      <c r="L1834" s="1940" t="s">
        <v>9445</v>
      </c>
      <c r="M1834" t="s">
        <v>12811</v>
      </c>
      <c r="N1834" t="s">
        <v>11160</v>
      </c>
      <c r="O1834" t="s">
        <v>7597</v>
      </c>
      <c r="P1834" s="614">
        <f>COUNTIF(EducPlans_кодНАЦИД_Спец[аФакСец],EducPlans_кодНАЦИД_Спец[[#This Row],[аФакСец]])</f>
        <v>1</v>
      </c>
    </row>
    <row r="1835" spans="3:16" x14ac:dyDescent="0.25">
      <c r="C1835" s="614">
        <v>1829</v>
      </c>
      <c r="D1835" s="614">
        <v>10896</v>
      </c>
      <c r="E1835" s="64" t="s">
        <v>1626</v>
      </c>
      <c r="F1835" s="64" t="s">
        <v>7598</v>
      </c>
      <c r="G1835" s="614" t="s">
        <v>35</v>
      </c>
      <c r="H1835" s="614" t="s">
        <v>682</v>
      </c>
      <c r="I1835" s="614" t="s">
        <v>1153</v>
      </c>
      <c r="J1835" s="64" t="s">
        <v>4147</v>
      </c>
      <c r="K1835" s="1940" t="s">
        <v>7599</v>
      </c>
      <c r="L1835" s="1940" t="s">
        <v>9446</v>
      </c>
      <c r="M1835" t="s">
        <v>12812</v>
      </c>
      <c r="N1835" t="s">
        <v>11161</v>
      </c>
      <c r="O1835" t="s">
        <v>7598</v>
      </c>
      <c r="P1835" s="614">
        <f>COUNTIF(EducPlans_кодНАЦИД_Спец[аФакСец],EducPlans_кодНАЦИД_Спец[[#This Row],[аФакСец]])</f>
        <v>1</v>
      </c>
    </row>
    <row r="1836" spans="3:16" x14ac:dyDescent="0.25">
      <c r="C1836" s="614">
        <v>1830</v>
      </c>
      <c r="D1836" s="614">
        <v>10896</v>
      </c>
      <c r="E1836" s="64" t="s">
        <v>1626</v>
      </c>
      <c r="F1836" s="64" t="s">
        <v>7600</v>
      </c>
      <c r="G1836" s="614" t="s">
        <v>35</v>
      </c>
      <c r="H1836" s="614" t="s">
        <v>682</v>
      </c>
      <c r="I1836" s="614" t="s">
        <v>1153</v>
      </c>
      <c r="J1836" s="64" t="s">
        <v>4148</v>
      </c>
      <c r="K1836" s="1940" t="s">
        <v>7599</v>
      </c>
      <c r="L1836" s="1940" t="s">
        <v>9447</v>
      </c>
      <c r="M1836" t="s">
        <v>12813</v>
      </c>
      <c r="N1836" t="s">
        <v>11162</v>
      </c>
      <c r="O1836" t="s">
        <v>7600</v>
      </c>
      <c r="P1836" s="614">
        <f>COUNTIF(EducPlans_кодНАЦИД_Спец[аФакСец],EducPlans_кодНАЦИД_Спец[[#This Row],[аФакСец]])</f>
        <v>1</v>
      </c>
    </row>
    <row r="1837" spans="3:16" x14ac:dyDescent="0.25">
      <c r="C1837" s="614">
        <v>1831</v>
      </c>
      <c r="D1837" s="614">
        <v>12824</v>
      </c>
      <c r="E1837" s="64" t="s">
        <v>2075</v>
      </c>
      <c r="F1837" s="64" t="s">
        <v>7601</v>
      </c>
      <c r="G1837" s="614" t="s">
        <v>626</v>
      </c>
      <c r="H1837" s="614" t="s">
        <v>682</v>
      </c>
      <c r="I1837" s="614" t="s">
        <v>1153</v>
      </c>
      <c r="J1837" s="64" t="s">
        <v>3437</v>
      </c>
      <c r="K1837" s="1940" t="s">
        <v>7602</v>
      </c>
      <c r="L1837" s="1940" t="s">
        <v>9448</v>
      </c>
      <c r="M1837" t="s">
        <v>12814</v>
      </c>
      <c r="N1837" t="s">
        <v>11163</v>
      </c>
      <c r="O1837" t="s">
        <v>7601</v>
      </c>
      <c r="P1837" s="614">
        <f>COUNTIF(EducPlans_кодНАЦИД_Спец[аФакСец],EducPlans_кодНАЦИД_Спец[[#This Row],[аФакСец]])</f>
        <v>1</v>
      </c>
    </row>
    <row r="1838" spans="3:16" x14ac:dyDescent="0.25">
      <c r="C1838" s="614">
        <v>1832</v>
      </c>
      <c r="D1838" s="614">
        <v>12824</v>
      </c>
      <c r="E1838" s="64" t="s">
        <v>2075</v>
      </c>
      <c r="F1838" s="64" t="s">
        <v>7603</v>
      </c>
      <c r="G1838" s="614" t="s">
        <v>626</v>
      </c>
      <c r="H1838" s="614" t="s">
        <v>682</v>
      </c>
      <c r="I1838" s="614" t="s">
        <v>1153</v>
      </c>
      <c r="J1838" s="64" t="s">
        <v>3436</v>
      </c>
      <c r="K1838" s="1940" t="s">
        <v>7602</v>
      </c>
      <c r="L1838" s="1940" t="s">
        <v>9449</v>
      </c>
      <c r="M1838" t="s">
        <v>12815</v>
      </c>
      <c r="N1838" t="s">
        <v>11164</v>
      </c>
      <c r="O1838" t="s">
        <v>7603</v>
      </c>
      <c r="P1838" s="614">
        <f>COUNTIF(EducPlans_кодНАЦИД_Спец[аФакСец],EducPlans_кодНАЦИД_Спец[[#This Row],[аФакСец]])</f>
        <v>2</v>
      </c>
    </row>
    <row r="1839" spans="3:16" x14ac:dyDescent="0.25">
      <c r="C1839" s="614">
        <v>1833</v>
      </c>
      <c r="D1839" s="614">
        <v>12882</v>
      </c>
      <c r="E1839" s="64" t="s">
        <v>2075</v>
      </c>
      <c r="F1839" s="64" t="s">
        <v>14066</v>
      </c>
      <c r="G1839" s="614" t="s">
        <v>626</v>
      </c>
      <c r="H1839" s="614" t="s">
        <v>682</v>
      </c>
      <c r="I1839" s="614" t="s">
        <v>1153</v>
      </c>
      <c r="J1839" s="64" t="s">
        <v>3441</v>
      </c>
      <c r="K1839" s="1940" t="s">
        <v>14067</v>
      </c>
      <c r="L1839" s="1940" t="s">
        <v>9450</v>
      </c>
      <c r="M1839" t="s">
        <v>14068</v>
      </c>
      <c r="N1839" t="s">
        <v>11165</v>
      </c>
      <c r="O1839" t="s">
        <v>14066</v>
      </c>
      <c r="P1839" s="614">
        <f>COUNTIF(EducPlans_кодНАЦИД_Спец[аФакСец],EducPlans_кодНАЦИД_Спец[[#This Row],[аФакСец]])</f>
        <v>1</v>
      </c>
    </row>
    <row r="1840" spans="3:16" x14ac:dyDescent="0.25">
      <c r="C1840" s="614">
        <v>1834</v>
      </c>
      <c r="D1840" s="614">
        <v>12882</v>
      </c>
      <c r="E1840" s="64" t="s">
        <v>2075</v>
      </c>
      <c r="F1840" s="64" t="s">
        <v>14069</v>
      </c>
      <c r="G1840" s="614" t="s">
        <v>626</v>
      </c>
      <c r="H1840" s="614" t="s">
        <v>682</v>
      </c>
      <c r="I1840" s="614" t="s">
        <v>1153</v>
      </c>
      <c r="J1840" s="64" t="s">
        <v>3436</v>
      </c>
      <c r="K1840" s="1940" t="s">
        <v>14067</v>
      </c>
      <c r="L1840" s="1940" t="s">
        <v>9449</v>
      </c>
      <c r="M1840" t="s">
        <v>12815</v>
      </c>
      <c r="N1840" t="s">
        <v>11164</v>
      </c>
      <c r="O1840" t="s">
        <v>14069</v>
      </c>
      <c r="P1840" s="614">
        <f>COUNTIF(EducPlans_кодНАЦИД_Спец[аФакСец],EducPlans_кодНАЦИД_Спец[[#This Row],[аФакСец]])</f>
        <v>2</v>
      </c>
    </row>
    <row r="1841" spans="3:16" x14ac:dyDescent="0.25">
      <c r="C1841" s="614">
        <v>1835</v>
      </c>
      <c r="D1841" s="614">
        <v>12882</v>
      </c>
      <c r="E1841" s="64" t="s">
        <v>2075</v>
      </c>
      <c r="F1841" s="64" t="s">
        <v>14070</v>
      </c>
      <c r="G1841" s="614" t="s">
        <v>626</v>
      </c>
      <c r="H1841" s="614" t="s">
        <v>682</v>
      </c>
      <c r="I1841" s="614" t="s">
        <v>1153</v>
      </c>
      <c r="J1841" s="64" t="s">
        <v>3438</v>
      </c>
      <c r="K1841" s="1940" t="s">
        <v>14067</v>
      </c>
      <c r="L1841" s="1940" t="s">
        <v>9451</v>
      </c>
      <c r="M1841" t="s">
        <v>14071</v>
      </c>
      <c r="N1841" t="s">
        <v>11166</v>
      </c>
      <c r="O1841" t="s">
        <v>14070</v>
      </c>
      <c r="P1841" s="614">
        <f>COUNTIF(EducPlans_кодНАЦИД_Спец[аФакСец],EducPlans_кодНАЦИД_Спец[[#This Row],[аФакСец]])</f>
        <v>1</v>
      </c>
    </row>
    <row r="1842" spans="3:16" x14ac:dyDescent="0.25">
      <c r="C1842" s="614">
        <v>1836</v>
      </c>
      <c r="D1842" s="614">
        <v>12882</v>
      </c>
      <c r="E1842" s="64" t="s">
        <v>2075</v>
      </c>
      <c r="F1842" s="64" t="s">
        <v>14072</v>
      </c>
      <c r="G1842" s="614" t="s">
        <v>626</v>
      </c>
      <c r="H1842" s="614" t="s">
        <v>682</v>
      </c>
      <c r="I1842" s="614" t="s">
        <v>1153</v>
      </c>
      <c r="J1842" s="64" t="s">
        <v>3439</v>
      </c>
      <c r="K1842" s="1940" t="s">
        <v>14067</v>
      </c>
      <c r="L1842" s="1940" t="s">
        <v>9452</v>
      </c>
      <c r="M1842" t="s">
        <v>14073</v>
      </c>
      <c r="N1842" t="s">
        <v>11167</v>
      </c>
      <c r="O1842" t="s">
        <v>14072</v>
      </c>
      <c r="P1842" s="614">
        <f>COUNTIF(EducPlans_кодНАЦИД_Спец[аФакСец],EducPlans_кодНАЦИД_Спец[[#This Row],[аФакСец]])</f>
        <v>1</v>
      </c>
    </row>
    <row r="1843" spans="3:16" x14ac:dyDescent="0.25">
      <c r="C1843" s="614">
        <v>1837</v>
      </c>
      <c r="D1843" s="614">
        <v>12882</v>
      </c>
      <c r="E1843" s="64" t="s">
        <v>2075</v>
      </c>
      <c r="F1843" s="64" t="s">
        <v>14074</v>
      </c>
      <c r="G1843" s="614" t="s">
        <v>626</v>
      </c>
      <c r="H1843" s="614" t="s">
        <v>682</v>
      </c>
      <c r="I1843" s="614" t="s">
        <v>1153</v>
      </c>
      <c r="J1843" s="64" t="s">
        <v>3440</v>
      </c>
      <c r="K1843" s="1940" t="s">
        <v>14067</v>
      </c>
      <c r="L1843" s="1940" t="s">
        <v>9453</v>
      </c>
      <c r="M1843" t="s">
        <v>14075</v>
      </c>
      <c r="N1843" t="s">
        <v>11168</v>
      </c>
      <c r="O1843" t="s">
        <v>14074</v>
      </c>
      <c r="P1843" s="614">
        <f>COUNTIF(EducPlans_кодНАЦИД_Спец[аФакСец],EducPlans_кодНАЦИД_Спец[[#This Row],[аФакСец]])</f>
        <v>1</v>
      </c>
    </row>
    <row r="1844" spans="3:16" x14ac:dyDescent="0.25">
      <c r="C1844" s="614">
        <v>1838</v>
      </c>
      <c r="D1844" s="614">
        <v>12884</v>
      </c>
      <c r="E1844" s="64" t="s">
        <v>2077</v>
      </c>
      <c r="F1844" s="64" t="s">
        <v>7604</v>
      </c>
      <c r="G1844" s="614" t="s">
        <v>626</v>
      </c>
      <c r="H1844" s="614" t="s">
        <v>682</v>
      </c>
      <c r="I1844" s="614" t="s">
        <v>1153</v>
      </c>
      <c r="J1844" s="64" t="s">
        <v>3442</v>
      </c>
      <c r="K1844" s="1940" t="s">
        <v>7605</v>
      </c>
      <c r="L1844" s="1940" t="s">
        <v>9454</v>
      </c>
      <c r="M1844" t="s">
        <v>12816</v>
      </c>
      <c r="N1844" t="s">
        <v>11169</v>
      </c>
      <c r="O1844" t="s">
        <v>7604</v>
      </c>
      <c r="P1844" s="614">
        <f>COUNTIF(EducPlans_кодНАЦИД_Спец[аФакСец],EducPlans_кодНАЦИД_Спец[[#This Row],[аФакСец]])</f>
        <v>1</v>
      </c>
    </row>
    <row r="1845" spans="3:16" x14ac:dyDescent="0.25">
      <c r="C1845" s="614">
        <v>1839</v>
      </c>
      <c r="D1845" s="614">
        <v>12779</v>
      </c>
      <c r="E1845" s="64" t="s">
        <v>2078</v>
      </c>
      <c r="F1845" s="64" t="s">
        <v>7606</v>
      </c>
      <c r="G1845" s="614" t="s">
        <v>626</v>
      </c>
      <c r="H1845" s="614" t="s">
        <v>682</v>
      </c>
      <c r="I1845" s="614" t="s">
        <v>1153</v>
      </c>
      <c r="J1845" s="64" t="s">
        <v>3443</v>
      </c>
      <c r="K1845" s="1940" t="s">
        <v>7607</v>
      </c>
      <c r="L1845" s="1940" t="s">
        <v>9455</v>
      </c>
      <c r="M1845" t="s">
        <v>12817</v>
      </c>
      <c r="N1845" t="s">
        <v>11170</v>
      </c>
      <c r="O1845" t="s">
        <v>7606</v>
      </c>
      <c r="P1845" s="614">
        <f>COUNTIF(EducPlans_кодНАЦИД_Спец[аФакСец],EducPlans_кодНАЦИД_Спец[[#This Row],[аФакСец]])</f>
        <v>1</v>
      </c>
    </row>
    <row r="1846" spans="3:16" x14ac:dyDescent="0.25">
      <c r="C1846" s="614">
        <v>1840</v>
      </c>
      <c r="D1846" s="614">
        <v>142244</v>
      </c>
      <c r="E1846" s="64" t="s">
        <v>14076</v>
      </c>
      <c r="F1846" s="64" t="s">
        <v>7608</v>
      </c>
      <c r="G1846" s="614" t="s">
        <v>626</v>
      </c>
      <c r="H1846" s="614" t="s">
        <v>682</v>
      </c>
      <c r="I1846" s="614" t="s">
        <v>1153</v>
      </c>
      <c r="J1846" s="64" t="s">
        <v>3445</v>
      </c>
      <c r="K1846" s="1940" t="s">
        <v>7609</v>
      </c>
      <c r="L1846" s="1940" t="s">
        <v>9456</v>
      </c>
      <c r="M1846" t="s">
        <v>14077</v>
      </c>
      <c r="N1846" t="s">
        <v>11171</v>
      </c>
      <c r="O1846" t="s">
        <v>7608</v>
      </c>
      <c r="P1846" s="614">
        <f>COUNTIF(EducPlans_кодНАЦИД_Спец[аФакСец],EducPlans_кодНАЦИД_Спец[[#This Row],[аФакСец]])</f>
        <v>1</v>
      </c>
    </row>
    <row r="1847" spans="3:16" x14ac:dyDescent="0.25">
      <c r="C1847" s="614">
        <v>1841</v>
      </c>
      <c r="D1847" s="614">
        <v>142244</v>
      </c>
      <c r="E1847" s="64" t="s">
        <v>14076</v>
      </c>
      <c r="F1847" s="64" t="s">
        <v>7610</v>
      </c>
      <c r="G1847" s="614" t="s">
        <v>626</v>
      </c>
      <c r="H1847" s="614" t="s">
        <v>682</v>
      </c>
      <c r="I1847" s="614" t="s">
        <v>1153</v>
      </c>
      <c r="J1847" s="64" t="s">
        <v>3444</v>
      </c>
      <c r="K1847" s="1940" t="s">
        <v>7609</v>
      </c>
      <c r="L1847" s="1940" t="s">
        <v>9457</v>
      </c>
      <c r="M1847" t="s">
        <v>14078</v>
      </c>
      <c r="N1847" t="s">
        <v>11172</v>
      </c>
      <c r="O1847" t="s">
        <v>7610</v>
      </c>
      <c r="P1847" s="614">
        <f>COUNTIF(EducPlans_кодНАЦИД_Спец[аФакСец],EducPlans_кодНАЦИД_Спец[[#This Row],[аФакСец]])</f>
        <v>1</v>
      </c>
    </row>
    <row r="1848" spans="3:16" x14ac:dyDescent="0.25">
      <c r="C1848" s="614">
        <v>1842</v>
      </c>
      <c r="D1848" s="614">
        <v>188282</v>
      </c>
      <c r="E1848" s="64" t="s">
        <v>14076</v>
      </c>
      <c r="F1848" s="64" t="s">
        <v>14079</v>
      </c>
      <c r="G1848" s="614" t="s">
        <v>626</v>
      </c>
      <c r="H1848" s="614" t="s">
        <v>682</v>
      </c>
      <c r="I1848" s="614" t="s">
        <v>1153</v>
      </c>
      <c r="J1848" s="64" t="s">
        <v>3446</v>
      </c>
      <c r="K1848" s="1940" t="s">
        <v>7609</v>
      </c>
      <c r="L1848" s="1940" t="s">
        <v>9458</v>
      </c>
      <c r="M1848" t="s">
        <v>14080</v>
      </c>
      <c r="N1848" t="s">
        <v>11173</v>
      </c>
      <c r="O1848" t="s">
        <v>14079</v>
      </c>
      <c r="P1848" s="614">
        <f>COUNTIF(EducPlans_кодНАЦИД_Спец[аФакСец],EducPlans_кодНАЦИД_Спец[[#This Row],[аФакСец]])</f>
        <v>1</v>
      </c>
    </row>
    <row r="1849" spans="3:16" x14ac:dyDescent="0.25">
      <c r="C1849" s="614">
        <v>1843</v>
      </c>
      <c r="D1849" s="614">
        <v>286741</v>
      </c>
      <c r="E1849" s="64" t="s">
        <v>14081</v>
      </c>
      <c r="F1849" s="64" t="s">
        <v>7611</v>
      </c>
      <c r="G1849" s="614" t="s">
        <v>626</v>
      </c>
      <c r="H1849" s="614" t="s">
        <v>682</v>
      </c>
      <c r="I1849" s="614" t="s">
        <v>1153</v>
      </c>
      <c r="J1849" s="64" t="s">
        <v>3447</v>
      </c>
      <c r="K1849" s="1940" t="s">
        <v>7612</v>
      </c>
      <c r="L1849" s="1940" t="s">
        <v>9459</v>
      </c>
      <c r="M1849" t="s">
        <v>14082</v>
      </c>
      <c r="N1849" t="s">
        <v>11174</v>
      </c>
      <c r="O1849" t="s">
        <v>7611</v>
      </c>
      <c r="P1849" s="614">
        <f>COUNTIF(EducPlans_кодНАЦИД_Спец[аФакСец],EducPlans_кодНАЦИД_Спец[[#This Row],[аФакСец]])</f>
        <v>1</v>
      </c>
    </row>
    <row r="1850" spans="3:16" x14ac:dyDescent="0.25">
      <c r="C1850" s="614">
        <v>1844</v>
      </c>
      <c r="D1850" s="614">
        <v>286741</v>
      </c>
      <c r="E1850" s="64" t="s">
        <v>14081</v>
      </c>
      <c r="F1850" s="64" t="s">
        <v>7613</v>
      </c>
      <c r="G1850" s="614" t="s">
        <v>626</v>
      </c>
      <c r="H1850" s="614" t="s">
        <v>682</v>
      </c>
      <c r="I1850" s="614" t="s">
        <v>1153</v>
      </c>
      <c r="J1850" s="64" t="s">
        <v>3448</v>
      </c>
      <c r="K1850" s="1940" t="s">
        <v>7612</v>
      </c>
      <c r="L1850" s="1940" t="s">
        <v>9460</v>
      </c>
      <c r="M1850" t="s">
        <v>14083</v>
      </c>
      <c r="N1850" t="s">
        <v>11175</v>
      </c>
      <c r="O1850" t="s">
        <v>7613</v>
      </c>
      <c r="P1850" s="614">
        <f>COUNTIF(EducPlans_кодНАЦИД_Спец[аФакСец],EducPlans_кодНАЦИД_Спец[[#This Row],[аФакСец]])</f>
        <v>1</v>
      </c>
    </row>
    <row r="1851" spans="3:16" x14ac:dyDescent="0.25">
      <c r="C1851" s="614">
        <v>1845</v>
      </c>
      <c r="D1851" s="614">
        <v>287083</v>
      </c>
      <c r="E1851" s="64" t="s">
        <v>14081</v>
      </c>
      <c r="F1851" s="64" t="s">
        <v>14084</v>
      </c>
      <c r="G1851" s="614" t="s">
        <v>626</v>
      </c>
      <c r="H1851" s="614" t="s">
        <v>682</v>
      </c>
      <c r="I1851" s="614" t="s">
        <v>1153</v>
      </c>
      <c r="J1851" s="64" t="s">
        <v>3449</v>
      </c>
      <c r="K1851" s="1940" t="s">
        <v>7612</v>
      </c>
      <c r="L1851" s="1940" t="s">
        <v>9461</v>
      </c>
      <c r="M1851" t="s">
        <v>14085</v>
      </c>
      <c r="N1851" t="s">
        <v>11176</v>
      </c>
      <c r="O1851" t="s">
        <v>14084</v>
      </c>
      <c r="P1851" s="614">
        <f>COUNTIF(EducPlans_кодНАЦИД_Спец[аФакСец],EducPlans_кодНАЦИД_Спец[[#This Row],[аФакСец]])</f>
        <v>1</v>
      </c>
    </row>
    <row r="1852" spans="3:16" x14ac:dyDescent="0.25">
      <c r="C1852" s="614">
        <v>1846</v>
      </c>
      <c r="D1852" s="614">
        <v>287083</v>
      </c>
      <c r="E1852" s="64" t="s">
        <v>14081</v>
      </c>
      <c r="F1852" s="64" t="s">
        <v>14086</v>
      </c>
      <c r="G1852" s="614" t="s">
        <v>626</v>
      </c>
      <c r="H1852" s="614" t="s">
        <v>682</v>
      </c>
      <c r="I1852" s="614" t="s">
        <v>1153</v>
      </c>
      <c r="J1852" s="64" t="s">
        <v>3450</v>
      </c>
      <c r="K1852" s="1940" t="s">
        <v>7612</v>
      </c>
      <c r="L1852" s="1940" t="s">
        <v>9462</v>
      </c>
      <c r="M1852" t="s">
        <v>14087</v>
      </c>
      <c r="N1852" t="s">
        <v>11177</v>
      </c>
      <c r="O1852" t="s">
        <v>14086</v>
      </c>
      <c r="P1852" s="614">
        <f>COUNTIF(EducPlans_кодНАЦИД_Спец[аФакСец],EducPlans_кодНАЦИД_Спец[[#This Row],[аФакСец]])</f>
        <v>1</v>
      </c>
    </row>
    <row r="1853" spans="3:16" x14ac:dyDescent="0.25">
      <c r="C1853" s="614">
        <v>1847</v>
      </c>
      <c r="D1853" s="614">
        <v>287084</v>
      </c>
      <c r="E1853" s="64" t="s">
        <v>2083</v>
      </c>
      <c r="F1853" s="64" t="s">
        <v>7614</v>
      </c>
      <c r="G1853" s="614" t="s">
        <v>626</v>
      </c>
      <c r="H1853" s="614" t="s">
        <v>682</v>
      </c>
      <c r="I1853" s="614" t="s">
        <v>1153</v>
      </c>
      <c r="J1853" s="64" t="s">
        <v>3452</v>
      </c>
      <c r="K1853" s="1940" t="s">
        <v>7615</v>
      </c>
      <c r="L1853" s="1940" t="s">
        <v>9463</v>
      </c>
      <c r="M1853" t="s">
        <v>12818</v>
      </c>
      <c r="N1853" t="s">
        <v>11178</v>
      </c>
      <c r="O1853" t="s">
        <v>7614</v>
      </c>
      <c r="P1853" s="614">
        <f>COUNTIF(EducPlans_кодНАЦИД_Спец[аФакСец],EducPlans_кодНАЦИД_Спец[[#This Row],[аФакСец]])</f>
        <v>1</v>
      </c>
    </row>
    <row r="1854" spans="3:16" x14ac:dyDescent="0.25">
      <c r="C1854" s="614">
        <v>1848</v>
      </c>
      <c r="D1854" s="614">
        <v>287084</v>
      </c>
      <c r="E1854" s="64" t="s">
        <v>2083</v>
      </c>
      <c r="F1854" s="64" t="s">
        <v>7616</v>
      </c>
      <c r="G1854" s="614" t="s">
        <v>626</v>
      </c>
      <c r="H1854" s="614" t="s">
        <v>682</v>
      </c>
      <c r="I1854" s="614" t="s">
        <v>1153</v>
      </c>
      <c r="J1854" s="64" t="s">
        <v>3451</v>
      </c>
      <c r="K1854" s="1940" t="s">
        <v>7615</v>
      </c>
      <c r="L1854" s="1940" t="s">
        <v>9464</v>
      </c>
      <c r="M1854" t="s">
        <v>12819</v>
      </c>
      <c r="N1854" t="s">
        <v>11179</v>
      </c>
      <c r="O1854" t="s">
        <v>7616</v>
      </c>
      <c r="P1854" s="614">
        <f>COUNTIF(EducPlans_кодНАЦИД_Спец[аФакСец],EducPlans_кодНАЦИД_Спец[[#This Row],[аФакСец]])</f>
        <v>1</v>
      </c>
    </row>
    <row r="1855" spans="3:16" x14ac:dyDescent="0.25">
      <c r="C1855" s="614">
        <v>1849</v>
      </c>
      <c r="D1855" s="614">
        <v>12872</v>
      </c>
      <c r="E1855" s="64" t="s">
        <v>2086</v>
      </c>
      <c r="F1855" s="64" t="s">
        <v>7617</v>
      </c>
      <c r="G1855" s="614" t="s">
        <v>626</v>
      </c>
      <c r="H1855" s="614" t="s">
        <v>682</v>
      </c>
      <c r="I1855" s="614" t="s">
        <v>1153</v>
      </c>
      <c r="J1855" s="64" t="s">
        <v>3454</v>
      </c>
      <c r="K1855" s="1940" t="s">
        <v>7618</v>
      </c>
      <c r="L1855" s="1940" t="s">
        <v>9465</v>
      </c>
      <c r="M1855" t="s">
        <v>12820</v>
      </c>
      <c r="N1855" t="s">
        <v>11180</v>
      </c>
      <c r="O1855" t="s">
        <v>7617</v>
      </c>
      <c r="P1855" s="614">
        <f>COUNTIF(EducPlans_кодНАЦИД_Спец[аФакСец],EducPlans_кодНАЦИД_Спец[[#This Row],[аФакСец]])</f>
        <v>2</v>
      </c>
    </row>
    <row r="1856" spans="3:16" x14ac:dyDescent="0.25">
      <c r="C1856" s="614">
        <v>1850</v>
      </c>
      <c r="D1856" s="614">
        <v>12871</v>
      </c>
      <c r="E1856" s="64" t="s">
        <v>2087</v>
      </c>
      <c r="F1856" s="64" t="s">
        <v>7619</v>
      </c>
      <c r="G1856" s="614" t="s">
        <v>626</v>
      </c>
      <c r="H1856" s="614" t="s">
        <v>682</v>
      </c>
      <c r="I1856" s="614" t="s">
        <v>1153</v>
      </c>
      <c r="J1856" s="64" t="s">
        <v>3456</v>
      </c>
      <c r="K1856" s="1940" t="s">
        <v>7620</v>
      </c>
      <c r="L1856" s="1940" t="s">
        <v>9466</v>
      </c>
      <c r="M1856" t="s">
        <v>12821</v>
      </c>
      <c r="N1856" t="s">
        <v>11181</v>
      </c>
      <c r="O1856" t="s">
        <v>7619</v>
      </c>
      <c r="P1856" s="614">
        <f>COUNTIF(EducPlans_кодНАЦИД_Спец[аФакСец],EducPlans_кодНАЦИД_Спец[[#This Row],[аФакСец]])</f>
        <v>2</v>
      </c>
    </row>
    <row r="1857" spans="3:16" x14ac:dyDescent="0.25">
      <c r="C1857" s="614">
        <v>1851</v>
      </c>
      <c r="D1857" s="614">
        <v>12850</v>
      </c>
      <c r="E1857" s="64" t="s">
        <v>2088</v>
      </c>
      <c r="F1857" s="64" t="s">
        <v>7621</v>
      </c>
      <c r="G1857" s="614" t="s">
        <v>626</v>
      </c>
      <c r="H1857" s="614" t="s">
        <v>682</v>
      </c>
      <c r="I1857" s="614" t="s">
        <v>1153</v>
      </c>
      <c r="J1857" s="64" t="s">
        <v>3456</v>
      </c>
      <c r="K1857" s="1940" t="s">
        <v>7622</v>
      </c>
      <c r="L1857" s="1940" t="s">
        <v>9466</v>
      </c>
      <c r="M1857" t="s">
        <v>12822</v>
      </c>
      <c r="N1857" t="s">
        <v>11181</v>
      </c>
      <c r="O1857" t="s">
        <v>7621</v>
      </c>
      <c r="P1857" s="614">
        <f>COUNTIF(EducPlans_кодНАЦИД_Спец[аФакСец],EducPlans_кодНАЦИД_Спец[[#This Row],[аФакСец]])</f>
        <v>2</v>
      </c>
    </row>
    <row r="1858" spans="3:16" x14ac:dyDescent="0.25">
      <c r="C1858" s="614">
        <v>1852</v>
      </c>
      <c r="D1858" s="614">
        <v>12850</v>
      </c>
      <c r="E1858" s="64" t="s">
        <v>2088</v>
      </c>
      <c r="F1858" s="64" t="s">
        <v>7623</v>
      </c>
      <c r="G1858" s="614" t="s">
        <v>626</v>
      </c>
      <c r="H1858" s="614" t="s">
        <v>682</v>
      </c>
      <c r="I1858" s="614" t="s">
        <v>1153</v>
      </c>
      <c r="J1858" s="64" t="s">
        <v>3458</v>
      </c>
      <c r="K1858" s="1940" t="s">
        <v>7622</v>
      </c>
      <c r="L1858" s="1940" t="s">
        <v>9467</v>
      </c>
      <c r="M1858" t="s">
        <v>12823</v>
      </c>
      <c r="N1858" t="s">
        <v>11182</v>
      </c>
      <c r="O1858" t="s">
        <v>7623</v>
      </c>
      <c r="P1858" s="614">
        <f>COUNTIF(EducPlans_кодНАЦИД_Спец[аФакСец],EducPlans_кодНАЦИД_Спец[[#This Row],[аФакСец]])</f>
        <v>1</v>
      </c>
    </row>
    <row r="1859" spans="3:16" x14ac:dyDescent="0.25">
      <c r="C1859" s="614">
        <v>1853</v>
      </c>
      <c r="D1859" s="614">
        <v>12840</v>
      </c>
      <c r="E1859" s="64" t="s">
        <v>2090</v>
      </c>
      <c r="F1859" s="64" t="s">
        <v>7624</v>
      </c>
      <c r="G1859" s="614" t="s">
        <v>626</v>
      </c>
      <c r="H1859" s="614" t="s">
        <v>682</v>
      </c>
      <c r="I1859" s="614" t="s">
        <v>1153</v>
      </c>
      <c r="J1859" s="64" t="s">
        <v>3454</v>
      </c>
      <c r="K1859" s="1940" t="s">
        <v>7625</v>
      </c>
      <c r="L1859" s="1940" t="s">
        <v>9465</v>
      </c>
      <c r="M1859" t="s">
        <v>12824</v>
      </c>
      <c r="N1859" t="s">
        <v>11180</v>
      </c>
      <c r="O1859" t="s">
        <v>7624</v>
      </c>
      <c r="P1859" s="614">
        <f>COUNTIF(EducPlans_кодНАЦИД_Спец[аФакСец],EducPlans_кодНАЦИД_Спец[[#This Row],[аФакСец]])</f>
        <v>2</v>
      </c>
    </row>
    <row r="1860" spans="3:16" x14ac:dyDescent="0.25">
      <c r="C1860" s="614">
        <v>1854</v>
      </c>
      <c r="D1860" s="614">
        <v>12840</v>
      </c>
      <c r="E1860" s="64" t="s">
        <v>2090</v>
      </c>
      <c r="F1860" s="64" t="s">
        <v>7626</v>
      </c>
      <c r="G1860" s="614" t="s">
        <v>626</v>
      </c>
      <c r="H1860" s="614" t="s">
        <v>682</v>
      </c>
      <c r="I1860" s="614" t="s">
        <v>1153</v>
      </c>
      <c r="J1860" s="64" t="s">
        <v>3460</v>
      </c>
      <c r="K1860" s="1940" t="s">
        <v>7625</v>
      </c>
      <c r="L1860" s="1940" t="s">
        <v>9468</v>
      </c>
      <c r="M1860" t="s">
        <v>12825</v>
      </c>
      <c r="N1860" t="s">
        <v>11183</v>
      </c>
      <c r="O1860" t="s">
        <v>7626</v>
      </c>
      <c r="P1860" s="614">
        <f>COUNTIF(EducPlans_кодНАЦИД_Спец[аФакСец],EducPlans_кодНАЦИД_Спец[[#This Row],[аФакСец]])</f>
        <v>1</v>
      </c>
    </row>
    <row r="1861" spans="3:16" x14ac:dyDescent="0.25">
      <c r="C1861" s="614">
        <v>1855</v>
      </c>
      <c r="D1861" s="614">
        <v>12840</v>
      </c>
      <c r="E1861" s="64" t="s">
        <v>2090</v>
      </c>
      <c r="F1861" s="64" t="s">
        <v>7627</v>
      </c>
      <c r="G1861" s="614" t="s">
        <v>626</v>
      </c>
      <c r="H1861" s="614" t="s">
        <v>682</v>
      </c>
      <c r="I1861" s="614" t="s">
        <v>1153</v>
      </c>
      <c r="J1861" s="64" t="s">
        <v>3461</v>
      </c>
      <c r="K1861" s="1940" t="s">
        <v>7625</v>
      </c>
      <c r="L1861" s="1940" t="s">
        <v>9469</v>
      </c>
      <c r="M1861" t="s">
        <v>12826</v>
      </c>
      <c r="N1861" t="s">
        <v>11184</v>
      </c>
      <c r="O1861" t="s">
        <v>7627</v>
      </c>
      <c r="P1861" s="614">
        <f>COUNTIF(EducPlans_кодНАЦИД_Спец[аФакСец],EducPlans_кодНАЦИД_Спец[[#This Row],[аФакСец]])</f>
        <v>1</v>
      </c>
    </row>
    <row r="1862" spans="3:16" x14ac:dyDescent="0.25">
      <c r="C1862" s="614">
        <v>1856</v>
      </c>
      <c r="D1862" s="614">
        <v>11925</v>
      </c>
      <c r="E1862" s="64" t="s">
        <v>2156</v>
      </c>
      <c r="F1862" s="64" t="s">
        <v>7628</v>
      </c>
      <c r="G1862" s="614" t="s">
        <v>628</v>
      </c>
      <c r="H1862" s="614" t="s">
        <v>681</v>
      </c>
      <c r="I1862" s="614" t="s">
        <v>1153</v>
      </c>
      <c r="J1862" s="64" t="s">
        <v>4274</v>
      </c>
      <c r="K1862" s="1940" t="s">
        <v>7629</v>
      </c>
      <c r="L1862" s="1940" t="s">
        <v>9470</v>
      </c>
      <c r="M1862" t="s">
        <v>12827</v>
      </c>
      <c r="N1862" t="s">
        <v>11185</v>
      </c>
      <c r="O1862" t="s">
        <v>7628</v>
      </c>
      <c r="P1862" s="614">
        <f>COUNTIF(EducPlans_кодНАЦИД_Спец[аФакСец],EducPlans_кодНАЦИД_Спец[[#This Row],[аФакСец]])</f>
        <v>1</v>
      </c>
    </row>
    <row r="1863" spans="3:16" x14ac:dyDescent="0.25">
      <c r="C1863" s="614">
        <v>1857</v>
      </c>
      <c r="D1863" s="614">
        <v>11624</v>
      </c>
      <c r="E1863" s="64" t="s">
        <v>1491</v>
      </c>
      <c r="F1863" s="64" t="s">
        <v>7630</v>
      </c>
      <c r="G1863" s="614" t="s">
        <v>33</v>
      </c>
      <c r="H1863" s="614" t="s">
        <v>682</v>
      </c>
      <c r="I1863" s="614" t="s">
        <v>1153</v>
      </c>
      <c r="J1863" s="64" t="s">
        <v>3635</v>
      </c>
      <c r="K1863" s="1940" t="s">
        <v>7631</v>
      </c>
      <c r="L1863" s="1940" t="s">
        <v>9471</v>
      </c>
      <c r="M1863" t="s">
        <v>12828</v>
      </c>
      <c r="N1863" t="s">
        <v>11186</v>
      </c>
      <c r="O1863" t="s">
        <v>7630</v>
      </c>
      <c r="P1863" s="614">
        <f>COUNTIF(EducPlans_кодНАЦИД_Спец[аФакСец],EducPlans_кодНАЦИД_Спец[[#This Row],[аФакСец]])</f>
        <v>1</v>
      </c>
    </row>
    <row r="1864" spans="3:16" x14ac:dyDescent="0.25">
      <c r="C1864" s="614">
        <v>1858</v>
      </c>
      <c r="D1864" s="614">
        <v>11624</v>
      </c>
      <c r="E1864" s="64" t="s">
        <v>1491</v>
      </c>
      <c r="F1864" s="64" t="s">
        <v>7632</v>
      </c>
      <c r="G1864" s="614" t="s">
        <v>33</v>
      </c>
      <c r="H1864" s="614" t="s">
        <v>682</v>
      </c>
      <c r="I1864" s="614" t="s">
        <v>1153</v>
      </c>
      <c r="J1864" s="64" t="s">
        <v>3634</v>
      </c>
      <c r="K1864" s="1940" t="s">
        <v>7631</v>
      </c>
      <c r="L1864" s="1940" t="s">
        <v>9472</v>
      </c>
      <c r="M1864" t="s">
        <v>12829</v>
      </c>
      <c r="N1864" t="s">
        <v>11187</v>
      </c>
      <c r="O1864" t="s">
        <v>7632</v>
      </c>
      <c r="P1864" s="614">
        <f>COUNTIF(EducPlans_кодНАЦИД_Спец[аФакСец],EducPlans_кодНАЦИД_Спец[[#This Row],[аФакСец]])</f>
        <v>1</v>
      </c>
    </row>
    <row r="1865" spans="3:16" x14ac:dyDescent="0.25">
      <c r="C1865" s="614">
        <v>1859</v>
      </c>
      <c r="D1865" s="614">
        <v>11620</v>
      </c>
      <c r="E1865" s="64" t="s">
        <v>1492</v>
      </c>
      <c r="F1865" s="64" t="s">
        <v>7633</v>
      </c>
      <c r="G1865" s="614" t="s">
        <v>33</v>
      </c>
      <c r="H1865" s="614" t="s">
        <v>682</v>
      </c>
      <c r="I1865" s="614" t="s">
        <v>1153</v>
      </c>
      <c r="J1865" s="64" t="s">
        <v>7634</v>
      </c>
      <c r="K1865" s="1940" t="s">
        <v>7635</v>
      </c>
      <c r="L1865" s="1940" t="s">
        <v>9473</v>
      </c>
      <c r="M1865" t="s">
        <v>12830</v>
      </c>
      <c r="N1865" t="s">
        <v>11188</v>
      </c>
      <c r="O1865" t="s">
        <v>7633</v>
      </c>
      <c r="P1865" s="614">
        <f>COUNTIF(EducPlans_кодНАЦИД_Спец[аФакСец],EducPlans_кодНАЦИД_Спец[[#This Row],[аФакСец]])</f>
        <v>1</v>
      </c>
    </row>
    <row r="1866" spans="3:16" x14ac:dyDescent="0.25">
      <c r="C1866" s="614">
        <v>1860</v>
      </c>
      <c r="D1866" s="614">
        <v>11620</v>
      </c>
      <c r="E1866" s="64" t="s">
        <v>1492</v>
      </c>
      <c r="F1866" s="64" t="s">
        <v>7636</v>
      </c>
      <c r="G1866" s="614" t="s">
        <v>33</v>
      </c>
      <c r="H1866" s="614" t="s">
        <v>682</v>
      </c>
      <c r="I1866" s="614" t="s">
        <v>1153</v>
      </c>
      <c r="J1866" s="64" t="s">
        <v>7637</v>
      </c>
      <c r="K1866" s="1940" t="s">
        <v>7635</v>
      </c>
      <c r="L1866" s="1940" t="s">
        <v>9474</v>
      </c>
      <c r="M1866" t="s">
        <v>12831</v>
      </c>
      <c r="N1866" t="s">
        <v>11189</v>
      </c>
      <c r="O1866" t="s">
        <v>7636</v>
      </c>
      <c r="P1866" s="614">
        <f>COUNTIF(EducPlans_кодНАЦИД_Спец[аФакСец],EducPlans_кодНАЦИД_Спец[[#This Row],[аФакСец]])</f>
        <v>1</v>
      </c>
    </row>
    <row r="1867" spans="3:16" x14ac:dyDescent="0.25">
      <c r="C1867" s="614">
        <v>1861</v>
      </c>
      <c r="D1867" s="614">
        <v>11510</v>
      </c>
      <c r="E1867" s="64" t="s">
        <v>1493</v>
      </c>
      <c r="F1867" s="64" t="s">
        <v>7638</v>
      </c>
      <c r="G1867" s="614" t="s">
        <v>33</v>
      </c>
      <c r="H1867" s="614" t="s">
        <v>681</v>
      </c>
      <c r="I1867" s="614" t="s">
        <v>1153</v>
      </c>
      <c r="J1867" s="64" t="s">
        <v>3637</v>
      </c>
      <c r="K1867" s="1940" t="s">
        <v>7639</v>
      </c>
      <c r="L1867" s="1940" t="s">
        <v>9475</v>
      </c>
      <c r="M1867" t="s">
        <v>12832</v>
      </c>
      <c r="N1867" t="s">
        <v>11190</v>
      </c>
      <c r="O1867" t="s">
        <v>7638</v>
      </c>
      <c r="P1867" s="614">
        <f>COUNTIF(EducPlans_кодНАЦИД_Спец[аФакСец],EducPlans_кодНАЦИД_Спец[[#This Row],[аФакСец]])</f>
        <v>1</v>
      </c>
    </row>
    <row r="1868" spans="3:16" x14ac:dyDescent="0.25">
      <c r="C1868" s="614">
        <v>1862</v>
      </c>
      <c r="D1868" s="614">
        <v>11510</v>
      </c>
      <c r="E1868" s="64" t="s">
        <v>1493</v>
      </c>
      <c r="F1868" s="64" t="s">
        <v>7640</v>
      </c>
      <c r="G1868" s="614" t="s">
        <v>33</v>
      </c>
      <c r="H1868" s="614" t="s">
        <v>681</v>
      </c>
      <c r="I1868" s="614" t="s">
        <v>1153</v>
      </c>
      <c r="J1868" s="64" t="s">
        <v>3636</v>
      </c>
      <c r="K1868" s="1940" t="s">
        <v>7639</v>
      </c>
      <c r="L1868" s="1940" t="s">
        <v>9476</v>
      </c>
      <c r="M1868" t="s">
        <v>12833</v>
      </c>
      <c r="N1868" t="s">
        <v>11191</v>
      </c>
      <c r="O1868" t="s">
        <v>7640</v>
      </c>
      <c r="P1868" s="614">
        <f>COUNTIF(EducPlans_кодНАЦИД_Спец[аФакСец],EducPlans_кодНАЦИД_Спец[[#This Row],[аФакСец]])</f>
        <v>1</v>
      </c>
    </row>
    <row r="1869" spans="3:16" x14ac:dyDescent="0.25">
      <c r="C1869" s="614">
        <v>1863</v>
      </c>
      <c r="D1869" s="614">
        <v>1001241</v>
      </c>
      <c r="E1869" s="64" t="s">
        <v>2196</v>
      </c>
      <c r="F1869" s="64" t="s">
        <v>14088</v>
      </c>
      <c r="G1869" s="614" t="s">
        <v>29</v>
      </c>
      <c r="H1869" s="614" t="s">
        <v>682</v>
      </c>
      <c r="I1869" s="614" t="s">
        <v>1153</v>
      </c>
      <c r="J1869" s="64" t="s">
        <v>14089</v>
      </c>
      <c r="K1869" s="1940" t="s">
        <v>7644</v>
      </c>
      <c r="L1869" s="1940" t="s">
        <v>14090</v>
      </c>
      <c r="M1869" t="s">
        <v>14091</v>
      </c>
      <c r="N1869" t="s">
        <v>14092</v>
      </c>
      <c r="O1869" t="s">
        <v>14088</v>
      </c>
      <c r="P1869" s="614">
        <f>COUNTIF(EducPlans_кодНАЦИД_Спец[аФакСец],EducPlans_кодНАЦИД_Спец[[#This Row],[аФакСец]])</f>
        <v>1</v>
      </c>
    </row>
    <row r="1870" spans="3:16" x14ac:dyDescent="0.25">
      <c r="C1870" s="614">
        <v>1864</v>
      </c>
      <c r="D1870" s="614">
        <v>12120</v>
      </c>
      <c r="E1870" s="64" t="s">
        <v>2196</v>
      </c>
      <c r="F1870" s="64" t="s">
        <v>7641</v>
      </c>
      <c r="G1870" s="614" t="s">
        <v>29</v>
      </c>
      <c r="H1870" s="614" t="s">
        <v>682</v>
      </c>
      <c r="I1870" s="614" t="s">
        <v>1153</v>
      </c>
      <c r="J1870" s="64" t="s">
        <v>4180</v>
      </c>
      <c r="K1870" s="1940" t="s">
        <v>7642</v>
      </c>
      <c r="L1870" s="1940" t="s">
        <v>9477</v>
      </c>
      <c r="M1870" t="s">
        <v>12834</v>
      </c>
      <c r="N1870" t="s">
        <v>11192</v>
      </c>
      <c r="O1870" t="s">
        <v>7641</v>
      </c>
      <c r="P1870" s="614">
        <f>COUNTIF(EducPlans_кодНАЦИД_Спец[аФакСец],EducPlans_кодНАЦИД_Спец[[#This Row],[аФакСец]])</f>
        <v>2</v>
      </c>
    </row>
    <row r="1871" spans="3:16" x14ac:dyDescent="0.25">
      <c r="C1871" s="614">
        <v>1865</v>
      </c>
      <c r="D1871" s="614">
        <v>12138</v>
      </c>
      <c r="E1871" s="64" t="s">
        <v>2196</v>
      </c>
      <c r="F1871" s="64" t="s">
        <v>7643</v>
      </c>
      <c r="G1871" s="614" t="s">
        <v>29</v>
      </c>
      <c r="H1871" s="614" t="s">
        <v>682</v>
      </c>
      <c r="I1871" s="614" t="s">
        <v>1153</v>
      </c>
      <c r="J1871" s="64" t="s">
        <v>4180</v>
      </c>
      <c r="K1871" s="1940" t="s">
        <v>7644</v>
      </c>
      <c r="L1871" s="1940" t="s">
        <v>9477</v>
      </c>
      <c r="M1871" t="s">
        <v>12834</v>
      </c>
      <c r="N1871" t="s">
        <v>11192</v>
      </c>
      <c r="O1871" t="s">
        <v>7643</v>
      </c>
      <c r="P1871" s="614">
        <f>COUNTIF(EducPlans_кодНАЦИД_Спец[аФакСец],EducPlans_кодНАЦИД_Спец[[#This Row],[аФакСец]])</f>
        <v>2</v>
      </c>
    </row>
    <row r="1872" spans="3:16" x14ac:dyDescent="0.25">
      <c r="C1872" s="614">
        <v>1866</v>
      </c>
      <c r="D1872" s="614">
        <v>11077</v>
      </c>
      <c r="E1872" s="64" t="s">
        <v>926</v>
      </c>
      <c r="F1872" s="64" t="s">
        <v>7645</v>
      </c>
      <c r="G1872" s="614" t="s">
        <v>48</v>
      </c>
      <c r="H1872" s="614" t="s">
        <v>681</v>
      </c>
      <c r="I1872" s="614" t="s">
        <v>1153</v>
      </c>
      <c r="J1872" s="64" t="s">
        <v>927</v>
      </c>
      <c r="K1872" s="1940" t="s">
        <v>7646</v>
      </c>
      <c r="L1872" s="1940" t="s">
        <v>9478</v>
      </c>
      <c r="M1872" t="s">
        <v>12835</v>
      </c>
      <c r="N1872" t="s">
        <v>11193</v>
      </c>
      <c r="O1872" t="s">
        <v>7645</v>
      </c>
      <c r="P1872" s="614">
        <f>COUNTIF(EducPlans_кодНАЦИД_Спец[аФакСец],EducPlans_кодНАЦИД_Спец[[#This Row],[аФакСец]])</f>
        <v>1</v>
      </c>
    </row>
    <row r="1873" spans="3:16" x14ac:dyDescent="0.25">
      <c r="C1873" s="614">
        <v>1867</v>
      </c>
      <c r="D1873" s="614">
        <v>12060</v>
      </c>
      <c r="E1873" s="64" t="s">
        <v>2197</v>
      </c>
      <c r="F1873" s="64" t="s">
        <v>7647</v>
      </c>
      <c r="G1873" s="614" t="s">
        <v>29</v>
      </c>
      <c r="H1873" s="614" t="s">
        <v>681</v>
      </c>
      <c r="I1873" s="614" t="s">
        <v>1153</v>
      </c>
      <c r="J1873" s="64" t="s">
        <v>4182</v>
      </c>
      <c r="K1873" s="1940" t="s">
        <v>7648</v>
      </c>
      <c r="L1873" s="1940" t="s">
        <v>9479</v>
      </c>
      <c r="M1873" t="s">
        <v>12836</v>
      </c>
      <c r="N1873" t="s">
        <v>11194</v>
      </c>
      <c r="O1873" t="s">
        <v>7647</v>
      </c>
      <c r="P1873" s="614">
        <f>COUNTIF(EducPlans_кодНАЦИД_Спец[аФакСец],EducPlans_кодНАЦИД_Спец[[#This Row],[аФакСец]])</f>
        <v>1</v>
      </c>
    </row>
    <row r="1874" spans="3:16" x14ac:dyDescent="0.25">
      <c r="C1874" s="614">
        <v>1868</v>
      </c>
      <c r="D1874" s="614">
        <v>12062</v>
      </c>
      <c r="E1874" s="64" t="s">
        <v>2197</v>
      </c>
      <c r="F1874" s="64" t="s">
        <v>7649</v>
      </c>
      <c r="G1874" s="614" t="s">
        <v>29</v>
      </c>
      <c r="H1874" s="614" t="s">
        <v>681</v>
      </c>
      <c r="I1874" s="614" t="s">
        <v>1149</v>
      </c>
      <c r="J1874" s="64" t="s">
        <v>4181</v>
      </c>
      <c r="K1874" s="1940" t="s">
        <v>7650</v>
      </c>
      <c r="L1874" s="1940" t="s">
        <v>9480</v>
      </c>
      <c r="M1874" t="s">
        <v>12837</v>
      </c>
      <c r="N1874" t="s">
        <v>11195</v>
      </c>
      <c r="O1874" t="s">
        <v>7649</v>
      </c>
      <c r="P1874" s="614">
        <f>COUNTIF(EducPlans_кодНАЦИД_Спец[аФакСец],EducPlans_кодНАЦИД_Спец[[#This Row],[аФакСец]])</f>
        <v>1</v>
      </c>
    </row>
    <row r="1875" spans="3:16" x14ac:dyDescent="0.25">
      <c r="C1875" s="614">
        <v>1869</v>
      </c>
      <c r="D1875" s="614">
        <v>457733</v>
      </c>
      <c r="E1875" s="64" t="s">
        <v>14093</v>
      </c>
      <c r="F1875" s="64" t="s">
        <v>14094</v>
      </c>
      <c r="G1875" s="614" t="s">
        <v>29</v>
      </c>
      <c r="H1875" s="614" t="s">
        <v>682</v>
      </c>
      <c r="I1875" s="614" t="s">
        <v>1153</v>
      </c>
      <c r="J1875" s="64" t="s">
        <v>14095</v>
      </c>
      <c r="K1875" s="1940" t="s">
        <v>7652</v>
      </c>
      <c r="L1875" s="1940" t="s">
        <v>14096</v>
      </c>
      <c r="M1875" t="s">
        <v>14097</v>
      </c>
      <c r="N1875" t="s">
        <v>14098</v>
      </c>
      <c r="O1875" t="s">
        <v>14094</v>
      </c>
      <c r="P1875" s="614">
        <f>COUNTIF(EducPlans_кодНАЦИД_Спец[аФакСец],EducPlans_кодНАЦИД_Спец[[#This Row],[аФакСец]])</f>
        <v>1</v>
      </c>
    </row>
    <row r="1876" spans="3:16" x14ac:dyDescent="0.25">
      <c r="C1876" s="614">
        <v>1870</v>
      </c>
      <c r="D1876" s="614">
        <v>457732</v>
      </c>
      <c r="E1876" s="64" t="s">
        <v>7653</v>
      </c>
      <c r="F1876" s="64" t="s">
        <v>7654</v>
      </c>
      <c r="G1876" s="614" t="s">
        <v>29</v>
      </c>
      <c r="H1876" s="614" t="s">
        <v>682</v>
      </c>
      <c r="I1876" s="614" t="s">
        <v>1153</v>
      </c>
      <c r="J1876" s="64" t="s">
        <v>7655</v>
      </c>
      <c r="K1876" s="1940" t="s">
        <v>7656</v>
      </c>
      <c r="L1876" s="1940" t="s">
        <v>9481</v>
      </c>
      <c r="M1876" t="s">
        <v>12838</v>
      </c>
      <c r="N1876" t="s">
        <v>11196</v>
      </c>
      <c r="O1876" t="s">
        <v>7654</v>
      </c>
      <c r="P1876" s="614">
        <f>COUNTIF(EducPlans_кодНАЦИД_Спец[аФакСец],EducPlans_кодНАЦИД_Спец[[#This Row],[аФакСец]])</f>
        <v>1</v>
      </c>
    </row>
    <row r="1877" spans="3:16" x14ac:dyDescent="0.25">
      <c r="C1877" s="614">
        <v>1871</v>
      </c>
      <c r="D1877" s="614">
        <v>12055</v>
      </c>
      <c r="E1877" s="64" t="s">
        <v>1350</v>
      </c>
      <c r="F1877" s="64" t="s">
        <v>7657</v>
      </c>
      <c r="G1877" s="614" t="s">
        <v>29</v>
      </c>
      <c r="H1877" s="614" t="s">
        <v>681</v>
      </c>
      <c r="I1877" s="614" t="s">
        <v>1153</v>
      </c>
      <c r="J1877" s="64" t="s">
        <v>4184</v>
      </c>
      <c r="K1877" s="1940" t="s">
        <v>7658</v>
      </c>
      <c r="L1877" s="1940" t="s">
        <v>9482</v>
      </c>
      <c r="M1877" t="s">
        <v>12839</v>
      </c>
      <c r="N1877" t="s">
        <v>11197</v>
      </c>
      <c r="O1877" t="s">
        <v>7657</v>
      </c>
      <c r="P1877" s="614">
        <f>COUNTIF(EducPlans_кодНАЦИД_Спец[аФакСец],EducPlans_кодНАЦИД_Спец[[#This Row],[аФакСец]])</f>
        <v>1</v>
      </c>
    </row>
    <row r="1878" spans="3:16" x14ac:dyDescent="0.25">
      <c r="C1878" s="614">
        <v>1872</v>
      </c>
      <c r="D1878" s="614">
        <v>12050</v>
      </c>
      <c r="E1878" s="64" t="s">
        <v>1351</v>
      </c>
      <c r="F1878" s="64" t="s">
        <v>7659</v>
      </c>
      <c r="G1878" s="614" t="s">
        <v>29</v>
      </c>
      <c r="H1878" s="614" t="s">
        <v>681</v>
      </c>
      <c r="I1878" s="614" t="s">
        <v>1153</v>
      </c>
      <c r="J1878" s="64" t="s">
        <v>4185</v>
      </c>
      <c r="K1878" s="1940" t="s">
        <v>7660</v>
      </c>
      <c r="L1878" s="1940" t="s">
        <v>9483</v>
      </c>
      <c r="M1878" t="s">
        <v>12840</v>
      </c>
      <c r="N1878" t="s">
        <v>11198</v>
      </c>
      <c r="O1878" t="s">
        <v>7659</v>
      </c>
      <c r="P1878" s="614">
        <f>COUNTIF(EducPlans_кодНАЦИД_Спец[аФакСец],EducPlans_кодНАЦИД_Спец[[#This Row],[аФакСец]])</f>
        <v>1</v>
      </c>
    </row>
    <row r="1879" spans="3:16" x14ac:dyDescent="0.25">
      <c r="C1879" s="614">
        <v>1873</v>
      </c>
      <c r="D1879" s="614">
        <v>11491</v>
      </c>
      <c r="E1879" s="64" t="s">
        <v>1642</v>
      </c>
      <c r="F1879" s="64" t="s">
        <v>7663</v>
      </c>
      <c r="G1879" s="614" t="s">
        <v>2788</v>
      </c>
      <c r="H1879" s="614" t="s">
        <v>682</v>
      </c>
      <c r="I1879" s="614" t="s">
        <v>1149</v>
      </c>
      <c r="J1879" s="64" t="s">
        <v>4359</v>
      </c>
      <c r="K1879" s="1940" t="s">
        <v>7664</v>
      </c>
      <c r="L1879" s="1940" t="s">
        <v>9485</v>
      </c>
      <c r="M1879" t="s">
        <v>12841</v>
      </c>
      <c r="N1879" t="s">
        <v>11200</v>
      </c>
      <c r="O1879" t="s">
        <v>7663</v>
      </c>
      <c r="P1879" s="614">
        <f>COUNTIF(EducPlans_кодНАЦИД_Спец[аФакСец],EducPlans_кодНАЦИД_Спец[[#This Row],[аФакСец]])</f>
        <v>1</v>
      </c>
    </row>
    <row r="1880" spans="3:16" x14ac:dyDescent="0.25">
      <c r="C1880" s="614">
        <v>1874</v>
      </c>
      <c r="D1880" s="614">
        <v>724807</v>
      </c>
      <c r="E1880" s="64" t="s">
        <v>1642</v>
      </c>
      <c r="F1880" s="64" t="s">
        <v>13084</v>
      </c>
      <c r="G1880" s="614" t="s">
        <v>12921</v>
      </c>
      <c r="H1880" s="614" t="s">
        <v>682</v>
      </c>
      <c r="I1880" s="614" t="s">
        <v>1149</v>
      </c>
      <c r="J1880" s="64" t="s">
        <v>13085</v>
      </c>
      <c r="K1880" s="1940" t="s">
        <v>13086</v>
      </c>
      <c r="L1880" s="1940" t="s">
        <v>13087</v>
      </c>
      <c r="M1880" t="s">
        <v>13088</v>
      </c>
      <c r="N1880" t="s">
        <v>13089</v>
      </c>
      <c r="O1880" t="s">
        <v>13084</v>
      </c>
      <c r="P1880" s="614">
        <f>COUNTIF(EducPlans_кодНАЦИД_Спец[аФакСец],EducPlans_кодНАЦИД_Спец[[#This Row],[аФакСец]])</f>
        <v>1</v>
      </c>
    </row>
    <row r="1881" spans="3:16" x14ac:dyDescent="0.25">
      <c r="C1881" s="614">
        <v>1875</v>
      </c>
      <c r="D1881" s="614">
        <v>11479</v>
      </c>
      <c r="E1881" s="64" t="s">
        <v>13090</v>
      </c>
      <c r="F1881" s="64" t="s">
        <v>7661</v>
      </c>
      <c r="G1881" s="614" t="s">
        <v>2788</v>
      </c>
      <c r="H1881" s="614" t="s">
        <v>682</v>
      </c>
      <c r="I1881" s="614" t="s">
        <v>1149</v>
      </c>
      <c r="J1881" s="64" t="s">
        <v>4355</v>
      </c>
      <c r="K1881" s="1940" t="s">
        <v>7662</v>
      </c>
      <c r="L1881" s="1940" t="s">
        <v>9484</v>
      </c>
      <c r="M1881" t="s">
        <v>13091</v>
      </c>
      <c r="N1881" t="s">
        <v>11199</v>
      </c>
      <c r="O1881" t="s">
        <v>7661</v>
      </c>
      <c r="P1881" s="614">
        <f>COUNTIF(EducPlans_кодНАЦИД_Спец[аФакСец],EducPlans_кодНАЦИД_Спец[[#This Row],[аФакСец]])</f>
        <v>1</v>
      </c>
    </row>
    <row r="1882" spans="3:16" x14ac:dyDescent="0.25">
      <c r="C1882" s="614">
        <v>1876</v>
      </c>
      <c r="D1882" s="614">
        <v>724806</v>
      </c>
      <c r="E1882" s="64" t="s">
        <v>13090</v>
      </c>
      <c r="F1882" s="64" t="s">
        <v>13092</v>
      </c>
      <c r="G1882" s="614" t="s">
        <v>12921</v>
      </c>
      <c r="H1882" s="614" t="s">
        <v>682</v>
      </c>
      <c r="I1882" s="614" t="s">
        <v>1149</v>
      </c>
      <c r="J1882" s="64" t="s">
        <v>13093</v>
      </c>
      <c r="K1882" s="1940" t="s">
        <v>13094</v>
      </c>
      <c r="L1882" s="1940" t="s">
        <v>13095</v>
      </c>
      <c r="M1882" t="s">
        <v>13096</v>
      </c>
      <c r="N1882" t="s">
        <v>13097</v>
      </c>
      <c r="O1882" t="s">
        <v>13092</v>
      </c>
      <c r="P1882" s="614">
        <f>COUNTIF(EducPlans_кодНАЦИД_Спец[аФакСец],EducPlans_кодНАЦИД_Спец[[#This Row],[аФакСец]])</f>
        <v>1</v>
      </c>
    </row>
    <row r="1883" spans="3:16" x14ac:dyDescent="0.25">
      <c r="C1883" s="614">
        <v>1877</v>
      </c>
      <c r="D1883" s="614">
        <v>11182</v>
      </c>
      <c r="E1883" s="64" t="s">
        <v>1597</v>
      </c>
      <c r="F1883" s="64" t="s">
        <v>7665</v>
      </c>
      <c r="G1883" s="614" t="s">
        <v>48</v>
      </c>
      <c r="H1883" s="614" t="s">
        <v>682</v>
      </c>
      <c r="I1883" s="614" t="s">
        <v>1153</v>
      </c>
      <c r="J1883" s="64" t="s">
        <v>3189</v>
      </c>
      <c r="K1883" s="1940" t="s">
        <v>7666</v>
      </c>
      <c r="L1883" s="1940" t="s">
        <v>9486</v>
      </c>
      <c r="M1883" t="s">
        <v>12842</v>
      </c>
      <c r="N1883" t="s">
        <v>11201</v>
      </c>
      <c r="O1883" t="s">
        <v>7665</v>
      </c>
      <c r="P1883" s="614">
        <f>COUNTIF(EducPlans_кодНАЦИД_Спец[аФакСец],EducPlans_кодНАЦИД_Спец[[#This Row],[аФакСец]])</f>
        <v>1</v>
      </c>
    </row>
    <row r="1884" spans="3:16" x14ac:dyDescent="0.25">
      <c r="C1884" s="614">
        <v>1878</v>
      </c>
      <c r="D1884" s="614">
        <v>11456</v>
      </c>
      <c r="E1884" s="64" t="s">
        <v>1643</v>
      </c>
      <c r="F1884" s="64" t="s">
        <v>7667</v>
      </c>
      <c r="G1884" s="614" t="s">
        <v>2788</v>
      </c>
      <c r="H1884" s="614" t="s">
        <v>682</v>
      </c>
      <c r="I1884" s="614" t="s">
        <v>1149</v>
      </c>
      <c r="J1884" s="64" t="s">
        <v>4360</v>
      </c>
      <c r="K1884" s="1940" t="s">
        <v>7668</v>
      </c>
      <c r="L1884" s="1940" t="s">
        <v>9487</v>
      </c>
      <c r="M1884" t="s">
        <v>12843</v>
      </c>
      <c r="N1884" t="s">
        <v>11202</v>
      </c>
      <c r="O1884" t="s">
        <v>7667</v>
      </c>
      <c r="P1884" s="614">
        <f>COUNTIF(EducPlans_кодНАЦИД_Спец[аФакСец],EducPlans_кодНАЦИД_Спец[[#This Row],[аФакСец]])</f>
        <v>1</v>
      </c>
    </row>
    <row r="1885" spans="3:16" x14ac:dyDescent="0.25">
      <c r="C1885" s="614">
        <v>1879</v>
      </c>
      <c r="D1885" s="614">
        <v>11497</v>
      </c>
      <c r="E1885" s="64" t="s">
        <v>1644</v>
      </c>
      <c r="F1885" s="64" t="s">
        <v>7669</v>
      </c>
      <c r="G1885" s="614" t="s">
        <v>2788</v>
      </c>
      <c r="H1885" s="614" t="s">
        <v>682</v>
      </c>
      <c r="I1885" s="614" t="s">
        <v>1149</v>
      </c>
      <c r="J1885" s="64" t="s">
        <v>4361</v>
      </c>
      <c r="K1885" s="1940" t="s">
        <v>7670</v>
      </c>
      <c r="L1885" s="1940" t="s">
        <v>9488</v>
      </c>
      <c r="M1885" t="s">
        <v>12844</v>
      </c>
      <c r="N1885" t="s">
        <v>11203</v>
      </c>
      <c r="O1885" t="s">
        <v>7669</v>
      </c>
      <c r="P1885" s="614">
        <f>COUNTIF(EducPlans_кодНАЦИД_Спец[аФакСец],EducPlans_кодНАЦИД_Спец[[#This Row],[аФакСец]])</f>
        <v>1</v>
      </c>
    </row>
    <row r="1886" spans="3:16" x14ac:dyDescent="0.25">
      <c r="C1886" s="614">
        <v>1880</v>
      </c>
      <c r="D1886" s="614">
        <v>11493</v>
      </c>
      <c r="E1886" s="64" t="s">
        <v>1645</v>
      </c>
      <c r="F1886" s="64" t="s">
        <v>7671</v>
      </c>
      <c r="G1886" s="614" t="s">
        <v>2788</v>
      </c>
      <c r="H1886" s="614" t="s">
        <v>682</v>
      </c>
      <c r="I1886" s="614" t="s">
        <v>1149</v>
      </c>
      <c r="J1886" s="64" t="s">
        <v>4362</v>
      </c>
      <c r="K1886" s="1940" t="s">
        <v>7672</v>
      </c>
      <c r="L1886" s="1940" t="s">
        <v>9489</v>
      </c>
      <c r="M1886" t="s">
        <v>12845</v>
      </c>
      <c r="N1886" t="s">
        <v>11204</v>
      </c>
      <c r="O1886" t="s">
        <v>7671</v>
      </c>
      <c r="P1886" s="614">
        <f>COUNTIF(EducPlans_кодНАЦИД_Спец[аФакСец],EducPlans_кодНАЦИД_Спец[[#This Row],[аФакСец]])</f>
        <v>1</v>
      </c>
    </row>
    <row r="1887" spans="3:16" x14ac:dyDescent="0.25">
      <c r="C1887" s="614">
        <v>1881</v>
      </c>
      <c r="D1887" s="614">
        <v>724808</v>
      </c>
      <c r="E1887" s="64" t="s">
        <v>1645</v>
      </c>
      <c r="F1887" s="64" t="s">
        <v>13098</v>
      </c>
      <c r="G1887" s="614" t="s">
        <v>12921</v>
      </c>
      <c r="H1887" s="614" t="s">
        <v>682</v>
      </c>
      <c r="I1887" s="614" t="s">
        <v>1149</v>
      </c>
      <c r="J1887" s="64" t="s">
        <v>13099</v>
      </c>
      <c r="K1887" s="1940" t="s">
        <v>13100</v>
      </c>
      <c r="L1887" s="1940" t="s">
        <v>13101</v>
      </c>
      <c r="M1887" t="s">
        <v>13102</v>
      </c>
      <c r="N1887" t="s">
        <v>13103</v>
      </c>
      <c r="O1887" t="s">
        <v>13098</v>
      </c>
      <c r="P1887" s="614">
        <f>COUNTIF(EducPlans_кодНАЦИД_Спец[аФакСец],EducPlans_кодНАЦИД_Спец[[#This Row],[аФакСец]])</f>
        <v>1</v>
      </c>
    </row>
    <row r="1888" spans="3:16" x14ac:dyDescent="0.25">
      <c r="C1888" s="614">
        <v>1882</v>
      </c>
      <c r="D1888" s="614">
        <v>11495</v>
      </c>
      <c r="E1888" s="64" t="s">
        <v>1646</v>
      </c>
      <c r="F1888" s="64" t="s">
        <v>7673</v>
      </c>
      <c r="G1888" s="614" t="s">
        <v>2788</v>
      </c>
      <c r="H1888" s="614" t="s">
        <v>682</v>
      </c>
      <c r="I1888" s="614" t="s">
        <v>1149</v>
      </c>
      <c r="J1888" s="64" t="s">
        <v>4363</v>
      </c>
      <c r="K1888" s="1940" t="s">
        <v>7674</v>
      </c>
      <c r="L1888" s="1940" t="s">
        <v>9490</v>
      </c>
      <c r="M1888" t="s">
        <v>12846</v>
      </c>
      <c r="N1888" t="s">
        <v>11205</v>
      </c>
      <c r="O1888" t="s">
        <v>7673</v>
      </c>
      <c r="P1888" s="614">
        <f>COUNTIF(EducPlans_кодНАЦИД_Спец[аФакСец],EducPlans_кодНАЦИД_Спец[[#This Row],[аФакСец]])</f>
        <v>1</v>
      </c>
    </row>
    <row r="1889" spans="3:16" x14ac:dyDescent="0.25">
      <c r="C1889" s="614">
        <v>1883</v>
      </c>
      <c r="D1889" s="614">
        <v>724809</v>
      </c>
      <c r="E1889" s="64" t="s">
        <v>1646</v>
      </c>
      <c r="F1889" s="64" t="s">
        <v>13104</v>
      </c>
      <c r="G1889" s="614" t="s">
        <v>12921</v>
      </c>
      <c r="H1889" s="614" t="s">
        <v>682</v>
      </c>
      <c r="I1889" s="614" t="s">
        <v>1149</v>
      </c>
      <c r="J1889" s="64" t="s">
        <v>13105</v>
      </c>
      <c r="K1889" s="1940" t="s">
        <v>13106</v>
      </c>
      <c r="L1889" s="1940" t="s">
        <v>13107</v>
      </c>
      <c r="M1889" t="s">
        <v>13108</v>
      </c>
      <c r="N1889" t="s">
        <v>13109</v>
      </c>
      <c r="O1889" t="s">
        <v>13104</v>
      </c>
      <c r="P1889" s="614">
        <f>COUNTIF(EducPlans_кодНАЦИД_Спец[аФакСец],EducPlans_кодНАЦИД_Спец[[#This Row],[аФакСец]])</f>
        <v>1</v>
      </c>
    </row>
    <row r="1890" spans="3:16" x14ac:dyDescent="0.25">
      <c r="C1890" s="614">
        <v>1884</v>
      </c>
      <c r="D1890" s="614">
        <v>11498</v>
      </c>
      <c r="E1890" s="64" t="s">
        <v>1647</v>
      </c>
      <c r="F1890" s="64" t="s">
        <v>7675</v>
      </c>
      <c r="G1890" s="614" t="s">
        <v>2788</v>
      </c>
      <c r="H1890" s="614" t="s">
        <v>682</v>
      </c>
      <c r="I1890" s="614" t="s">
        <v>1149</v>
      </c>
      <c r="J1890" s="64" t="s">
        <v>4364</v>
      </c>
      <c r="K1890" s="1940" t="s">
        <v>7676</v>
      </c>
      <c r="L1890" s="1940" t="s">
        <v>9491</v>
      </c>
      <c r="M1890" t="s">
        <v>12847</v>
      </c>
      <c r="N1890" t="s">
        <v>11206</v>
      </c>
      <c r="O1890" t="s">
        <v>7675</v>
      </c>
      <c r="P1890" s="614">
        <f>COUNTIF(EducPlans_кодНАЦИД_Спец[аФакСец],EducPlans_кодНАЦИД_Спец[[#This Row],[аФакСец]])</f>
        <v>1</v>
      </c>
    </row>
    <row r="1891" spans="3:16" x14ac:dyDescent="0.25">
      <c r="C1891" s="614">
        <v>1885</v>
      </c>
      <c r="D1891" s="614">
        <v>11499</v>
      </c>
      <c r="E1891" s="64" t="s">
        <v>1648</v>
      </c>
      <c r="F1891" s="64" t="s">
        <v>7677</v>
      </c>
      <c r="G1891" s="614" t="s">
        <v>2788</v>
      </c>
      <c r="H1891" s="614" t="s">
        <v>682</v>
      </c>
      <c r="I1891" s="614" t="s">
        <v>1149</v>
      </c>
      <c r="J1891" s="64" t="s">
        <v>4365</v>
      </c>
      <c r="K1891" s="1940" t="s">
        <v>7678</v>
      </c>
      <c r="L1891" s="1940" t="s">
        <v>9492</v>
      </c>
      <c r="M1891" t="s">
        <v>12848</v>
      </c>
      <c r="N1891" t="s">
        <v>11207</v>
      </c>
      <c r="O1891" t="s">
        <v>7677</v>
      </c>
      <c r="P1891" s="614">
        <f>COUNTIF(EducPlans_кодНАЦИД_Спец[аФакСец],EducPlans_кодНАЦИД_Спец[[#This Row],[аФакСец]])</f>
        <v>1</v>
      </c>
    </row>
    <row r="1892" spans="3:16" x14ac:dyDescent="0.25">
      <c r="C1892" s="614">
        <v>1886</v>
      </c>
      <c r="D1892" s="614">
        <v>11496</v>
      </c>
      <c r="E1892" s="64" t="s">
        <v>1649</v>
      </c>
      <c r="F1892" s="64" t="s">
        <v>7679</v>
      </c>
      <c r="G1892" s="614" t="s">
        <v>2788</v>
      </c>
      <c r="H1892" s="614" t="s">
        <v>682</v>
      </c>
      <c r="I1892" s="614" t="s">
        <v>1149</v>
      </c>
      <c r="J1892" s="64" t="s">
        <v>4366</v>
      </c>
      <c r="K1892" s="1940" t="s">
        <v>7680</v>
      </c>
      <c r="L1892" s="1940" t="s">
        <v>9493</v>
      </c>
      <c r="M1892" t="s">
        <v>12849</v>
      </c>
      <c r="N1892" t="s">
        <v>11208</v>
      </c>
      <c r="O1892" t="s">
        <v>7679</v>
      </c>
      <c r="P1892" s="614">
        <f>COUNTIF(EducPlans_кодНАЦИД_Спец[аФакСец],EducPlans_кодНАЦИД_Спец[[#This Row],[аФакСец]])</f>
        <v>1</v>
      </c>
    </row>
    <row r="1893" spans="3:16" x14ac:dyDescent="0.25">
      <c r="C1893" s="614">
        <v>1887</v>
      </c>
      <c r="D1893" s="614">
        <v>11496</v>
      </c>
      <c r="E1893" s="64" t="s">
        <v>1649</v>
      </c>
      <c r="F1893" s="64" t="s">
        <v>7681</v>
      </c>
      <c r="G1893" s="614" t="s">
        <v>2788</v>
      </c>
      <c r="H1893" s="614" t="s">
        <v>682</v>
      </c>
      <c r="I1893" s="614" t="s">
        <v>1149</v>
      </c>
      <c r="J1893" s="64" t="s">
        <v>4367</v>
      </c>
      <c r="K1893" s="1940" t="s">
        <v>7680</v>
      </c>
      <c r="L1893" s="1940" t="s">
        <v>9494</v>
      </c>
      <c r="M1893" t="s">
        <v>12850</v>
      </c>
      <c r="N1893" t="s">
        <v>11209</v>
      </c>
      <c r="O1893" t="s">
        <v>7681</v>
      </c>
      <c r="P1893" s="614">
        <f>COUNTIF(EducPlans_кодНАЦИД_Спец[аФакСец],EducPlans_кодНАЦИД_Спец[[#This Row],[аФакСец]])</f>
        <v>1</v>
      </c>
    </row>
    <row r="1894" spans="3:16" x14ac:dyDescent="0.25">
      <c r="C1894" s="614">
        <v>1888</v>
      </c>
      <c r="D1894" s="614">
        <v>11489</v>
      </c>
      <c r="E1894" s="64" t="s">
        <v>1650</v>
      </c>
      <c r="F1894" s="64" t="s">
        <v>7682</v>
      </c>
      <c r="G1894" s="614" t="s">
        <v>2788</v>
      </c>
      <c r="H1894" s="614" t="s">
        <v>682</v>
      </c>
      <c r="I1894" s="614" t="s">
        <v>1149</v>
      </c>
      <c r="J1894" s="64" t="s">
        <v>4369</v>
      </c>
      <c r="K1894" s="1940" t="s">
        <v>7683</v>
      </c>
      <c r="L1894" s="1940" t="s">
        <v>9495</v>
      </c>
      <c r="M1894" t="s">
        <v>12851</v>
      </c>
      <c r="N1894" t="s">
        <v>11210</v>
      </c>
      <c r="O1894" t="s">
        <v>7682</v>
      </c>
      <c r="P1894" s="614">
        <f>COUNTIF(EducPlans_кодНАЦИД_Спец[аФакСец],EducPlans_кодНАЦИД_Спец[[#This Row],[аФакСец]])</f>
        <v>1</v>
      </c>
    </row>
    <row r="1895" spans="3:16" x14ac:dyDescent="0.25">
      <c r="C1895" s="614">
        <v>1889</v>
      </c>
      <c r="D1895" s="614">
        <v>11489</v>
      </c>
      <c r="E1895" s="64" t="s">
        <v>1650</v>
      </c>
      <c r="F1895" s="64" t="s">
        <v>7684</v>
      </c>
      <c r="G1895" s="614" t="s">
        <v>2788</v>
      </c>
      <c r="H1895" s="614" t="s">
        <v>682</v>
      </c>
      <c r="I1895" s="614" t="s">
        <v>1149</v>
      </c>
      <c r="J1895" s="64" t="s">
        <v>4368</v>
      </c>
      <c r="K1895" s="1940" t="s">
        <v>7683</v>
      </c>
      <c r="L1895" s="1940" t="s">
        <v>9496</v>
      </c>
      <c r="M1895" t="s">
        <v>12852</v>
      </c>
      <c r="N1895" t="s">
        <v>11211</v>
      </c>
      <c r="O1895" t="s">
        <v>7684</v>
      </c>
      <c r="P1895" s="614">
        <f>COUNTIF(EducPlans_кодНАЦИД_Спец[аФакСец],EducPlans_кодНАЦИД_Спец[[#This Row],[аФакСец]])</f>
        <v>1</v>
      </c>
    </row>
    <row r="1896" spans="3:16" x14ac:dyDescent="0.25">
      <c r="C1896" s="614">
        <v>1890</v>
      </c>
      <c r="D1896" s="614">
        <v>11460</v>
      </c>
      <c r="E1896" s="64" t="s">
        <v>1651</v>
      </c>
      <c r="F1896" s="64" t="s">
        <v>7685</v>
      </c>
      <c r="G1896" s="614" t="s">
        <v>2788</v>
      </c>
      <c r="H1896" s="614" t="s">
        <v>682</v>
      </c>
      <c r="I1896" s="614" t="s">
        <v>1153</v>
      </c>
      <c r="J1896" s="64" t="s">
        <v>7686</v>
      </c>
      <c r="K1896" s="1940" t="s">
        <v>7687</v>
      </c>
      <c r="L1896" s="1940" t="s">
        <v>9497</v>
      </c>
      <c r="M1896" t="s">
        <v>12853</v>
      </c>
      <c r="N1896" t="s">
        <v>11212</v>
      </c>
      <c r="O1896" t="s">
        <v>7685</v>
      </c>
      <c r="P1896" s="614">
        <f>COUNTIF(EducPlans_кодНАЦИД_Спец[аФакСец],EducPlans_кодНАЦИД_Спец[[#This Row],[аФакСец]])</f>
        <v>1</v>
      </c>
    </row>
    <row r="1897" spans="3:16" x14ac:dyDescent="0.25">
      <c r="C1897" s="614">
        <v>1891</v>
      </c>
      <c r="D1897" s="614">
        <v>12562</v>
      </c>
      <c r="E1897" s="64" t="s">
        <v>1766</v>
      </c>
      <c r="F1897" s="64" t="s">
        <v>7688</v>
      </c>
      <c r="G1897" s="614" t="s">
        <v>44</v>
      </c>
      <c r="H1897" s="614" t="s">
        <v>682</v>
      </c>
      <c r="I1897" s="614" t="s">
        <v>1153</v>
      </c>
      <c r="J1897" s="64" t="s">
        <v>4307</v>
      </c>
      <c r="K1897" s="1940" t="s">
        <v>7689</v>
      </c>
      <c r="L1897" s="1940" t="s">
        <v>9498</v>
      </c>
      <c r="M1897" t="s">
        <v>12854</v>
      </c>
      <c r="N1897" t="s">
        <v>11213</v>
      </c>
      <c r="O1897" t="s">
        <v>7688</v>
      </c>
      <c r="P1897" s="614">
        <f>COUNTIF(EducPlans_кодНАЦИД_Спец[аФакСец],EducPlans_кодНАЦИД_Спец[[#This Row],[аФакСец]])</f>
        <v>1</v>
      </c>
    </row>
    <row r="1898" spans="3:16" x14ac:dyDescent="0.25">
      <c r="C1898" s="614">
        <v>1892</v>
      </c>
      <c r="D1898" s="614">
        <v>12562</v>
      </c>
      <c r="E1898" s="64" t="s">
        <v>1766</v>
      </c>
      <c r="F1898" s="64" t="s">
        <v>7690</v>
      </c>
      <c r="G1898" s="614" t="s">
        <v>44</v>
      </c>
      <c r="H1898" s="614" t="s">
        <v>682</v>
      </c>
      <c r="I1898" s="614" t="s">
        <v>1153</v>
      </c>
      <c r="J1898" s="64" t="s">
        <v>4308</v>
      </c>
      <c r="K1898" s="1940" t="s">
        <v>7689</v>
      </c>
      <c r="L1898" s="1940" t="s">
        <v>9499</v>
      </c>
      <c r="M1898" t="s">
        <v>12855</v>
      </c>
      <c r="N1898" t="s">
        <v>11214</v>
      </c>
      <c r="O1898" t="s">
        <v>7690</v>
      </c>
      <c r="P1898" s="614">
        <f>COUNTIF(EducPlans_кодНАЦИД_Спец[аФакСец],EducPlans_кодНАЦИД_Спец[[#This Row],[аФакСец]])</f>
        <v>1</v>
      </c>
    </row>
    <row r="1899" spans="3:16" x14ac:dyDescent="0.25">
      <c r="C1899" s="614">
        <v>1893</v>
      </c>
      <c r="D1899" s="614">
        <v>188475</v>
      </c>
      <c r="E1899" s="64" t="s">
        <v>1495</v>
      </c>
      <c r="F1899" s="64" t="s">
        <v>7691</v>
      </c>
      <c r="G1899" s="614" t="s">
        <v>33</v>
      </c>
      <c r="H1899" s="614" t="s">
        <v>682</v>
      </c>
      <c r="I1899" s="614" t="s">
        <v>1153</v>
      </c>
      <c r="J1899" s="64" t="s">
        <v>3638</v>
      </c>
      <c r="K1899" s="1940" t="s">
        <v>7692</v>
      </c>
      <c r="L1899" s="1940" t="s">
        <v>9500</v>
      </c>
      <c r="M1899" t="s">
        <v>12856</v>
      </c>
      <c r="N1899" t="s">
        <v>11215</v>
      </c>
      <c r="O1899" t="s">
        <v>7691</v>
      </c>
      <c r="P1899" s="614">
        <f>COUNTIF(EducPlans_кодНАЦИД_Спец[аФакСец],EducPlans_кодНАЦИД_Спец[[#This Row],[аФакСец]])</f>
        <v>1</v>
      </c>
    </row>
    <row r="1900" spans="3:16" x14ac:dyDescent="0.25">
      <c r="C1900" s="614">
        <v>1894</v>
      </c>
      <c r="D1900" s="614">
        <v>732357</v>
      </c>
      <c r="E1900" s="64" t="s">
        <v>14099</v>
      </c>
      <c r="F1900" s="64" t="s">
        <v>14100</v>
      </c>
      <c r="G1900" s="614" t="s">
        <v>33</v>
      </c>
      <c r="H1900" s="614" t="s">
        <v>682</v>
      </c>
      <c r="I1900" s="614" t="s">
        <v>1153</v>
      </c>
      <c r="J1900" s="64" t="s">
        <v>14101</v>
      </c>
      <c r="K1900" s="1940" t="s">
        <v>14102</v>
      </c>
      <c r="L1900" s="1940" t="s">
        <v>14103</v>
      </c>
      <c r="M1900" t="s">
        <v>14104</v>
      </c>
      <c r="N1900" t="s">
        <v>14105</v>
      </c>
      <c r="O1900" t="s">
        <v>14100</v>
      </c>
      <c r="P1900" s="614">
        <f>COUNTIF(EducPlans_кодНАЦИД_Спец[аФакСец],EducPlans_кодНАЦИД_Спец[[#This Row],[аФакСец]])</f>
        <v>1</v>
      </c>
    </row>
    <row r="1901" spans="3:16" x14ac:dyDescent="0.25">
      <c r="C1901" s="614">
        <v>1895</v>
      </c>
      <c r="D1901" s="614">
        <v>11584</v>
      </c>
      <c r="E1901" s="64" t="s">
        <v>1691</v>
      </c>
      <c r="F1901" s="64" t="s">
        <v>7693</v>
      </c>
      <c r="G1901" s="614" t="s">
        <v>33</v>
      </c>
      <c r="H1901" s="614" t="s">
        <v>681</v>
      </c>
      <c r="I1901" s="614" t="s">
        <v>1153</v>
      </c>
      <c r="J1901" s="64" t="s">
        <v>3639</v>
      </c>
      <c r="K1901" s="1940" t="s">
        <v>7694</v>
      </c>
      <c r="L1901" s="1940" t="s">
        <v>9501</v>
      </c>
      <c r="M1901" t="s">
        <v>12857</v>
      </c>
      <c r="N1901" t="s">
        <v>11216</v>
      </c>
      <c r="O1901" t="s">
        <v>7693</v>
      </c>
      <c r="P1901" s="614">
        <f>COUNTIF(EducPlans_кодНАЦИД_Спец[аФакСец],EducPlans_кодНАЦИД_Спец[[#This Row],[аФакСец]])</f>
        <v>1</v>
      </c>
    </row>
    <row r="1902" spans="3:16" x14ac:dyDescent="0.25">
      <c r="C1902" s="614">
        <v>1896</v>
      </c>
      <c r="D1902" s="614">
        <v>11680</v>
      </c>
      <c r="E1902" s="64" t="s">
        <v>1692</v>
      </c>
      <c r="F1902" s="64" t="s">
        <v>7695</v>
      </c>
      <c r="G1902" s="614" t="s">
        <v>33</v>
      </c>
      <c r="H1902" s="614" t="s">
        <v>682</v>
      </c>
      <c r="I1902" s="614" t="s">
        <v>1153</v>
      </c>
      <c r="J1902" s="64" t="s">
        <v>3640</v>
      </c>
      <c r="K1902" s="1940" t="s">
        <v>7696</v>
      </c>
      <c r="L1902" s="1940" t="s">
        <v>9502</v>
      </c>
      <c r="M1902" t="s">
        <v>12858</v>
      </c>
      <c r="N1902" t="s">
        <v>11217</v>
      </c>
      <c r="O1902" t="s">
        <v>7695</v>
      </c>
      <c r="P1902" s="614">
        <f>COUNTIF(EducPlans_кодНАЦИД_Спец[аФакСец],EducPlans_кодНАЦИД_Спец[[#This Row],[аФакСец]])</f>
        <v>1</v>
      </c>
    </row>
    <row r="1903" spans="3:16" x14ac:dyDescent="0.25">
      <c r="C1903" s="614">
        <v>1897</v>
      </c>
      <c r="D1903" s="614">
        <v>11890</v>
      </c>
      <c r="E1903" s="64" t="s">
        <v>14106</v>
      </c>
      <c r="F1903" s="64" t="s">
        <v>7707</v>
      </c>
      <c r="G1903" s="614" t="s">
        <v>628</v>
      </c>
      <c r="H1903" s="614" t="s">
        <v>682</v>
      </c>
      <c r="I1903" s="614" t="s">
        <v>1153</v>
      </c>
      <c r="J1903" s="64" t="s">
        <v>4282</v>
      </c>
      <c r="K1903" s="1940" t="s">
        <v>7708</v>
      </c>
      <c r="L1903" s="1940" t="s">
        <v>9510</v>
      </c>
      <c r="M1903" t="s">
        <v>14107</v>
      </c>
      <c r="N1903" t="s">
        <v>11225</v>
      </c>
      <c r="O1903" t="s">
        <v>7707</v>
      </c>
      <c r="P1903" s="614">
        <f>COUNTIF(EducPlans_кодНАЦИД_Спец[аФакСец],EducPlans_кодНАЦИД_Спец[[#This Row],[аФакСец]])</f>
        <v>1</v>
      </c>
    </row>
    <row r="1904" spans="3:16" x14ac:dyDescent="0.25">
      <c r="C1904" s="614">
        <v>1898</v>
      </c>
      <c r="D1904" s="614">
        <v>11890</v>
      </c>
      <c r="E1904" s="64" t="s">
        <v>14106</v>
      </c>
      <c r="F1904" s="64" t="s">
        <v>7709</v>
      </c>
      <c r="G1904" s="614" t="s">
        <v>628</v>
      </c>
      <c r="H1904" s="614" t="s">
        <v>682</v>
      </c>
      <c r="I1904" s="614" t="s">
        <v>1153</v>
      </c>
      <c r="J1904" s="64" t="s">
        <v>4283</v>
      </c>
      <c r="K1904" s="1940" t="s">
        <v>7708</v>
      </c>
      <c r="L1904" s="1940" t="s">
        <v>9511</v>
      </c>
      <c r="M1904" t="s">
        <v>14108</v>
      </c>
      <c r="N1904" t="s">
        <v>11226</v>
      </c>
      <c r="O1904" t="s">
        <v>7709</v>
      </c>
      <c r="P1904" s="614">
        <f>COUNTIF(EducPlans_кодНАЦИД_Спец[аФакСец],EducPlans_кодНАЦИД_Спец[[#This Row],[аФакСец]])</f>
        <v>1</v>
      </c>
    </row>
    <row r="1905" spans="3:16" x14ac:dyDescent="0.25">
      <c r="C1905" s="614">
        <v>1899</v>
      </c>
      <c r="D1905" s="614">
        <v>11890</v>
      </c>
      <c r="E1905" s="64" t="s">
        <v>14106</v>
      </c>
      <c r="F1905" s="64" t="s">
        <v>7710</v>
      </c>
      <c r="G1905" s="614" t="s">
        <v>628</v>
      </c>
      <c r="H1905" s="614" t="s">
        <v>682</v>
      </c>
      <c r="I1905" s="614" t="s">
        <v>1153</v>
      </c>
      <c r="J1905" s="64" t="s">
        <v>2782</v>
      </c>
      <c r="K1905" s="1940" t="s">
        <v>7708</v>
      </c>
      <c r="L1905" s="1940" t="s">
        <v>9512</v>
      </c>
      <c r="M1905" t="s">
        <v>14109</v>
      </c>
      <c r="N1905" t="s">
        <v>11227</v>
      </c>
      <c r="O1905" t="s">
        <v>7710</v>
      </c>
      <c r="P1905" s="614">
        <f>COUNTIF(EducPlans_кодНАЦИД_Спец[аФакСец],EducPlans_кодНАЦИД_Спец[[#This Row],[аФакСец]])</f>
        <v>1</v>
      </c>
    </row>
    <row r="1906" spans="3:16" x14ac:dyDescent="0.25">
      <c r="C1906" s="614">
        <v>1900</v>
      </c>
      <c r="D1906" s="614">
        <v>11890</v>
      </c>
      <c r="E1906" s="64" t="s">
        <v>14106</v>
      </c>
      <c r="F1906" s="64" t="s">
        <v>7711</v>
      </c>
      <c r="G1906" s="614" t="s">
        <v>628</v>
      </c>
      <c r="H1906" s="614" t="s">
        <v>682</v>
      </c>
      <c r="I1906" s="614" t="s">
        <v>1153</v>
      </c>
      <c r="J1906" s="64" t="s">
        <v>4284</v>
      </c>
      <c r="K1906" s="1940" t="s">
        <v>7708</v>
      </c>
      <c r="L1906" s="1940" t="s">
        <v>9513</v>
      </c>
      <c r="M1906" t="s">
        <v>14110</v>
      </c>
      <c r="N1906" t="s">
        <v>11228</v>
      </c>
      <c r="O1906" t="s">
        <v>7711</v>
      </c>
      <c r="P1906" s="614">
        <f>COUNTIF(EducPlans_кодНАЦИД_Спец[аФакСец],EducPlans_кодНАЦИД_Спец[[#This Row],[аФакСец]])</f>
        <v>1</v>
      </c>
    </row>
    <row r="1907" spans="3:16" x14ac:dyDescent="0.25">
      <c r="C1907" s="614">
        <v>1901</v>
      </c>
      <c r="D1907" s="614">
        <v>12001</v>
      </c>
      <c r="E1907" s="64" t="s">
        <v>14111</v>
      </c>
      <c r="F1907" s="64" t="s">
        <v>7697</v>
      </c>
      <c r="G1907" s="614" t="s">
        <v>628</v>
      </c>
      <c r="H1907" s="614" t="s">
        <v>682</v>
      </c>
      <c r="I1907" s="614" t="s">
        <v>1153</v>
      </c>
      <c r="J1907" s="64" t="s">
        <v>4276</v>
      </c>
      <c r="K1907" s="1940" t="s">
        <v>7698</v>
      </c>
      <c r="L1907" s="1940" t="s">
        <v>9503</v>
      </c>
      <c r="M1907" t="s">
        <v>14112</v>
      </c>
      <c r="N1907" t="s">
        <v>11218</v>
      </c>
      <c r="O1907" t="s">
        <v>7697</v>
      </c>
      <c r="P1907" s="614">
        <f>COUNTIF(EducPlans_кодНАЦИД_Спец[аФакСец],EducPlans_кодНАЦИД_Спец[[#This Row],[аФакСец]])</f>
        <v>1</v>
      </c>
    </row>
    <row r="1908" spans="3:16" x14ac:dyDescent="0.25">
      <c r="C1908" s="614">
        <v>1902</v>
      </c>
      <c r="D1908" s="614">
        <v>12001</v>
      </c>
      <c r="E1908" s="64" t="s">
        <v>14111</v>
      </c>
      <c r="F1908" s="64" t="s">
        <v>7699</v>
      </c>
      <c r="G1908" s="614" t="s">
        <v>628</v>
      </c>
      <c r="H1908" s="614" t="s">
        <v>682</v>
      </c>
      <c r="I1908" s="614" t="s">
        <v>1153</v>
      </c>
      <c r="J1908" s="64" t="s">
        <v>4275</v>
      </c>
      <c r="K1908" s="1940" t="s">
        <v>7698</v>
      </c>
      <c r="L1908" s="1940" t="s">
        <v>9504</v>
      </c>
      <c r="M1908" t="s">
        <v>14113</v>
      </c>
      <c r="N1908" t="s">
        <v>11219</v>
      </c>
      <c r="O1908" t="s">
        <v>7699</v>
      </c>
      <c r="P1908" s="614">
        <f>COUNTIF(EducPlans_кодНАЦИД_Спец[аФакСец],EducPlans_кодНАЦИД_Спец[[#This Row],[аФакСец]])</f>
        <v>1</v>
      </c>
    </row>
    <row r="1909" spans="3:16" x14ac:dyDescent="0.25">
      <c r="C1909" s="614">
        <v>1903</v>
      </c>
      <c r="D1909" s="614">
        <v>857503</v>
      </c>
      <c r="E1909" s="64" t="s">
        <v>14111</v>
      </c>
      <c r="F1909" s="64" t="s">
        <v>14114</v>
      </c>
      <c r="G1909" s="614" t="s">
        <v>628</v>
      </c>
      <c r="H1909" s="614" t="s">
        <v>682</v>
      </c>
      <c r="I1909" s="614" t="s">
        <v>1149</v>
      </c>
      <c r="J1909" s="64" t="s">
        <v>14115</v>
      </c>
      <c r="K1909" s="1940" t="s">
        <v>14116</v>
      </c>
      <c r="L1909" s="1940" t="s">
        <v>14117</v>
      </c>
      <c r="M1909" t="s">
        <v>14118</v>
      </c>
      <c r="N1909" t="s">
        <v>14119</v>
      </c>
      <c r="O1909" t="s">
        <v>14114</v>
      </c>
      <c r="P1909" s="614">
        <f>COUNTIF(EducPlans_кодНАЦИД_Спец[аФакСец],EducPlans_кодНАЦИД_Спец[[#This Row],[аФакСец]])</f>
        <v>1</v>
      </c>
    </row>
    <row r="1910" spans="3:16" x14ac:dyDescent="0.25">
      <c r="C1910" s="614">
        <v>1904</v>
      </c>
      <c r="D1910" s="614">
        <v>11999</v>
      </c>
      <c r="E1910" s="64" t="s">
        <v>14120</v>
      </c>
      <c r="F1910" s="64" t="s">
        <v>7700</v>
      </c>
      <c r="G1910" s="614" t="s">
        <v>628</v>
      </c>
      <c r="H1910" s="614" t="s">
        <v>682</v>
      </c>
      <c r="I1910" s="614" t="s">
        <v>1149</v>
      </c>
      <c r="J1910" s="64" t="s">
        <v>4277</v>
      </c>
      <c r="K1910" s="1940" t="s">
        <v>7701</v>
      </c>
      <c r="L1910" s="1940" t="s">
        <v>9505</v>
      </c>
      <c r="M1910" t="s">
        <v>14121</v>
      </c>
      <c r="N1910" t="s">
        <v>11220</v>
      </c>
      <c r="O1910" t="s">
        <v>7700</v>
      </c>
      <c r="P1910" s="614">
        <f>COUNTIF(EducPlans_кодНАЦИД_Спец[аФакСец],EducPlans_кодНАЦИД_Спец[[#This Row],[аФакСец]])</f>
        <v>1</v>
      </c>
    </row>
    <row r="1911" spans="3:16" x14ac:dyDescent="0.25">
      <c r="C1911" s="614">
        <v>1905</v>
      </c>
      <c r="D1911" s="614">
        <v>11999</v>
      </c>
      <c r="E1911" s="64" t="s">
        <v>14120</v>
      </c>
      <c r="F1911" s="64" t="s">
        <v>7702</v>
      </c>
      <c r="G1911" s="614" t="s">
        <v>628</v>
      </c>
      <c r="H1911" s="614" t="s">
        <v>682</v>
      </c>
      <c r="I1911" s="614" t="s">
        <v>1149</v>
      </c>
      <c r="J1911" s="64" t="s">
        <v>4278</v>
      </c>
      <c r="K1911" s="1940" t="s">
        <v>7701</v>
      </c>
      <c r="L1911" s="1940" t="s">
        <v>9506</v>
      </c>
      <c r="M1911" t="s">
        <v>14122</v>
      </c>
      <c r="N1911" t="s">
        <v>11221</v>
      </c>
      <c r="O1911" t="s">
        <v>7702</v>
      </c>
      <c r="P1911" s="614">
        <f>COUNTIF(EducPlans_кодНАЦИД_Спец[аФакСец],EducPlans_кодНАЦИД_Спец[[#This Row],[аФакСец]])</f>
        <v>1</v>
      </c>
    </row>
    <row r="1912" spans="3:16" x14ac:dyDescent="0.25">
      <c r="C1912" s="614">
        <v>1906</v>
      </c>
      <c r="D1912" s="614">
        <v>11997</v>
      </c>
      <c r="E1912" s="64" t="s">
        <v>14123</v>
      </c>
      <c r="F1912" s="64" t="s">
        <v>7703</v>
      </c>
      <c r="G1912" s="614" t="s">
        <v>628</v>
      </c>
      <c r="H1912" s="614" t="s">
        <v>682</v>
      </c>
      <c r="I1912" s="614" t="s">
        <v>1149</v>
      </c>
      <c r="J1912" s="64" t="s">
        <v>4280</v>
      </c>
      <c r="K1912" s="1940" t="s">
        <v>7704</v>
      </c>
      <c r="L1912" s="1940" t="s">
        <v>9507</v>
      </c>
      <c r="M1912" t="s">
        <v>14124</v>
      </c>
      <c r="N1912" t="s">
        <v>11222</v>
      </c>
      <c r="O1912" t="s">
        <v>7703</v>
      </c>
      <c r="P1912" s="614">
        <f>COUNTIF(EducPlans_кодНАЦИД_Спец[аФакСец],EducPlans_кодНАЦИД_Спец[[#This Row],[аФакСец]])</f>
        <v>1</v>
      </c>
    </row>
    <row r="1913" spans="3:16" x14ac:dyDescent="0.25">
      <c r="C1913" s="614">
        <v>1907</v>
      </c>
      <c r="D1913" s="614">
        <v>11997</v>
      </c>
      <c r="E1913" s="64" t="s">
        <v>14123</v>
      </c>
      <c r="F1913" s="64" t="s">
        <v>7705</v>
      </c>
      <c r="G1913" s="614" t="s">
        <v>628</v>
      </c>
      <c r="H1913" s="614" t="s">
        <v>682</v>
      </c>
      <c r="I1913" s="614" t="s">
        <v>1149</v>
      </c>
      <c r="J1913" s="64" t="s">
        <v>4279</v>
      </c>
      <c r="K1913" s="1940" t="s">
        <v>7704</v>
      </c>
      <c r="L1913" s="1940" t="s">
        <v>9508</v>
      </c>
      <c r="M1913" t="s">
        <v>14125</v>
      </c>
      <c r="N1913" t="s">
        <v>11223</v>
      </c>
      <c r="O1913" t="s">
        <v>7705</v>
      </c>
      <c r="P1913" s="614">
        <f>COUNTIF(EducPlans_кодНАЦИД_Спец[аФакСец],EducPlans_кодНАЦИД_Спец[[#This Row],[аФакСец]])</f>
        <v>1</v>
      </c>
    </row>
    <row r="1914" spans="3:16" x14ac:dyDescent="0.25">
      <c r="C1914" s="614">
        <v>1908</v>
      </c>
      <c r="D1914" s="614">
        <v>11997</v>
      </c>
      <c r="E1914" s="64" t="s">
        <v>14123</v>
      </c>
      <c r="F1914" s="64" t="s">
        <v>7706</v>
      </c>
      <c r="G1914" s="614" t="s">
        <v>628</v>
      </c>
      <c r="H1914" s="614" t="s">
        <v>682</v>
      </c>
      <c r="I1914" s="614" t="s">
        <v>1149</v>
      </c>
      <c r="J1914" s="64" t="s">
        <v>4281</v>
      </c>
      <c r="K1914" s="1940" t="s">
        <v>7704</v>
      </c>
      <c r="L1914" s="1940" t="s">
        <v>9509</v>
      </c>
      <c r="M1914" t="s">
        <v>14126</v>
      </c>
      <c r="N1914" t="s">
        <v>11224</v>
      </c>
      <c r="O1914" t="s">
        <v>7706</v>
      </c>
      <c r="P1914" s="614">
        <f>COUNTIF(EducPlans_кодНАЦИД_Спец[аФакСец],EducPlans_кодНАЦИД_Спец[[#This Row],[аФакСец]])</f>
        <v>1</v>
      </c>
    </row>
    <row r="1915" spans="3:16" x14ac:dyDescent="0.25">
      <c r="C1915" s="614">
        <v>1909</v>
      </c>
      <c r="D1915" s="614">
        <v>11997</v>
      </c>
      <c r="E1915" s="64" t="s">
        <v>14123</v>
      </c>
      <c r="F1915" s="64" t="s">
        <v>14127</v>
      </c>
      <c r="G1915" s="614" t="s">
        <v>628</v>
      </c>
      <c r="H1915" s="614" t="s">
        <v>682</v>
      </c>
      <c r="I1915" s="614" t="s">
        <v>1149</v>
      </c>
      <c r="J1915" s="64" t="s">
        <v>14128</v>
      </c>
      <c r="K1915" s="1940" t="s">
        <v>7704</v>
      </c>
      <c r="L1915" s="1940" t="s">
        <v>14129</v>
      </c>
      <c r="M1915" t="s">
        <v>14130</v>
      </c>
      <c r="N1915" t="s">
        <v>14131</v>
      </c>
      <c r="O1915" t="s">
        <v>14127</v>
      </c>
      <c r="P1915" s="614">
        <f>COUNTIF(EducPlans_кодНАЦИД_Спец[аФакСец],EducPlans_кодНАЦИД_Спец[[#This Row],[аФакСец]])</f>
        <v>1</v>
      </c>
    </row>
    <row r="1916" spans="3:16" x14ac:dyDescent="0.25">
      <c r="C1916" s="614">
        <v>1910</v>
      </c>
      <c r="D1916" s="614">
        <v>11888</v>
      </c>
      <c r="E1916" s="64" t="s">
        <v>2162</v>
      </c>
      <c r="F1916" s="64" t="s">
        <v>7712</v>
      </c>
      <c r="G1916" s="614" t="s">
        <v>628</v>
      </c>
      <c r="H1916" s="614" t="s">
        <v>681</v>
      </c>
      <c r="I1916" s="614" t="s">
        <v>1153</v>
      </c>
      <c r="J1916" s="64" t="s">
        <v>2783</v>
      </c>
      <c r="K1916" s="1940" t="s">
        <v>7713</v>
      </c>
      <c r="L1916" s="1940" t="s">
        <v>9514</v>
      </c>
      <c r="M1916" t="s">
        <v>12859</v>
      </c>
      <c r="N1916" t="s">
        <v>11229</v>
      </c>
      <c r="O1916" t="s">
        <v>7712</v>
      </c>
      <c r="P1916" s="614">
        <f>COUNTIF(EducPlans_кодНАЦИД_Спец[аФакСец],EducPlans_кодНАЦИД_Спец[[#This Row],[аФакСец]])</f>
        <v>1</v>
      </c>
    </row>
    <row r="1917" spans="3:16" x14ac:dyDescent="0.25">
      <c r="C1917" s="614">
        <v>1911</v>
      </c>
      <c r="D1917" s="614">
        <v>11888</v>
      </c>
      <c r="E1917" s="64" t="s">
        <v>2162</v>
      </c>
      <c r="F1917" s="64" t="s">
        <v>7714</v>
      </c>
      <c r="G1917" s="614" t="s">
        <v>628</v>
      </c>
      <c r="H1917" s="614" t="s">
        <v>681</v>
      </c>
      <c r="I1917" s="614" t="s">
        <v>1153</v>
      </c>
      <c r="J1917" s="64" t="s">
        <v>2781</v>
      </c>
      <c r="K1917" s="1940" t="s">
        <v>7713</v>
      </c>
      <c r="L1917" s="1940" t="s">
        <v>9515</v>
      </c>
      <c r="M1917" t="s">
        <v>12860</v>
      </c>
      <c r="N1917" t="s">
        <v>11230</v>
      </c>
      <c r="O1917" t="s">
        <v>7714</v>
      </c>
      <c r="P1917" s="614">
        <f>COUNTIF(EducPlans_кодНАЦИД_Спец[аФакСец],EducPlans_кодНАЦИД_Спец[[#This Row],[аФакСец]])</f>
        <v>1</v>
      </c>
    </row>
    <row r="1918" spans="3:16" x14ac:dyDescent="0.25">
      <c r="C1918" s="614">
        <v>1912</v>
      </c>
      <c r="D1918" s="614">
        <v>12069</v>
      </c>
      <c r="E1918" s="64" t="s">
        <v>957</v>
      </c>
      <c r="F1918" s="64" t="s">
        <v>7715</v>
      </c>
      <c r="G1918" s="614" t="s">
        <v>29</v>
      </c>
      <c r="H1918" s="614" t="s">
        <v>681</v>
      </c>
      <c r="I1918" s="614" t="s">
        <v>1153</v>
      </c>
      <c r="J1918" s="64" t="s">
        <v>958</v>
      </c>
      <c r="K1918" s="1940" t="s">
        <v>7716</v>
      </c>
      <c r="L1918" s="1940" t="s">
        <v>9516</v>
      </c>
      <c r="M1918" t="s">
        <v>12861</v>
      </c>
      <c r="N1918" t="s">
        <v>11231</v>
      </c>
      <c r="O1918" t="s">
        <v>7715</v>
      </c>
      <c r="P1918" s="614">
        <f>COUNTIF(EducPlans_кодНАЦИД_Спец[аФакСец],EducPlans_кодНАЦИД_Спец[[#This Row],[аФакСец]])</f>
        <v>1</v>
      </c>
    </row>
    <row r="1919" spans="3:16" x14ac:dyDescent="0.25">
      <c r="C1919" s="614">
        <v>1913</v>
      </c>
      <c r="D1919" s="614">
        <v>12118</v>
      </c>
      <c r="E1919" s="64" t="s">
        <v>957</v>
      </c>
      <c r="F1919" s="64" t="s">
        <v>7717</v>
      </c>
      <c r="G1919" s="614" t="s">
        <v>29</v>
      </c>
      <c r="H1919" s="614" t="s">
        <v>682</v>
      </c>
      <c r="I1919" s="614" t="s">
        <v>1153</v>
      </c>
      <c r="J1919" s="64" t="s">
        <v>7718</v>
      </c>
      <c r="K1919" s="1940" t="s">
        <v>7719</v>
      </c>
      <c r="L1919" s="1940" t="s">
        <v>9517</v>
      </c>
      <c r="M1919" t="s">
        <v>12862</v>
      </c>
      <c r="N1919" t="s">
        <v>11232</v>
      </c>
      <c r="O1919" t="s">
        <v>7717</v>
      </c>
      <c r="P1919" s="614">
        <f>COUNTIF(EducPlans_кодНАЦИД_Спец[аФакСец],EducPlans_кодНАЦИД_Спец[[#This Row],[аФакСец]])</f>
        <v>1</v>
      </c>
    </row>
    <row r="1920" spans="3:16" x14ac:dyDescent="0.25">
      <c r="C1920" s="614">
        <v>1914</v>
      </c>
      <c r="D1920" s="614">
        <v>12130</v>
      </c>
      <c r="E1920" s="64" t="s">
        <v>957</v>
      </c>
      <c r="F1920" s="64" t="s">
        <v>7720</v>
      </c>
      <c r="G1920" s="614" t="s">
        <v>29</v>
      </c>
      <c r="H1920" s="614" t="s">
        <v>682</v>
      </c>
      <c r="I1920" s="614" t="s">
        <v>1153</v>
      </c>
      <c r="J1920" s="64" t="s">
        <v>4186</v>
      </c>
      <c r="K1920" s="1940" t="s">
        <v>7721</v>
      </c>
      <c r="L1920" s="1940" t="s">
        <v>9518</v>
      </c>
      <c r="M1920" t="s">
        <v>12863</v>
      </c>
      <c r="N1920" t="s">
        <v>11233</v>
      </c>
      <c r="O1920" t="s">
        <v>7720</v>
      </c>
      <c r="P1920" s="614">
        <f>COUNTIF(EducPlans_кодНАЦИД_Спец[аФакСец],EducPlans_кодНАЦИД_Спец[[#This Row],[аФакСец]])</f>
        <v>1</v>
      </c>
    </row>
    <row r="1921" spans="3:16" x14ac:dyDescent="0.25">
      <c r="C1921" s="614">
        <v>1915</v>
      </c>
      <c r="D1921" s="614">
        <v>813395</v>
      </c>
      <c r="E1921" s="64" t="s">
        <v>14132</v>
      </c>
      <c r="F1921" s="64" t="s">
        <v>14133</v>
      </c>
      <c r="G1921" s="614" t="s">
        <v>626</v>
      </c>
      <c r="H1921" s="614" t="s">
        <v>682</v>
      </c>
      <c r="I1921" s="614" t="s">
        <v>1149</v>
      </c>
      <c r="J1921" s="64" t="s">
        <v>14134</v>
      </c>
      <c r="K1921" s="1940" t="s">
        <v>14135</v>
      </c>
      <c r="L1921" s="1940" t="s">
        <v>14136</v>
      </c>
      <c r="M1921" t="s">
        <v>14137</v>
      </c>
      <c r="N1921" t="s">
        <v>14138</v>
      </c>
      <c r="O1921" t="s">
        <v>14133</v>
      </c>
      <c r="P1921" s="614">
        <f>COUNTIF(EducPlans_кодНАЦИД_Спец[аФакСец],EducPlans_кодНАЦИД_Спец[[#This Row],[аФакСец]])</f>
        <v>1</v>
      </c>
    </row>
    <row r="1922" spans="3:16" x14ac:dyDescent="0.25">
      <c r="C1922" s="614">
        <v>1916</v>
      </c>
      <c r="D1922" s="614">
        <v>11538</v>
      </c>
      <c r="E1922" s="64" t="s">
        <v>929</v>
      </c>
      <c r="F1922" s="64" t="s">
        <v>7722</v>
      </c>
      <c r="G1922" s="614" t="s">
        <v>33</v>
      </c>
      <c r="H1922" s="614" t="s">
        <v>681</v>
      </c>
      <c r="I1922" s="614" t="s">
        <v>1153</v>
      </c>
      <c r="J1922" s="64" t="s">
        <v>3641</v>
      </c>
      <c r="K1922" s="1940" t="s">
        <v>7723</v>
      </c>
      <c r="L1922" s="1940" t="s">
        <v>9519</v>
      </c>
      <c r="M1922" t="s">
        <v>12864</v>
      </c>
      <c r="N1922" t="s">
        <v>11234</v>
      </c>
      <c r="O1922" t="s">
        <v>7722</v>
      </c>
      <c r="P1922" s="614">
        <f>COUNTIF(EducPlans_кодНАЦИД_Спец[аФакСец],EducPlans_кодНАЦИД_Спец[[#This Row],[аФакСец]])</f>
        <v>1</v>
      </c>
    </row>
    <row r="1923" spans="3:16" x14ac:dyDescent="0.25">
      <c r="C1923" s="614">
        <v>1917</v>
      </c>
      <c r="D1923" s="614">
        <v>11538</v>
      </c>
      <c r="E1923" s="64" t="s">
        <v>929</v>
      </c>
      <c r="F1923" s="64" t="s">
        <v>7724</v>
      </c>
      <c r="G1923" s="614" t="s">
        <v>33</v>
      </c>
      <c r="H1923" s="614" t="s">
        <v>681</v>
      </c>
      <c r="I1923" s="614" t="s">
        <v>1153</v>
      </c>
      <c r="J1923" s="64" t="s">
        <v>930</v>
      </c>
      <c r="K1923" s="1940" t="s">
        <v>7723</v>
      </c>
      <c r="L1923" s="1940" t="s">
        <v>9520</v>
      </c>
      <c r="M1923" t="s">
        <v>12865</v>
      </c>
      <c r="N1923" t="s">
        <v>11235</v>
      </c>
      <c r="O1923" t="s">
        <v>7724</v>
      </c>
      <c r="P1923" s="614">
        <f>COUNTIF(EducPlans_кодНАЦИД_Спец[аФакСец],EducPlans_кодНАЦИД_Спец[[#This Row],[аФакСец]])</f>
        <v>1</v>
      </c>
    </row>
    <row r="1924" spans="3:16" x14ac:dyDescent="0.25">
      <c r="C1924" s="614">
        <v>1918</v>
      </c>
      <c r="D1924" s="614">
        <v>284318</v>
      </c>
      <c r="E1924" s="64" t="s">
        <v>1507</v>
      </c>
      <c r="F1924" s="64" t="s">
        <v>7725</v>
      </c>
      <c r="G1924" s="614" t="s">
        <v>33</v>
      </c>
      <c r="H1924" s="614" t="s">
        <v>682</v>
      </c>
      <c r="I1924" s="614" t="s">
        <v>1153</v>
      </c>
      <c r="J1924" s="64" t="s">
        <v>3642</v>
      </c>
      <c r="K1924" s="1940" t="s">
        <v>7726</v>
      </c>
      <c r="L1924" s="1940" t="s">
        <v>9521</v>
      </c>
      <c r="M1924" t="s">
        <v>12866</v>
      </c>
      <c r="N1924" t="s">
        <v>11236</v>
      </c>
      <c r="O1924" t="s">
        <v>7725</v>
      </c>
      <c r="P1924" s="614">
        <f>COUNTIF(EducPlans_кодНАЦИД_Спец[аФакСец],EducPlans_кодНАЦИД_Спец[[#This Row],[аФакСец]])</f>
        <v>1</v>
      </c>
    </row>
    <row r="1925" spans="3:16" x14ac:dyDescent="0.25">
      <c r="C1925" s="614">
        <v>1919</v>
      </c>
      <c r="D1925" s="614">
        <v>11671</v>
      </c>
      <c r="E1925" s="64" t="s">
        <v>1508</v>
      </c>
      <c r="F1925" s="64" t="s">
        <v>7727</v>
      </c>
      <c r="G1925" s="614" t="s">
        <v>33</v>
      </c>
      <c r="H1925" s="614" t="s">
        <v>682</v>
      </c>
      <c r="I1925" s="614" t="s">
        <v>1153</v>
      </c>
      <c r="J1925" s="64" t="s">
        <v>3643</v>
      </c>
      <c r="K1925" s="1940" t="s">
        <v>7728</v>
      </c>
      <c r="L1925" s="1940" t="s">
        <v>9522</v>
      </c>
      <c r="M1925" t="s">
        <v>12867</v>
      </c>
      <c r="N1925" t="s">
        <v>11237</v>
      </c>
      <c r="O1925" t="s">
        <v>7727</v>
      </c>
      <c r="P1925" s="614">
        <f>COUNTIF(EducPlans_кодНАЦИД_Спец[аФакСец],EducPlans_кодНАЦИД_Спец[[#This Row],[аФакСец]])</f>
        <v>1</v>
      </c>
    </row>
    <row r="1926" spans="3:16" x14ac:dyDescent="0.25">
      <c r="C1926" s="614">
        <v>1920</v>
      </c>
      <c r="D1926" s="614">
        <v>11671</v>
      </c>
      <c r="E1926" s="64" t="s">
        <v>1508</v>
      </c>
      <c r="F1926" s="64" t="s">
        <v>7729</v>
      </c>
      <c r="G1926" s="614" t="s">
        <v>33</v>
      </c>
      <c r="H1926" s="614" t="s">
        <v>682</v>
      </c>
      <c r="I1926" s="614" t="s">
        <v>1153</v>
      </c>
      <c r="J1926" s="64" t="s">
        <v>3644</v>
      </c>
      <c r="K1926" s="1940" t="s">
        <v>7728</v>
      </c>
      <c r="L1926" s="1940" t="s">
        <v>9523</v>
      </c>
      <c r="M1926" t="s">
        <v>12868</v>
      </c>
      <c r="N1926" t="s">
        <v>11238</v>
      </c>
      <c r="O1926" t="s">
        <v>7729</v>
      </c>
      <c r="P1926" s="614">
        <f>COUNTIF(EducPlans_кодНАЦИД_Спец[аФакСец],EducPlans_кодНАЦИД_Спец[[#This Row],[аФакСец]])</f>
        <v>1</v>
      </c>
    </row>
    <row r="1927" spans="3:16" x14ac:dyDescent="0.25">
      <c r="C1927" s="614">
        <v>1921</v>
      </c>
      <c r="D1927" s="614">
        <v>284319</v>
      </c>
      <c r="E1927" s="64" t="s">
        <v>1510</v>
      </c>
      <c r="F1927" s="64" t="s">
        <v>7730</v>
      </c>
      <c r="G1927" s="614" t="s">
        <v>33</v>
      </c>
      <c r="H1927" s="614" t="s">
        <v>682</v>
      </c>
      <c r="I1927" s="614" t="s">
        <v>1153</v>
      </c>
      <c r="J1927" s="64" t="s">
        <v>3647</v>
      </c>
      <c r="K1927" s="1940" t="s">
        <v>7731</v>
      </c>
      <c r="L1927" s="1940" t="s">
        <v>9524</v>
      </c>
      <c r="M1927" t="s">
        <v>12869</v>
      </c>
      <c r="N1927" t="s">
        <v>11239</v>
      </c>
      <c r="O1927" t="s">
        <v>7730</v>
      </c>
      <c r="P1927" s="614">
        <f>COUNTIF(EducPlans_кодНАЦИД_Спец[аФакСец],EducPlans_кодНАЦИД_Спец[[#This Row],[аФакСец]])</f>
        <v>1</v>
      </c>
    </row>
    <row r="1928" spans="3:16" x14ac:dyDescent="0.25">
      <c r="C1928" s="614">
        <v>1922</v>
      </c>
      <c r="D1928" s="614">
        <v>670005</v>
      </c>
      <c r="E1928" s="64" t="s">
        <v>1510</v>
      </c>
      <c r="F1928" s="64" t="s">
        <v>7732</v>
      </c>
      <c r="G1928" s="614" t="s">
        <v>33</v>
      </c>
      <c r="H1928" s="614" t="s">
        <v>682</v>
      </c>
      <c r="I1928" s="614" t="s">
        <v>1153</v>
      </c>
      <c r="J1928" s="64" t="s">
        <v>3646</v>
      </c>
      <c r="K1928" s="1940" t="s">
        <v>7731</v>
      </c>
      <c r="L1928" s="1940" t="s">
        <v>9525</v>
      </c>
      <c r="M1928" t="s">
        <v>12870</v>
      </c>
      <c r="N1928" t="s">
        <v>11240</v>
      </c>
      <c r="O1928" t="s">
        <v>7732</v>
      </c>
      <c r="P1928" s="614">
        <f>COUNTIF(EducPlans_кодНАЦИД_Спец[аФакСец],EducPlans_кодНАЦИД_Спец[[#This Row],[аФакСец]])</f>
        <v>1</v>
      </c>
    </row>
    <row r="1929" spans="3:16" x14ac:dyDescent="0.25">
      <c r="C1929" s="614">
        <v>1923</v>
      </c>
      <c r="D1929" s="614">
        <v>670006</v>
      </c>
      <c r="E1929" s="64" t="s">
        <v>1510</v>
      </c>
      <c r="F1929" s="64" t="s">
        <v>7733</v>
      </c>
      <c r="G1929" s="614" t="s">
        <v>33</v>
      </c>
      <c r="H1929" s="614" t="s">
        <v>682</v>
      </c>
      <c r="I1929" s="614" t="s">
        <v>1153</v>
      </c>
      <c r="J1929" s="64" t="s">
        <v>3648</v>
      </c>
      <c r="K1929" s="1940" t="s">
        <v>7731</v>
      </c>
      <c r="L1929" s="1940" t="s">
        <v>9526</v>
      </c>
      <c r="M1929" t="s">
        <v>12871</v>
      </c>
      <c r="N1929" t="s">
        <v>11241</v>
      </c>
      <c r="O1929" t="s">
        <v>7733</v>
      </c>
      <c r="P1929" s="614">
        <f>COUNTIF(EducPlans_кодНАЦИД_Спец[аФакСец],EducPlans_кодНАЦИД_Спец[[#This Row],[аФакСец]])</f>
        <v>1</v>
      </c>
    </row>
    <row r="1930" spans="3:16" x14ac:dyDescent="0.25">
      <c r="C1930" s="614">
        <v>1924</v>
      </c>
      <c r="D1930" s="614">
        <v>670007</v>
      </c>
      <c r="E1930" s="64" t="s">
        <v>1510</v>
      </c>
      <c r="F1930" s="64" t="s">
        <v>7734</v>
      </c>
      <c r="G1930" s="614" t="s">
        <v>33</v>
      </c>
      <c r="H1930" s="614" t="s">
        <v>682</v>
      </c>
      <c r="I1930" s="614" t="s">
        <v>1153</v>
      </c>
      <c r="J1930" s="64" t="s">
        <v>3645</v>
      </c>
      <c r="K1930" s="1940" t="s">
        <v>7731</v>
      </c>
      <c r="L1930" s="1940" t="s">
        <v>9527</v>
      </c>
      <c r="M1930" t="s">
        <v>12872</v>
      </c>
      <c r="N1930" t="s">
        <v>11242</v>
      </c>
      <c r="O1930" t="s">
        <v>7734</v>
      </c>
      <c r="P1930" s="614">
        <f>COUNTIF(EducPlans_кодНАЦИД_Спец[аФакСец],EducPlans_кодНАЦИД_Спец[[#This Row],[аФакСец]])</f>
        <v>1</v>
      </c>
    </row>
  </sheetData>
  <phoneticPr fontId="129" type="noConversion"/>
  <conditionalFormatting sqref="F7:F1930">
    <cfRule type="duplicateValues" dxfId="26" priority="90"/>
  </conditionalFormatting>
  <conditionalFormatting sqref="J7:J1930">
    <cfRule type="duplicateValues" dxfId="25" priority="92"/>
  </conditionalFormatting>
  <conditionalFormatting sqref="L7:L1930">
    <cfRule type="duplicateValues" dxfId="24" priority="94"/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C929-EB89-42E1-A335-F1F3BCD124D1}">
  <sheetPr codeName="Sheet16">
    <tabColor theme="9" tint="-0.499984740745262"/>
  </sheetPr>
  <dimension ref="A1:R112"/>
  <sheetViews>
    <sheetView workbookViewId="0"/>
  </sheetViews>
  <sheetFormatPr defaultRowHeight="15" x14ac:dyDescent="0.25"/>
  <cols>
    <col min="1" max="2" width="3" customWidth="1"/>
    <col min="3" max="3" width="3.28515625" bestFit="1" customWidth="1"/>
    <col min="4" max="4" width="23.5703125" bestFit="1" customWidth="1"/>
    <col min="5" max="5" width="4.42578125" bestFit="1" customWidth="1"/>
    <col min="6" max="6" width="77.85546875" customWidth="1"/>
    <col min="7" max="8" width="2.7109375" customWidth="1"/>
    <col min="9" max="10" width="2.7109375" style="614" customWidth="1"/>
    <col min="11" max="12" width="2.7109375" customWidth="1"/>
    <col min="13" max="13" width="3.28515625" bestFit="1" customWidth="1"/>
    <col min="14" max="14" width="23.5703125" bestFit="1" customWidth="1"/>
    <col min="15" max="15" width="4.42578125" bestFit="1" customWidth="1"/>
    <col min="16" max="16" width="92.85546875" customWidth="1"/>
    <col min="17" max="18" width="3" customWidth="1"/>
    <col min="22" max="22" width="14.7109375" customWidth="1"/>
    <col min="29" max="29" width="23.5703125" bestFit="1" customWidth="1"/>
  </cols>
  <sheetData>
    <row r="1" spans="1:18" ht="15.75" thickBot="1" x14ac:dyDescent="0.3">
      <c r="B1" t="s">
        <v>2814</v>
      </c>
    </row>
    <row r="2" spans="1:18" ht="19.5" thickBot="1" x14ac:dyDescent="0.35">
      <c r="C2" s="2866" t="s">
        <v>12879</v>
      </c>
      <c r="D2" s="2867"/>
      <c r="E2" s="2867"/>
      <c r="F2" s="2868"/>
      <c r="M2" s="2866" t="s">
        <v>407</v>
      </c>
      <c r="N2" s="2867"/>
      <c r="O2" s="2867"/>
      <c r="P2" s="2868"/>
    </row>
    <row r="3" spans="1:18" ht="10.5" customHeight="1" thickBot="1" x14ac:dyDescent="0.35">
      <c r="C3" s="1820"/>
      <c r="D3" s="1820"/>
      <c r="E3" s="1820"/>
      <c r="F3" s="1820"/>
      <c r="M3" s="1820"/>
      <c r="N3" s="1820"/>
      <c r="O3" s="1820"/>
      <c r="P3" s="1820"/>
    </row>
    <row r="4" spans="1:18" ht="15.75" thickBot="1" x14ac:dyDescent="0.3">
      <c r="A4" s="1821"/>
      <c r="B4" s="1822"/>
      <c r="C4" s="1822"/>
      <c r="D4" s="1822"/>
      <c r="E4" s="1822"/>
      <c r="F4" s="1822"/>
      <c r="G4" s="1822"/>
      <c r="H4" s="1822"/>
      <c r="I4" s="1846"/>
      <c r="J4" s="1846"/>
      <c r="K4" s="1822"/>
      <c r="L4" s="1822"/>
      <c r="M4" s="1822"/>
      <c r="N4" s="1822"/>
      <c r="O4" s="1822"/>
      <c r="P4" s="1822"/>
      <c r="Q4" s="1822"/>
      <c r="R4" s="1823"/>
    </row>
    <row r="5" spans="1:18" x14ac:dyDescent="0.25">
      <c r="A5" s="1824"/>
      <c r="B5" s="1770"/>
      <c r="C5" s="1771"/>
      <c r="D5" s="1771"/>
      <c r="E5" s="1771"/>
      <c r="F5" s="1771"/>
      <c r="G5" s="1771"/>
      <c r="H5" s="1833"/>
      <c r="I5" s="1830"/>
      <c r="J5" s="1830"/>
      <c r="K5" s="1833"/>
      <c r="L5" s="1771"/>
      <c r="M5" s="1771"/>
      <c r="N5" s="1771"/>
      <c r="O5" s="1771"/>
      <c r="P5" s="1771"/>
      <c r="Q5" s="1772"/>
      <c r="R5" s="1825"/>
    </row>
    <row r="6" spans="1:18" ht="18.75" x14ac:dyDescent="0.3">
      <c r="A6" s="1824"/>
      <c r="B6" s="1773"/>
      <c r="C6" s="2863" t="s">
        <v>12875</v>
      </c>
      <c r="D6" s="2864"/>
      <c r="E6" s="2864"/>
      <c r="F6" s="2865"/>
      <c r="G6" s="63"/>
      <c r="H6" s="1834"/>
      <c r="I6" s="353"/>
      <c r="K6" s="1834"/>
      <c r="M6" s="2863" t="s">
        <v>12875</v>
      </c>
      <c r="N6" s="2864"/>
      <c r="O6" s="2864"/>
      <c r="P6" s="2865"/>
      <c r="Q6" s="1774"/>
      <c r="R6" s="1825"/>
    </row>
    <row r="7" spans="1:18" ht="15.75" thickBot="1" x14ac:dyDescent="0.3">
      <c r="A7" s="1824"/>
      <c r="B7" s="1773"/>
      <c r="C7" s="63"/>
      <c r="D7" s="63" t="s">
        <v>2816</v>
      </c>
      <c r="E7" s="63"/>
      <c r="F7" s="63" t="s">
        <v>681</v>
      </c>
      <c r="G7" s="63"/>
      <c r="H7" s="1834"/>
      <c r="I7" s="353"/>
      <c r="J7" s="353"/>
      <c r="K7" s="1834"/>
      <c r="L7" s="63"/>
      <c r="M7" s="63"/>
      <c r="N7" s="63" t="s">
        <v>2817</v>
      </c>
      <c r="Q7" s="1774"/>
      <c r="R7" s="1825"/>
    </row>
    <row r="8" spans="1:18" ht="15.75" thickBot="1" x14ac:dyDescent="0.3">
      <c r="A8" s="1824"/>
      <c r="B8" s="1773"/>
      <c r="C8" s="1802" t="s">
        <v>573</v>
      </c>
      <c r="D8" s="1787" t="s">
        <v>2815</v>
      </c>
      <c r="E8" s="1802" t="s">
        <v>12874</v>
      </c>
      <c r="F8" s="1810" t="s">
        <v>12880</v>
      </c>
      <c r="G8" s="63"/>
      <c r="H8" s="1834"/>
      <c r="I8" s="353"/>
      <c r="K8" s="1834"/>
      <c r="M8" s="1802" t="s">
        <v>573</v>
      </c>
      <c r="N8" s="1787" t="s">
        <v>2815</v>
      </c>
      <c r="O8" s="1802" t="s">
        <v>12874</v>
      </c>
      <c r="P8" s="1842" t="s">
        <v>12880</v>
      </c>
      <c r="Q8" s="1774"/>
      <c r="R8" s="1825"/>
    </row>
    <row r="9" spans="1:18" x14ac:dyDescent="0.25">
      <c r="A9" s="1824"/>
      <c r="B9" s="1773"/>
      <c r="C9" s="1864">
        <v>1</v>
      </c>
      <c r="D9" s="1865" t="s">
        <v>314</v>
      </c>
      <c r="E9" s="1866">
        <f>MATCH(D9,BAZZS[#Headers], 0)</f>
        <v>1</v>
      </c>
      <c r="F9" s="1784" t="str" cm="1">
        <f t="array" aca="1" ref="F9" ca="1">_xlfn.FORMULATEXT(INDEX(BAZZS[],1,$E9))</f>
        <v>=IFERROR(AND(LEN([@Дисциплина]&amp;[@Специалност]&amp;[@Факултет])&gt;0;LEN([@Вид])=0)*1;0)</v>
      </c>
      <c r="G9" s="63" t="s">
        <v>1046</v>
      </c>
      <c r="H9" s="1834"/>
      <c r="I9" s="1856"/>
      <c r="J9" s="1857">
        <f t="shared" ref="J9:J19" ca="1" si="0">(F9=P9)*1</f>
        <v>1</v>
      </c>
      <c r="K9" s="1834"/>
      <c r="M9" s="1841">
        <v>1</v>
      </c>
      <c r="N9" s="1805" t="s">
        <v>314</v>
      </c>
      <c r="O9" s="1838">
        <f>MATCH(N9,BAZLS[#Headers], 0)</f>
        <v>1</v>
      </c>
      <c r="P9" s="1843" t="str" cm="1">
        <f t="array" aca="1" ref="P9" ca="1">_xlfn.FORMULATEXT(INDEX(BAZLS[],1,O9))</f>
        <v>=IFERROR(AND(LEN([@Дисциплина]&amp;[@Специалност]&amp;[@Факултет])&gt;0;LEN([@Вид])=0)*1;0)</v>
      </c>
      <c r="Q9" s="1813" t="s">
        <v>1046</v>
      </c>
      <c r="R9" s="1825"/>
    </row>
    <row r="10" spans="1:18" x14ac:dyDescent="0.25">
      <c r="A10" s="1824"/>
      <c r="B10" s="1773"/>
      <c r="C10" s="1794">
        <v>2</v>
      </c>
      <c r="D10" s="1781" t="s">
        <v>315</v>
      </c>
      <c r="E10" s="1797">
        <f>MATCH(D10,BAZZS[#Headers], 0)</f>
        <v>2</v>
      </c>
      <c r="F10" s="1785" t="str" cm="1">
        <f t="array" aca="1" ref="F10" ca="1">_xlfn.FORMULATEXT(INDEX(BAZZS[],1,$E10))</f>
        <v>=AND([@Дисциплина]&lt;&gt;0;OR(N([@Лекции])&lt;&gt;0;N([@Упражнения])&lt;&gt;0);N([@Студенти])=0)*1</v>
      </c>
      <c r="G10" s="63" t="s">
        <v>1046</v>
      </c>
      <c r="H10" s="1834"/>
      <c r="I10" s="1851"/>
      <c r="J10" s="1852">
        <f t="shared" ca="1" si="0"/>
        <v>1</v>
      </c>
      <c r="K10" s="1834"/>
      <c r="M10" s="1800">
        <v>2</v>
      </c>
      <c r="N10" s="1807" t="s">
        <v>315</v>
      </c>
      <c r="O10" s="1788">
        <f>MATCH(N10,BAZLS[#Headers], 0)</f>
        <v>2</v>
      </c>
      <c r="P10" s="1844" t="str" cm="1">
        <f t="array" aca="1" ref="P10" ca="1">_xlfn.FORMULATEXT(INDEX(BAZLS[],1,O10))</f>
        <v>=AND([@Дисциплина]&lt;&gt;0;OR(N([@Лекции])&lt;&gt;0;N([@Упражнения])&lt;&gt;0);N([@Студенти])=0)*1</v>
      </c>
      <c r="Q10" s="1813" t="s">
        <v>1046</v>
      </c>
      <c r="R10" s="1825"/>
    </row>
    <row r="11" spans="1:18" x14ac:dyDescent="0.25">
      <c r="A11" s="1824"/>
      <c r="B11" s="1773"/>
      <c r="C11" s="1794">
        <v>3</v>
      </c>
      <c r="D11" s="1781" t="s">
        <v>335</v>
      </c>
      <c r="E11" s="1797">
        <f>MATCH(D11,BAZZS[#Headers], 0)</f>
        <v>3</v>
      </c>
      <c r="F11" s="1785" t="str" cm="1">
        <f t="array" aca="1" ref="F11" ca="1">_xlfn.FORMULATEXT(INDEX(BAZZS[],1,$E11))</f>
        <v>=AND(N([@Изпитани])&gt;0;[@Изпитващ]=0)*1</v>
      </c>
      <c r="G11" s="63" t="s">
        <v>1046</v>
      </c>
      <c r="H11" s="1834"/>
      <c r="I11" s="1851"/>
      <c r="J11" s="1852">
        <f t="shared" ca="1" si="0"/>
        <v>1</v>
      </c>
      <c r="K11" s="1834"/>
      <c r="M11" s="1800">
        <v>3</v>
      </c>
      <c r="N11" s="1807" t="s">
        <v>335</v>
      </c>
      <c r="O11" s="1788">
        <f>MATCH(N11,BAZLS[#Headers], 0)</f>
        <v>3</v>
      </c>
      <c r="P11" s="1844" t="str" cm="1">
        <f t="array" aca="1" ref="P11" ca="1">_xlfn.FORMULATEXT(INDEX(BAZLS[],1,O11))</f>
        <v>=AND(N([@Изпитани])&gt;0;[@Изпитващ]=0)*1</v>
      </c>
      <c r="Q11" s="1813" t="s">
        <v>1046</v>
      </c>
      <c r="R11" s="1825"/>
    </row>
    <row r="12" spans="1:18" x14ac:dyDescent="0.25">
      <c r="A12" s="1824"/>
      <c r="B12" s="1773"/>
      <c r="C12" s="1794">
        <v>4</v>
      </c>
      <c r="D12" s="1781" t="s">
        <v>311</v>
      </c>
      <c r="E12" s="1797">
        <f>MATCH(D12,BAZZS[#Headers], 0)</f>
        <v>4</v>
      </c>
      <c r="F12" s="1785" t="str" cm="1">
        <f t="array" aca="1" ref="F12" ca="1">_xlfn.FORMULATEXT(INDEX(BAZZS[],1,$E12))</f>
        <v>=IFERROR(VLOOKUP([@Език];ТобЕзик[[обЕзик]:[Коеф.]];2;0);0)</v>
      </c>
      <c r="G12" s="63" t="s">
        <v>1046</v>
      </c>
      <c r="H12" s="1834"/>
      <c r="I12" s="1851"/>
      <c r="J12" s="1852">
        <f t="shared" ca="1" si="0"/>
        <v>1</v>
      </c>
      <c r="K12" s="1834"/>
      <c r="M12" s="1800">
        <v>4</v>
      </c>
      <c r="N12" s="1807" t="s">
        <v>311</v>
      </c>
      <c r="O12" s="1788">
        <f>MATCH(N12,BAZLS[#Headers], 0)</f>
        <v>4</v>
      </c>
      <c r="P12" s="1844" t="str" cm="1">
        <f t="array" aca="1" ref="P12" ca="1">_xlfn.FORMULATEXT(INDEX(BAZLS[],1,O12))</f>
        <v>=IFERROR(VLOOKUP([@Език];ТобЕзик[[обЕзик]:[Коеф.]];2;0);0)</v>
      </c>
      <c r="Q12" s="1813" t="s">
        <v>1046</v>
      </c>
      <c r="R12" s="1825"/>
    </row>
    <row r="13" spans="1:18" x14ac:dyDescent="0.25">
      <c r="A13" s="1824"/>
      <c r="B13" s="1773"/>
      <c r="C13" s="1794">
        <v>5</v>
      </c>
      <c r="D13" s="1781" t="s">
        <v>418</v>
      </c>
      <c r="E13" s="1797">
        <f>MATCH(D13,BAZZS[#Headers], 0)</f>
        <v>5</v>
      </c>
      <c r="F13" s="1785" t="str" cm="1">
        <f t="array" aca="1" ref="F13" ca="1">_xlfn.FORMULATEXT(INDEX(BAZZS[],1,$E13))</f>
        <v>=IFERROR(IF(AND([@Студенти]&gt;0;OR([@Вид]="З";[@Студенти]&gt;=6;[@ФормаОб]="ИП";SUMPRODUCT(COUNTIF([@Факултет];"*"&amp;тЗСпец[Факултет]&amp;"*");COUNTIF([@Специалност];тЗСпец[Бак]&amp;"*"))));1;VLOOKUP([@Студенти];ТкСтуденти[[брСтуденти]:[Коеф.]];2;0));0)</v>
      </c>
      <c r="G13" s="63" t="s">
        <v>1046</v>
      </c>
      <c r="H13" s="1834"/>
      <c r="I13" s="1851"/>
      <c r="J13" s="1852">
        <f t="shared" ca="1" si="0"/>
        <v>1</v>
      </c>
      <c r="K13" s="1834"/>
      <c r="M13" s="1800">
        <v>5</v>
      </c>
      <c r="N13" s="1807" t="s">
        <v>418</v>
      </c>
      <c r="O13" s="1788">
        <f>MATCH(N13,BAZLS[#Headers], 0)</f>
        <v>5</v>
      </c>
      <c r="P13" s="1844" t="str" cm="1">
        <f t="array" aca="1" ref="P13" ca="1">_xlfn.FORMULATEXT(INDEX(BAZLS[],1,O13))</f>
        <v>=IFERROR(IF(AND([@Студенти]&gt;0;OR([@Вид]="З";[@Студенти]&gt;=6;[@ФормаОб]="ИП";SUMPRODUCT(COUNTIF([@Факултет];"*"&amp;тЗСпец[Факултет]&amp;"*");COUNTIF([@Специалност];тЗСпец[Бак]&amp;"*"))));1;VLOOKUP([@Студенти];ТкСтуденти[[брСтуденти]:[Коеф.]];2;0));0)</v>
      </c>
      <c r="Q13" s="1813" t="s">
        <v>1046</v>
      </c>
      <c r="R13" s="1825"/>
    </row>
    <row r="14" spans="1:18" x14ac:dyDescent="0.25">
      <c r="A14" s="1824"/>
      <c r="B14" s="1773"/>
      <c r="C14" s="1794">
        <v>6</v>
      </c>
      <c r="D14" s="1781" t="s">
        <v>391</v>
      </c>
      <c r="E14" s="1797">
        <f>MATCH(D14,BAZZS[#Headers], 0)</f>
        <v>6</v>
      </c>
      <c r="F14" s="1785" t="str" cm="1">
        <f t="array" aca="1" ref="F14" ca="1">_xlfn.FORMULATEXT(INDEX(BAZZS[],1,$E14))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G14" s="63" t="s">
        <v>1046</v>
      </c>
      <c r="H14" s="1834"/>
      <c r="I14" s="1851"/>
      <c r="J14" s="1852">
        <f t="shared" ca="1" si="0"/>
        <v>1</v>
      </c>
      <c r="K14" s="1834"/>
      <c r="M14" s="1800">
        <v>6</v>
      </c>
      <c r="N14" s="1807" t="s">
        <v>391</v>
      </c>
      <c r="O14" s="1788">
        <f>MATCH(N14,BAZLS[#Headers], 0)</f>
        <v>6</v>
      </c>
      <c r="P14" s="1844" t="str" cm="1">
        <f t="array" aca="1" ref="P14" ca="1">_xlfn.FORMULATEXT(INDEX(BAZLS[],1,O14))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Q14" s="1813" t="s">
        <v>1046</v>
      </c>
      <c r="R14" s="1825"/>
    </row>
    <row r="15" spans="1:18" x14ac:dyDescent="0.25">
      <c r="A15" s="1824"/>
      <c r="B15" s="1773"/>
      <c r="C15" s="1794">
        <v>7</v>
      </c>
      <c r="D15" s="1782" t="s">
        <v>333</v>
      </c>
      <c r="E15" s="1797">
        <f>MATCH(D15,BAZZS[#Headers], 0)</f>
        <v>7</v>
      </c>
      <c r="F15" s="1785" t="str" cm="1">
        <f t="array" aca="1" ref="F15" ca="1">_xlfn.FORMULATEXT(INDEX(BAZZS[],1,$E15))</f>
        <v>=IFERROR(VLOOKUP([@ФормаОб];тТО[[обФорма]:[Коеф.]];2;0);0)</v>
      </c>
      <c r="G15" s="63" t="s">
        <v>1046</v>
      </c>
      <c r="H15" s="1834"/>
      <c r="I15" s="1851"/>
      <c r="J15" s="1852">
        <f t="shared" ca="1" si="0"/>
        <v>1</v>
      </c>
      <c r="K15" s="1834"/>
      <c r="M15" s="1800">
        <v>7</v>
      </c>
      <c r="N15" s="1808" t="s">
        <v>333</v>
      </c>
      <c r="O15" s="1788">
        <f>MATCH(N15,BAZLS[#Headers], 0)</f>
        <v>7</v>
      </c>
      <c r="P15" s="1844" t="str" cm="1">
        <f t="array" aca="1" ref="P15" ca="1">_xlfn.FORMULATEXT(INDEX(BAZLS[],1,O15))</f>
        <v>=IFERROR(VLOOKUP([@ФормаОб];тТО[[обФорма]:[Коеф.]];2;0);0)</v>
      </c>
      <c r="Q15" s="1813" t="s">
        <v>1046</v>
      </c>
      <c r="R15" s="1825"/>
    </row>
    <row r="16" spans="1:18" x14ac:dyDescent="0.25">
      <c r="A16" s="1824"/>
      <c r="B16" s="1773"/>
      <c r="C16" s="1794">
        <v>8</v>
      </c>
      <c r="D16" s="1781" t="s">
        <v>338</v>
      </c>
      <c r="E16" s="1797">
        <f>MATCH(D16,BAZZS[#Headers], 0)</f>
        <v>8</v>
      </c>
      <c r="F16" s="1785" t="str" cm="1">
        <f t="array" aca="1" ref="F16" ca="1">_xlfn.FORMULATEXT(INDEX(BAZZS[],1,$E16))</f>
        <v>=N([@Лекции])*[@кЕзик]*[@кСтуденти]*кЛекции</v>
      </c>
      <c r="G16" s="63" t="s">
        <v>1046</v>
      </c>
      <c r="H16" s="1834"/>
      <c r="I16" s="1851"/>
      <c r="J16" s="1852">
        <f t="shared" ca="1" si="0"/>
        <v>1</v>
      </c>
      <c r="K16" s="1834"/>
      <c r="M16" s="1800">
        <v>8</v>
      </c>
      <c r="N16" s="1807" t="s">
        <v>338</v>
      </c>
      <c r="O16" s="1788">
        <f>MATCH(N16,BAZLS[#Headers], 0)</f>
        <v>8</v>
      </c>
      <c r="P16" s="1844" t="str" cm="1">
        <f t="array" aca="1" ref="P16" ca="1">_xlfn.FORMULATEXT(INDEX(BAZLS[],1,O16))</f>
        <v>=N([@Лекции])*[@кЕзик]*[@кСтуденти]*кЛекции</v>
      </c>
      <c r="Q16" s="1813" t="s">
        <v>1046</v>
      </c>
      <c r="R16" s="1825"/>
    </row>
    <row r="17" spans="1:18" x14ac:dyDescent="0.25">
      <c r="A17" s="1824"/>
      <c r="B17" s="1773"/>
      <c r="C17" s="1794">
        <v>9</v>
      </c>
      <c r="D17" s="1781" t="s">
        <v>399</v>
      </c>
      <c r="E17" s="1797">
        <f>MATCH(D17,BAZZS[#Headers], 0)</f>
        <v>9</v>
      </c>
      <c r="F17" s="1785" t="str" cm="1">
        <f t="array" aca="1" ref="F17" ca="1">_xlfn.FORMULATEXT(INDEX(BAZZS[],1,$E17))</f>
        <v>=N([@Упражнения])*[@кЕзик]*[@кСтуденти]*кУпражнение</v>
      </c>
      <c r="G17" s="63" t="s">
        <v>1046</v>
      </c>
      <c r="H17" s="1834"/>
      <c r="I17" s="1851"/>
      <c r="J17" s="1852">
        <f t="shared" ca="1" si="0"/>
        <v>1</v>
      </c>
      <c r="K17" s="1834"/>
      <c r="M17" s="1800">
        <v>9</v>
      </c>
      <c r="N17" s="1807" t="s">
        <v>399</v>
      </c>
      <c r="O17" s="1788">
        <f>MATCH(N17,BAZLS[#Headers], 0)</f>
        <v>9</v>
      </c>
      <c r="P17" s="1844" t="str" cm="1">
        <f t="array" aca="1" ref="P17" ca="1">_xlfn.FORMULATEXT(INDEX(BAZLS[],1,O17))</f>
        <v>=N([@Упражнения])*[@кЕзик]*[@кСтуденти]*кУпражнение</v>
      </c>
      <c r="Q17" s="1813" t="s">
        <v>1046</v>
      </c>
      <c r="R17" s="1825"/>
    </row>
    <row r="18" spans="1:18" x14ac:dyDescent="0.25">
      <c r="A18" s="1824"/>
      <c r="B18" s="1773"/>
      <c r="C18" s="1794">
        <v>10</v>
      </c>
      <c r="D18" s="1781" t="s">
        <v>387</v>
      </c>
      <c r="E18" s="1797">
        <f>MATCH(D18,BAZZS[#Headers], 0)</f>
        <v>10</v>
      </c>
      <c r="F18" s="1785" t="str" cm="1">
        <f t="array" aca="1" ref="F18" ca="1">_xlfn.FORMULATEXT(INDEX(BAZZS[],1,$E18))</f>
        <v>=N([@Изпитани])*[@кИзпитващ]</v>
      </c>
      <c r="G18" s="63" t="s">
        <v>1046</v>
      </c>
      <c r="H18" s="1834"/>
      <c r="I18" s="1851"/>
      <c r="J18" s="1852">
        <f t="shared" ca="1" si="0"/>
        <v>1</v>
      </c>
      <c r="K18" s="1834"/>
      <c r="M18" s="1800">
        <v>10</v>
      </c>
      <c r="N18" s="1807" t="s">
        <v>387</v>
      </c>
      <c r="O18" s="1788">
        <f>MATCH(N18,BAZLS[#Headers], 0)</f>
        <v>10</v>
      </c>
      <c r="P18" s="1844" t="str" cm="1">
        <f t="array" aca="1" ref="P18" ca="1">_xlfn.FORMULATEXT(INDEX(BAZLS[],1,O18))</f>
        <v>=N([@Изпитани])*[@кИзпитващ]</v>
      </c>
      <c r="Q18" s="1813" t="s">
        <v>1046</v>
      </c>
      <c r="R18" s="1825"/>
    </row>
    <row r="19" spans="1:18" ht="15.75" thickBot="1" x14ac:dyDescent="0.3">
      <c r="A19" s="1824"/>
      <c r="B19" s="1773"/>
      <c r="C19" s="1795">
        <v>11</v>
      </c>
      <c r="D19" s="1783" t="s">
        <v>334</v>
      </c>
      <c r="E19" s="1798">
        <f>MATCH(D19,BAZZS[#Headers], 0)</f>
        <v>11</v>
      </c>
      <c r="F19" s="1786" t="str" cm="1">
        <f t="array" aca="1" ref="F19" ca="1">_xlfn.FORMULATEXT(INDEX(BAZZS[],1,$E19))</f>
        <v>=N([@ТО])*[@кTO]</v>
      </c>
      <c r="G19" s="63" t="s">
        <v>1046</v>
      </c>
      <c r="H19" s="1834"/>
      <c r="I19" s="1858"/>
      <c r="J19" s="1859">
        <f t="shared" ca="1" si="0"/>
        <v>1</v>
      </c>
      <c r="K19" s="1834"/>
      <c r="M19" s="1801">
        <v>11</v>
      </c>
      <c r="N19" s="1809" t="s">
        <v>334</v>
      </c>
      <c r="O19" s="1848">
        <f>MATCH(N19,BAZLS[#Headers], 0)</f>
        <v>11</v>
      </c>
      <c r="P19" s="1845" t="str" cm="1">
        <f t="array" aca="1" ref="P19" ca="1">_xlfn.FORMULATEXT(INDEX(BAZLS[],1,O19))</f>
        <v>=N([@ТО])*[@кTO]</v>
      </c>
      <c r="Q19" s="1813" t="s">
        <v>1046</v>
      </c>
      <c r="R19" s="1825"/>
    </row>
    <row r="20" spans="1:18" x14ac:dyDescent="0.25">
      <c r="A20" s="1824"/>
      <c r="B20" s="1773"/>
      <c r="C20" s="1793">
        <v>12</v>
      </c>
      <c r="D20" s="1862" t="s">
        <v>1092</v>
      </c>
      <c r="E20" s="1796">
        <f>MATCH(D20,BAZZS[#Headers], 0)</f>
        <v>32</v>
      </c>
      <c r="F20" s="1792" t="str" cm="1">
        <f t="array" aca="1" ref="F20" ca="1">_xlfn.FORMULATEXT(INDEX(BAZZS[],1,$E20))</f>
        <v>=N(OFFSET([@|];-1;0))+1</v>
      </c>
      <c r="G20" s="63" t="s">
        <v>1046</v>
      </c>
      <c r="H20" s="1834"/>
      <c r="I20" s="1849"/>
      <c r="J20" s="1850">
        <f t="shared" ref="J20:J22" ca="1" si="1">(F20=P20)*1</f>
        <v>1</v>
      </c>
      <c r="K20" s="1834"/>
      <c r="M20" s="1799">
        <v>12</v>
      </c>
      <c r="N20" s="1863" t="s">
        <v>1092</v>
      </c>
      <c r="O20" s="1788">
        <f>MATCH(N20,BAZLS[#Headers], 0)</f>
        <v>32</v>
      </c>
      <c r="P20" s="1855" t="str" cm="1">
        <f t="array" aca="1" ref="P20" ca="1">_xlfn.FORMULATEXT(INDEX(BAZLS[],1,O20))</f>
        <v>=N(OFFSET([@|];-1;0))+1</v>
      </c>
      <c r="Q20" s="1813" t="s">
        <v>1046</v>
      </c>
      <c r="R20" s="1825"/>
    </row>
    <row r="21" spans="1:18" x14ac:dyDescent="0.25">
      <c r="A21" s="1824"/>
      <c r="B21" s="1773"/>
      <c r="C21" s="1794">
        <v>13</v>
      </c>
      <c r="D21" s="1782" t="s">
        <v>7736</v>
      </c>
      <c r="E21" s="1797">
        <f>MATCH(D21,BAZZS[#Headers], 0)</f>
        <v>33</v>
      </c>
      <c r="F21" s="1785" t="str" cm="1">
        <f t="array" aca="1" ref="F21" ca="1">_xlfn.FORMULATEXT(INDEX(BAZZS[],1,$E21))</f>
        <v>=IF([@уЧасове];[@нацид|монСпециалностМП];"")</v>
      </c>
      <c r="G21" s="63" t="s">
        <v>1046</v>
      </c>
      <c r="H21" s="1834"/>
      <c r="I21" s="1851"/>
      <c r="J21" s="1852">
        <f t="shared" ca="1" si="1"/>
        <v>1</v>
      </c>
      <c r="K21" s="1834"/>
      <c r="M21" s="1800">
        <v>13</v>
      </c>
      <c r="N21" s="1808" t="s">
        <v>7736</v>
      </c>
      <c r="O21" s="1788">
        <f>MATCH(N21,BAZLS[#Headers], 0)</f>
        <v>33</v>
      </c>
      <c r="P21" s="1844" t="str" cm="1">
        <f t="array" aca="1" ref="P21" ca="1">_xlfn.FORMULATEXT(INDEX(BAZLS[],1,O21))</f>
        <v>=IF([@уЧасове];[@нацид|монСпециалностМП];"")</v>
      </c>
      <c r="Q21" s="1813" t="s">
        <v>1046</v>
      </c>
      <c r="R21" s="1825"/>
    </row>
    <row r="22" spans="1:18" ht="15.75" thickBot="1" x14ac:dyDescent="0.3">
      <c r="A22" s="1824"/>
      <c r="B22" s="1773"/>
      <c r="C22" s="1795">
        <v>14</v>
      </c>
      <c r="D22" s="1783" t="s">
        <v>7828</v>
      </c>
      <c r="E22" s="1798">
        <f>MATCH(D22,BAZZS[#Headers], 0)</f>
        <v>34</v>
      </c>
      <c r="F22" s="1786" t="str" cm="1">
        <f t="array" aca="1" ref="F22" ca="1">_xlfn.FORMULATEXT(INDEX(BAZZS[],1,$E22))</f>
        <v>=SUM(BAZZS[@[чЛекции]:[чTO]];N([@КР])*кКурсова_работа)</v>
      </c>
      <c r="G22" s="63" t="s">
        <v>1046</v>
      </c>
      <c r="H22" s="1834"/>
      <c r="I22" s="1858"/>
      <c r="J22" s="1859">
        <f t="shared" ca="1" si="1"/>
        <v>0</v>
      </c>
      <c r="K22" s="1834"/>
      <c r="M22" s="1801">
        <v>14</v>
      </c>
      <c r="N22" s="1809" t="s">
        <v>7828</v>
      </c>
      <c r="O22" s="1848">
        <f>MATCH(N22,BAZLS[#Headers], 0)</f>
        <v>34</v>
      </c>
      <c r="P22" s="1845" t="str" cm="1">
        <f t="array" aca="1" ref="P22" ca="1">_xlfn.FORMULATEXT(INDEX(BAZLS[],1,O22))</f>
        <v>=SUM(BAZLS[@[чЛекции]:[чTO]];N([@КР])*кКурсова_работа)</v>
      </c>
      <c r="Q22" s="1813" t="s">
        <v>1046</v>
      </c>
      <c r="R22" s="1825"/>
    </row>
    <row r="23" spans="1:18" x14ac:dyDescent="0.25">
      <c r="A23" s="1824"/>
      <c r="B23" s="1773"/>
      <c r="E23" s="614"/>
      <c r="G23" s="63" t="s">
        <v>1046</v>
      </c>
      <c r="H23" s="1834"/>
      <c r="I23" s="353"/>
      <c r="K23" s="1834"/>
      <c r="Q23" s="1774"/>
      <c r="R23" s="1825"/>
    </row>
    <row r="24" spans="1:18" ht="18.75" x14ac:dyDescent="0.3">
      <c r="A24" s="1824"/>
      <c r="B24" s="1773"/>
      <c r="C24" s="2863" t="s">
        <v>12876</v>
      </c>
      <c r="D24" s="2864"/>
      <c r="E24" s="2864"/>
      <c r="F24" s="2865"/>
      <c r="G24" s="63" t="s">
        <v>1046</v>
      </c>
      <c r="H24" s="1834"/>
      <c r="I24" s="353"/>
      <c r="K24" s="1834"/>
      <c r="M24" s="2863" t="s">
        <v>12876</v>
      </c>
      <c r="N24" s="2864"/>
      <c r="O24" s="2864"/>
      <c r="P24" s="2865"/>
      <c r="Q24" s="1774"/>
      <c r="R24" s="1825"/>
    </row>
    <row r="25" spans="1:18" ht="15.75" thickBot="1" x14ac:dyDescent="0.3">
      <c r="A25" s="1824"/>
      <c r="B25" s="1773"/>
      <c r="D25" s="63" t="s">
        <v>2818</v>
      </c>
      <c r="E25" s="353"/>
      <c r="F25" s="63" t="s">
        <v>682</v>
      </c>
      <c r="G25" s="63" t="s">
        <v>1046</v>
      </c>
      <c r="H25" s="1834"/>
      <c r="I25" s="353"/>
      <c r="J25" s="353"/>
      <c r="K25" s="1834"/>
      <c r="L25" s="63"/>
      <c r="M25" s="63"/>
      <c r="N25" s="63" t="s">
        <v>12881</v>
      </c>
      <c r="Q25" s="1774"/>
      <c r="R25" s="1825"/>
    </row>
    <row r="26" spans="1:18" ht="15.75" thickBot="1" x14ac:dyDescent="0.3">
      <c r="A26" s="1824"/>
      <c r="B26" s="1773"/>
      <c r="C26" s="1802" t="s">
        <v>573</v>
      </c>
      <c r="D26" s="1787" t="s">
        <v>2815</v>
      </c>
      <c r="E26" s="1802" t="s">
        <v>12874</v>
      </c>
      <c r="F26" s="1842" t="s">
        <v>12880</v>
      </c>
      <c r="G26" s="63" t="s">
        <v>1046</v>
      </c>
      <c r="H26" s="1834"/>
      <c r="I26" s="353"/>
      <c r="J26" s="353"/>
      <c r="K26" s="1834"/>
      <c r="M26" s="1802" t="s">
        <v>573</v>
      </c>
      <c r="N26" s="1787" t="s">
        <v>2815</v>
      </c>
      <c r="O26" s="1802" t="s">
        <v>12874</v>
      </c>
      <c r="P26" s="1842" t="s">
        <v>12880</v>
      </c>
      <c r="Q26" s="1774"/>
      <c r="R26" s="1825"/>
    </row>
    <row r="27" spans="1:18" x14ac:dyDescent="0.25">
      <c r="A27" s="1824"/>
      <c r="B27" s="1773"/>
      <c r="C27" s="1841">
        <v>1</v>
      </c>
      <c r="D27" s="1811" t="s">
        <v>314</v>
      </c>
      <c r="E27" s="1838">
        <f>MATCH(D27,MAZZS[#Headers], 0)</f>
        <v>1</v>
      </c>
      <c r="F27" s="1784" t="str" cm="1">
        <f t="array" aca="1" ref="F27" ca="1">_xlfn.FORMULATEXT(INDEX(MAZZS[],1,$E27))</f>
        <v>=IFERROR(AND(LEN([@Дисциплина]&amp;[@[Магистърска програма]]&amp;[@Факултет])&gt;0;LEN([@Вид])=0)*1;0)</v>
      </c>
      <c r="G27" s="63" t="s">
        <v>1046</v>
      </c>
      <c r="H27" s="1834"/>
      <c r="I27" s="1856">
        <f t="shared" ref="I27:I40" ca="1" si="2">(F27=F9)*1</f>
        <v>0</v>
      </c>
      <c r="J27" s="1857">
        <f ca="1">(F27=P27)*1</f>
        <v>1</v>
      </c>
      <c r="K27" s="1834"/>
      <c r="M27" s="1841">
        <v>1</v>
      </c>
      <c r="N27" s="1811" t="s">
        <v>314</v>
      </c>
      <c r="O27" s="1838">
        <f>MATCH(N27,MAZLS[#Headers], 0)</f>
        <v>1</v>
      </c>
      <c r="P27" s="1843" t="str" cm="1">
        <f t="array" aca="1" ref="P27" ca="1">_xlfn.FORMULATEXT(INDEX(MAZLS[],1,O27))</f>
        <v>=IFERROR(AND(LEN([@Дисциплина]&amp;[@[Магистърска програма]]&amp;[@Факултет])&gt;0;LEN([@Вид])=0)*1;0)</v>
      </c>
      <c r="Q27" s="1813" t="s">
        <v>1046</v>
      </c>
      <c r="R27" s="1825"/>
    </row>
    <row r="28" spans="1:18" x14ac:dyDescent="0.25">
      <c r="A28" s="1824"/>
      <c r="B28" s="1773"/>
      <c r="C28" s="1800">
        <v>2</v>
      </c>
      <c r="D28" s="1812" t="s">
        <v>315</v>
      </c>
      <c r="E28" s="1788">
        <f>MATCH(D28,MAZZS[#Headers], 0)</f>
        <v>2</v>
      </c>
      <c r="F28" s="1785" t="str" cm="1">
        <f t="array" aca="1" ref="F28" ca="1">_xlfn.FORMULATEXT(INDEX(MAZZS[],1,$E28))</f>
        <v>=AND([@Дисциплина]&lt;&gt;0;OR(N([@Лекции])&lt;&gt;0;N([@Упражнения])&lt;&gt;0);N([@Студенти])=0)*1</v>
      </c>
      <c r="G28" s="63" t="s">
        <v>1046</v>
      </c>
      <c r="H28" s="1834"/>
      <c r="I28" s="1851">
        <f t="shared" ca="1" si="2"/>
        <v>1</v>
      </c>
      <c r="J28" s="1852">
        <f t="shared" ref="J28:J36" ca="1" si="3">(F28=P28)*1</f>
        <v>1</v>
      </c>
      <c r="K28" s="1834"/>
      <c r="M28" s="1800">
        <v>2</v>
      </c>
      <c r="N28" s="1812" t="s">
        <v>315</v>
      </c>
      <c r="O28" s="1788">
        <f>MATCH(N28,MAZLS[#Headers], 0)</f>
        <v>2</v>
      </c>
      <c r="P28" s="1844" t="str" cm="1">
        <f t="array" aca="1" ref="P28" ca="1">_xlfn.FORMULATEXT(INDEX(MAZLS[],1,O28))</f>
        <v>=AND([@Дисциплина]&lt;&gt;0;OR(N([@Лекции])&lt;&gt;0;N([@Упражнения])&lt;&gt;0);N([@Студенти])=0)*1</v>
      </c>
      <c r="Q28" s="1813" t="s">
        <v>1046</v>
      </c>
      <c r="R28" s="1825"/>
    </row>
    <row r="29" spans="1:18" x14ac:dyDescent="0.25">
      <c r="A29" s="1824"/>
      <c r="B29" s="1773"/>
      <c r="C29" s="1800">
        <v>3</v>
      </c>
      <c r="D29" s="1812" t="s">
        <v>335</v>
      </c>
      <c r="E29" s="1788">
        <f>MATCH(D29,MAZZS[#Headers], 0)</f>
        <v>3</v>
      </c>
      <c r="F29" s="1785" t="str" cm="1">
        <f t="array" aca="1" ref="F29" ca="1">_xlfn.FORMULATEXT(INDEX(MAZZS[],1,$E29))</f>
        <v>=AND(N([@Изпитани])&gt;0;[@Изпитващ]=0)*1</v>
      </c>
      <c r="G29" s="63" t="s">
        <v>1046</v>
      </c>
      <c r="H29" s="1834"/>
      <c r="I29" s="1851">
        <f t="shared" ca="1" si="2"/>
        <v>1</v>
      </c>
      <c r="J29" s="1852">
        <f t="shared" ca="1" si="3"/>
        <v>1</v>
      </c>
      <c r="K29" s="1834"/>
      <c r="M29" s="1800">
        <v>3</v>
      </c>
      <c r="N29" s="1812" t="s">
        <v>335</v>
      </c>
      <c r="O29" s="1788">
        <f>MATCH(N29,MAZLS[#Headers], 0)</f>
        <v>3</v>
      </c>
      <c r="P29" s="1844" t="str" cm="1">
        <f t="array" aca="1" ref="P29" ca="1">_xlfn.FORMULATEXT(INDEX(MAZLS[],1,O29))</f>
        <v>=AND(N([@Изпитани])&gt;0;[@Изпитващ]=0)*1</v>
      </c>
      <c r="Q29" s="1813" t="s">
        <v>1046</v>
      </c>
      <c r="R29" s="1825"/>
    </row>
    <row r="30" spans="1:18" x14ac:dyDescent="0.25">
      <c r="A30" s="1824"/>
      <c r="B30" s="1773"/>
      <c r="C30" s="1800">
        <v>4</v>
      </c>
      <c r="D30" s="1812" t="s">
        <v>311</v>
      </c>
      <c r="E30" s="1788">
        <f>MATCH(D30,MAZZS[#Headers], 0)</f>
        <v>4</v>
      </c>
      <c r="F30" s="1785" t="str" cm="1">
        <f t="array" aca="1" ref="F30" ca="1">_xlfn.FORMULATEXT(INDEX(MAZZS[],1,$E30))</f>
        <v>=IFERROR(VLOOKUP([@Език];ТобЕзик[[обЕзик]:[Коеф.]];2;0);0)</v>
      </c>
      <c r="G30" s="63" t="s">
        <v>1046</v>
      </c>
      <c r="H30" s="1834"/>
      <c r="I30" s="1851">
        <f t="shared" ca="1" si="2"/>
        <v>1</v>
      </c>
      <c r="J30" s="1852">
        <f t="shared" ca="1" si="3"/>
        <v>1</v>
      </c>
      <c r="K30" s="1834"/>
      <c r="M30" s="1800">
        <v>4</v>
      </c>
      <c r="N30" s="1812" t="s">
        <v>311</v>
      </c>
      <c r="O30" s="1788">
        <f>MATCH(N30,MAZLS[#Headers], 0)</f>
        <v>4</v>
      </c>
      <c r="P30" s="1844" t="str" cm="1">
        <f t="array" aca="1" ref="P30" ca="1">_xlfn.FORMULATEXT(INDEX(MAZLS[],1,O30))</f>
        <v>=IFERROR(VLOOKUP([@Език];ТобЕзик[[обЕзик]:[Коеф.]];2;0);0)</v>
      </c>
      <c r="Q30" s="1813" t="s">
        <v>1046</v>
      </c>
      <c r="R30" s="1825"/>
    </row>
    <row r="31" spans="1:18" x14ac:dyDescent="0.25">
      <c r="A31" s="1824"/>
      <c r="B31" s="1773"/>
      <c r="C31" s="1800">
        <v>5</v>
      </c>
      <c r="D31" s="1812" t="s">
        <v>418</v>
      </c>
      <c r="E31" s="1788">
        <f>MATCH(D31,MAZZS[#Headers], 0)</f>
        <v>5</v>
      </c>
      <c r="F31" s="1785" t="str" cm="1">
        <f t="array" aca="1" ref="F31" ca="1">_xlfn.FORMULATEXT(INDEX(MAZZS[],1,$E31))</f>
        <v>=IFERROR(IF(AND([@Студенти]&gt;0;OR([@Студенти]&gt;=6;SUMPRODUCT(COUNTIF([@Факултет];"*"&amp;тЗСпец[Факултет]&amp;"*");COUNTIF([@[Магистърска програма]];тЗСпец[Маг]&amp;"*"))));1;VLOOKUP([@Студенти];ТкСтуденти[[брСтуденти]:[Коеф.]];2;0));0)</v>
      </c>
      <c r="G31" s="63" t="s">
        <v>1046</v>
      </c>
      <c r="H31" s="1834"/>
      <c r="I31" s="1851">
        <f t="shared" ca="1" si="2"/>
        <v>0</v>
      </c>
      <c r="J31" s="1852">
        <f t="shared" ca="1" si="3"/>
        <v>1</v>
      </c>
      <c r="K31" s="1834"/>
      <c r="M31" s="1800">
        <v>5</v>
      </c>
      <c r="N31" s="1812" t="s">
        <v>418</v>
      </c>
      <c r="O31" s="1788">
        <f>MATCH(N31,MAZLS[#Headers], 0)</f>
        <v>5</v>
      </c>
      <c r="P31" s="1844" t="str" cm="1">
        <f t="array" aca="1" ref="P31" ca="1">_xlfn.FORMULATEXT(INDEX(MAZLS[],1,O31))</f>
        <v>=IFERROR(IF(AND([@Студенти]&gt;0;OR([@Студенти]&gt;=6;SUMPRODUCT(COUNTIF([@Факултет];"*"&amp;тЗСпец[Факултет]&amp;"*");COUNTIF([@[Магистърска програма]];тЗСпец[Маг]&amp;"*"))));1;VLOOKUP([@Студенти];ТкСтуденти[[брСтуденти]:[Коеф.]];2;0));0)</v>
      </c>
      <c r="Q31" s="1813" t="s">
        <v>1046</v>
      </c>
      <c r="R31" s="1825"/>
    </row>
    <row r="32" spans="1:18" x14ac:dyDescent="0.25">
      <c r="A32" s="1824"/>
      <c r="B32" s="1773"/>
      <c r="C32" s="1800">
        <v>6</v>
      </c>
      <c r="D32" s="1812" t="s">
        <v>391</v>
      </c>
      <c r="E32" s="1788">
        <f>MATCH(D32,MAZZS[#Headers], 0)</f>
        <v>6</v>
      </c>
      <c r="F32" s="1785" t="str" cm="1">
        <f t="array" aca="1" ref="F32" ca="1">_xlfn.FORMULATEXT(INDEX(MAZZS[],1,$E32))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G32" s="63" t="s">
        <v>1046</v>
      </c>
      <c r="H32" s="1834"/>
      <c r="I32" s="1851">
        <f t="shared" ca="1" si="2"/>
        <v>1</v>
      </c>
      <c r="J32" s="1852">
        <f t="shared" ca="1" si="3"/>
        <v>1</v>
      </c>
      <c r="K32" s="1834"/>
      <c r="M32" s="1800">
        <v>6</v>
      </c>
      <c r="N32" s="1812" t="s">
        <v>391</v>
      </c>
      <c r="O32" s="1788">
        <f>MATCH(N32,MAZLS[#Headers], 0)</f>
        <v>6</v>
      </c>
      <c r="P32" s="1844" t="str" cm="1">
        <f t="array" aca="1" ref="P32" ca="1">_xlfn.FORMULATEXT(INDEX(MAZLS[],1,O32))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Q32" s="1813" t="s">
        <v>1046</v>
      </c>
      <c r="R32" s="1825"/>
    </row>
    <row r="33" spans="1:18" x14ac:dyDescent="0.25">
      <c r="A33" s="1824"/>
      <c r="B33" s="1773"/>
      <c r="C33" s="1800">
        <v>7</v>
      </c>
      <c r="D33" s="1814" t="s">
        <v>333</v>
      </c>
      <c r="E33" s="1788">
        <f>MATCH(D33,MAZZS[#Headers], 0)</f>
        <v>7</v>
      </c>
      <c r="F33" s="1785" t="str" cm="1">
        <f t="array" aca="1" ref="F33" ca="1">_xlfn.FORMULATEXT(INDEX(MAZZS[],1,$E33))</f>
        <v>=IFERROR(VLOOKUP([@ФормаОб];тТО[[обФорма]:[Коеф.]];2;0);0)</v>
      </c>
      <c r="G33" s="63" t="s">
        <v>1046</v>
      </c>
      <c r="H33" s="1834"/>
      <c r="I33" s="1851">
        <f t="shared" ca="1" si="2"/>
        <v>1</v>
      </c>
      <c r="J33" s="1852">
        <f t="shared" ca="1" si="3"/>
        <v>1</v>
      </c>
      <c r="K33" s="1834"/>
      <c r="M33" s="1800">
        <v>7</v>
      </c>
      <c r="N33" s="1814" t="s">
        <v>333</v>
      </c>
      <c r="O33" s="1788">
        <f>MATCH(N33,MAZLS[#Headers], 0)</f>
        <v>7</v>
      </c>
      <c r="P33" s="1844" t="str" cm="1">
        <f t="array" aca="1" ref="P33" ca="1">_xlfn.FORMULATEXT(INDEX(MAZLS[],1,O33))</f>
        <v>=IFERROR(VLOOKUP([@ФормаОб];тТО[[обФорма]:[Коеф.]];2;0);0)</v>
      </c>
      <c r="Q33" s="1813" t="s">
        <v>1046</v>
      </c>
      <c r="R33" s="1825"/>
    </row>
    <row r="34" spans="1:18" x14ac:dyDescent="0.25">
      <c r="A34" s="1824"/>
      <c r="B34" s="1773"/>
      <c r="C34" s="1800">
        <v>8</v>
      </c>
      <c r="D34" s="1812" t="s">
        <v>338</v>
      </c>
      <c r="E34" s="1788">
        <f>MATCH(D34,MAZZS[#Headers], 0)</f>
        <v>8</v>
      </c>
      <c r="F34" s="1785" t="str" cm="1">
        <f t="array" aca="1" ref="F34" ca="1">_xlfn.FORMULATEXT(INDEX(MAZZS[],1,$E34))</f>
        <v>=N([@Лекции])*[@кЕзик]*[@кСтуденти]*кЛекции</v>
      </c>
      <c r="G34" s="63" t="s">
        <v>1046</v>
      </c>
      <c r="H34" s="1834"/>
      <c r="I34" s="1851">
        <f t="shared" ca="1" si="2"/>
        <v>1</v>
      </c>
      <c r="J34" s="1852">
        <f t="shared" ca="1" si="3"/>
        <v>1</v>
      </c>
      <c r="K34" s="1834"/>
      <c r="M34" s="1800">
        <v>8</v>
      </c>
      <c r="N34" s="1812" t="s">
        <v>338</v>
      </c>
      <c r="O34" s="1788">
        <f>MATCH(N34,MAZLS[#Headers], 0)</f>
        <v>8</v>
      </c>
      <c r="P34" s="1844" t="str" cm="1">
        <f t="array" aca="1" ref="P34" ca="1">_xlfn.FORMULATEXT(INDEX(MAZLS[],1,O34))</f>
        <v>=N([@Лекции])*[@кЕзик]*[@кСтуденти]*кЛекции</v>
      </c>
      <c r="Q34" s="1813" t="s">
        <v>1046</v>
      </c>
      <c r="R34" s="1825"/>
    </row>
    <row r="35" spans="1:18" x14ac:dyDescent="0.25">
      <c r="A35" s="1824"/>
      <c r="B35" s="1773"/>
      <c r="C35" s="1800">
        <v>9</v>
      </c>
      <c r="D35" s="1812" t="s">
        <v>399</v>
      </c>
      <c r="E35" s="1788">
        <f>MATCH(D35,MAZZS[#Headers], 0)</f>
        <v>9</v>
      </c>
      <c r="F35" s="1785" t="str" cm="1">
        <f t="array" aca="1" ref="F35" ca="1">_xlfn.FORMULATEXT(INDEX(MAZZS[],1,$E35))</f>
        <v>=N([@Упражнения])*[@кЕзик]*[@кСтуденти]*кУпражнение</v>
      </c>
      <c r="G35" s="63" t="s">
        <v>1046</v>
      </c>
      <c r="H35" s="1834"/>
      <c r="I35" s="1851">
        <f t="shared" ca="1" si="2"/>
        <v>1</v>
      </c>
      <c r="J35" s="1852">
        <f t="shared" ca="1" si="3"/>
        <v>1</v>
      </c>
      <c r="K35" s="1834"/>
      <c r="M35" s="1800">
        <v>9</v>
      </c>
      <c r="N35" s="1812" t="s">
        <v>399</v>
      </c>
      <c r="O35" s="1788">
        <f>MATCH(N35,MAZLS[#Headers], 0)</f>
        <v>9</v>
      </c>
      <c r="P35" s="1844" t="str" cm="1">
        <f t="array" aca="1" ref="P35" ca="1">_xlfn.FORMULATEXT(INDEX(MAZLS[],1,O35))</f>
        <v>=N([@Упражнения])*[@кЕзик]*[@кСтуденти]*кУпражнение</v>
      </c>
      <c r="Q35" s="1813" t="s">
        <v>1046</v>
      </c>
      <c r="R35" s="1825"/>
    </row>
    <row r="36" spans="1:18" x14ac:dyDescent="0.25">
      <c r="A36" s="1824"/>
      <c r="B36" s="1773"/>
      <c r="C36" s="1800">
        <v>10</v>
      </c>
      <c r="D36" s="1812" t="s">
        <v>387</v>
      </c>
      <c r="E36" s="1788">
        <f>MATCH(D36,MAZZS[#Headers], 0)</f>
        <v>10</v>
      </c>
      <c r="F36" s="1785" t="str" cm="1">
        <f t="array" aca="1" ref="F36" ca="1">_xlfn.FORMULATEXT(INDEX(MAZZS[],1,$E36))</f>
        <v>=N([@Изпитани])*[@кИзпитващ]</v>
      </c>
      <c r="G36" s="63" t="s">
        <v>1046</v>
      </c>
      <c r="H36" s="1834"/>
      <c r="I36" s="1851">
        <f t="shared" ca="1" si="2"/>
        <v>1</v>
      </c>
      <c r="J36" s="1852">
        <f t="shared" ca="1" si="3"/>
        <v>1</v>
      </c>
      <c r="K36" s="1834"/>
      <c r="M36" s="1800">
        <v>10</v>
      </c>
      <c r="N36" s="1812" t="s">
        <v>387</v>
      </c>
      <c r="O36" s="1788">
        <f>MATCH(N36,MAZLS[#Headers], 0)</f>
        <v>10</v>
      </c>
      <c r="P36" s="1844" t="str" cm="1">
        <f t="array" aca="1" ref="P36" ca="1">_xlfn.FORMULATEXT(INDEX(MAZLS[],1,O36))</f>
        <v>=N([@Изпитани])*[@кИзпитващ]</v>
      </c>
      <c r="Q36" s="1813" t="s">
        <v>1046</v>
      </c>
      <c r="R36" s="1825"/>
    </row>
    <row r="37" spans="1:18" ht="15.75" thickBot="1" x14ac:dyDescent="0.3">
      <c r="A37" s="1824"/>
      <c r="B37" s="1773"/>
      <c r="C37" s="1801">
        <v>11</v>
      </c>
      <c r="D37" s="1861" t="s">
        <v>334</v>
      </c>
      <c r="E37" s="1848">
        <f>MATCH(D37,MAZZS[#Headers], 0)</f>
        <v>11</v>
      </c>
      <c r="F37" s="1786" t="str" cm="1">
        <f t="array" aca="1" ref="F37" ca="1">_xlfn.FORMULATEXT(INDEX(MAZZS[],1,$E37))</f>
        <v>=N([@ТО])*[@кTO]</v>
      </c>
      <c r="G37" s="63" t="s">
        <v>1046</v>
      </c>
      <c r="H37" s="1834"/>
      <c r="I37" s="1858">
        <f t="shared" ca="1" si="2"/>
        <v>1</v>
      </c>
      <c r="J37" s="1859">
        <f ca="1">(F37=P37)*1</f>
        <v>1</v>
      </c>
      <c r="K37" s="1834"/>
      <c r="M37" s="1801">
        <v>11</v>
      </c>
      <c r="N37" s="1861" t="s">
        <v>334</v>
      </c>
      <c r="O37" s="1848">
        <f>MATCH(N37,MAZLS[#Headers], 0)</f>
        <v>11</v>
      </c>
      <c r="P37" s="1845" t="str" cm="1">
        <f t="array" aca="1" ref="P37" ca="1">_xlfn.FORMULATEXT(INDEX(MAZLS[],1,O37))</f>
        <v>=N([@ТО])*[@кTO]</v>
      </c>
      <c r="Q37" s="1813" t="s">
        <v>1046</v>
      </c>
      <c r="R37" s="1825"/>
    </row>
    <row r="38" spans="1:18" x14ac:dyDescent="0.25">
      <c r="A38" s="1824"/>
      <c r="B38" s="1773"/>
      <c r="C38" s="1799">
        <v>12</v>
      </c>
      <c r="D38" s="1860" t="s">
        <v>1092</v>
      </c>
      <c r="E38" s="1788">
        <f>MATCH(D38,MAZZS[#Headers], 0)</f>
        <v>32</v>
      </c>
      <c r="F38" s="1792" t="str" cm="1">
        <f t="array" aca="1" ref="F38" ca="1">_xlfn.FORMULATEXT(INDEX(MAZZS[],1,$E38))</f>
        <v>=N(OFFSET([@|];-1;0))+1</v>
      </c>
      <c r="G38" s="63" t="s">
        <v>1046</v>
      </c>
      <c r="H38" s="1834"/>
      <c r="I38" s="1849">
        <f t="shared" ca="1" si="2"/>
        <v>1</v>
      </c>
      <c r="J38" s="1850">
        <f t="shared" ref="J38:J40" ca="1" si="4">(F38=P38)*1</f>
        <v>1</v>
      </c>
      <c r="K38" s="1834"/>
      <c r="M38" s="1799">
        <v>12</v>
      </c>
      <c r="N38" s="1860" t="s">
        <v>1092</v>
      </c>
      <c r="O38" s="1788">
        <f>MATCH(N38,MAZLS[#Headers], 0)</f>
        <v>32</v>
      </c>
      <c r="P38" s="1855" t="str" cm="1">
        <f t="array" aca="1" ref="P38" ca="1">_xlfn.FORMULATEXT(INDEX(MAZLS[],1,O38))</f>
        <v>=N(OFFSET([@|];-1;0))+1</v>
      </c>
      <c r="Q38" s="1813" t="s">
        <v>1046</v>
      </c>
      <c r="R38" s="1825"/>
    </row>
    <row r="39" spans="1:18" x14ac:dyDescent="0.25">
      <c r="A39" s="1824"/>
      <c r="B39" s="1773"/>
      <c r="C39" s="1800">
        <v>13</v>
      </c>
      <c r="D39" s="1815" t="s">
        <v>7736</v>
      </c>
      <c r="E39" s="1788">
        <f>MATCH(D39,MAZZS[#Headers], 0)</f>
        <v>33</v>
      </c>
      <c r="F39" s="1785" t="str" cm="1">
        <f t="array" aca="1" ref="F39" ca="1">_xlfn.FORMULATEXT(INDEX(MAZZS[],1,$E39))</f>
        <v>=IF([@уЧасове];[@нацид|монСпециалностМП];"")</v>
      </c>
      <c r="G39" s="63" t="s">
        <v>1046</v>
      </c>
      <c r="H39" s="1834"/>
      <c r="I39" s="1851">
        <f t="shared" ca="1" si="2"/>
        <v>1</v>
      </c>
      <c r="J39" s="1852">
        <f t="shared" ca="1" si="4"/>
        <v>1</v>
      </c>
      <c r="K39" s="1834"/>
      <c r="M39" s="1800">
        <v>13</v>
      </c>
      <c r="N39" s="1815" t="s">
        <v>7736</v>
      </c>
      <c r="O39" s="1788">
        <f>MATCH(N39,MAZLS[#Headers], 0)</f>
        <v>33</v>
      </c>
      <c r="P39" s="1844" t="str" cm="1">
        <f t="array" aca="1" ref="P39" ca="1">_xlfn.FORMULATEXT(INDEX(MAZLS[],1,O39))</f>
        <v>=IF([@уЧасове];[@нацид|монСпециалностМП];"")</v>
      </c>
      <c r="Q39" s="1813" t="s">
        <v>1046</v>
      </c>
      <c r="R39" s="1825"/>
    </row>
    <row r="40" spans="1:18" ht="15.75" thickBot="1" x14ac:dyDescent="0.3">
      <c r="A40" s="1824"/>
      <c r="B40" s="1773"/>
      <c r="C40" s="1801">
        <v>14</v>
      </c>
      <c r="D40" s="1816" t="s">
        <v>7828</v>
      </c>
      <c r="E40" s="1848">
        <f>MATCH(D40,MAZZS[#Headers], 0)</f>
        <v>34</v>
      </c>
      <c r="F40" s="1786" t="str" cm="1">
        <f t="array" aca="1" ref="F40" ca="1">_xlfn.FORMULATEXT(INDEX(MAZZS[],1,$E40))</f>
        <v>=SUM(MAZZS[@[чЛекции]:[чTO]];N([@КР])*кКурсова_работа)</v>
      </c>
      <c r="G40" s="63" t="s">
        <v>1046</v>
      </c>
      <c r="H40" s="1834"/>
      <c r="I40" s="1853">
        <f t="shared" ca="1" si="2"/>
        <v>0</v>
      </c>
      <c r="J40" s="1854">
        <f t="shared" ca="1" si="4"/>
        <v>0</v>
      </c>
      <c r="K40" s="1834"/>
      <c r="M40" s="1801">
        <v>14</v>
      </c>
      <c r="N40" s="1816" t="s">
        <v>7828</v>
      </c>
      <c r="O40" s="1848">
        <f>MATCH(N40,MAZLS[#Headers], 0)</f>
        <v>34</v>
      </c>
      <c r="P40" s="1845" t="str" cm="1">
        <f t="array" aca="1" ref="P40" ca="1">_xlfn.FORMULATEXT(INDEX(MAZLS[],1,O40))</f>
        <v>=SUM(MAZLS[@[чЛекции]:[чTO]];N([@КР])*кКурсова_работа)</v>
      </c>
      <c r="Q40" s="1813" t="s">
        <v>1046</v>
      </c>
      <c r="R40" s="1825"/>
    </row>
    <row r="41" spans="1:18" ht="15.75" thickBot="1" x14ac:dyDescent="0.3">
      <c r="A41" s="1824"/>
      <c r="B41" s="1775"/>
      <c r="C41" s="1776"/>
      <c r="D41" s="1776"/>
      <c r="E41" s="1776"/>
      <c r="F41" s="1776"/>
      <c r="G41" s="63" t="s">
        <v>1046</v>
      </c>
      <c r="H41" s="1834"/>
      <c r="I41" s="1829"/>
      <c r="J41" s="1829"/>
      <c r="K41" s="1834"/>
      <c r="L41" s="1776"/>
      <c r="M41" s="1776"/>
      <c r="N41" s="1776"/>
      <c r="O41" s="1776"/>
      <c r="P41" s="1776"/>
      <c r="Q41" s="1777"/>
      <c r="R41" s="1825"/>
    </row>
    <row r="42" spans="1:18" ht="15.75" thickBot="1" x14ac:dyDescent="0.3">
      <c r="A42" s="1824"/>
      <c r="B42" s="1778"/>
      <c r="C42" s="1778"/>
      <c r="D42" s="1778"/>
      <c r="E42" s="1779"/>
      <c r="F42" s="1778"/>
      <c r="G42" s="1832"/>
      <c r="H42" s="1831"/>
      <c r="I42" s="1779"/>
      <c r="J42" s="1779"/>
      <c r="K42" s="1831"/>
      <c r="L42" s="1778"/>
      <c r="M42" s="1778"/>
      <c r="N42" s="1778"/>
      <c r="O42" s="1778"/>
      <c r="P42" s="1778"/>
      <c r="Q42" s="1778"/>
      <c r="R42" s="1825"/>
    </row>
    <row r="43" spans="1:18" x14ac:dyDescent="0.25">
      <c r="A43" s="1824"/>
      <c r="B43" s="1887"/>
      <c r="C43" s="1877"/>
      <c r="D43" s="1877"/>
      <c r="E43" s="1867"/>
      <c r="F43" s="1877"/>
      <c r="G43" s="1888" t="s">
        <v>1046</v>
      </c>
      <c r="H43" s="1834"/>
      <c r="I43" s="1867"/>
      <c r="J43" s="1867"/>
      <c r="K43" s="1834"/>
      <c r="L43" s="1877"/>
      <c r="M43" s="1877"/>
      <c r="N43" s="1877"/>
      <c r="O43" s="1877"/>
      <c r="P43" s="1877"/>
      <c r="Q43" s="1878"/>
      <c r="R43" s="1825"/>
    </row>
    <row r="44" spans="1:18" ht="18.75" x14ac:dyDescent="0.3">
      <c r="A44" s="1824"/>
      <c r="B44" s="1890"/>
      <c r="C44" s="2863" t="s">
        <v>12878</v>
      </c>
      <c r="D44" s="2864"/>
      <c r="E44" s="2864"/>
      <c r="F44" s="2865"/>
      <c r="G44" s="1888" t="s">
        <v>1046</v>
      </c>
      <c r="H44" s="1834"/>
      <c r="I44" s="1868"/>
      <c r="J44" s="1868"/>
      <c r="K44" s="1834"/>
      <c r="L44" s="1884"/>
      <c r="M44" s="2863" t="s">
        <v>12878</v>
      </c>
      <c r="N44" s="2864"/>
      <c r="O44" s="2864"/>
      <c r="P44" s="2865"/>
      <c r="Q44" s="1879"/>
      <c r="R44" s="1825"/>
    </row>
    <row r="45" spans="1:18" ht="15.75" thickBot="1" x14ac:dyDescent="0.3">
      <c r="A45" s="1824"/>
      <c r="B45" s="1890"/>
      <c r="D45" s="63" t="s">
        <v>2820</v>
      </c>
      <c r="E45" s="353"/>
      <c r="F45" s="63" t="s">
        <v>681</v>
      </c>
      <c r="G45" s="1888" t="s">
        <v>1046</v>
      </c>
      <c r="H45" s="1834"/>
      <c r="I45" s="1869"/>
      <c r="J45" s="1869"/>
      <c r="K45" s="1834"/>
      <c r="L45" s="1888"/>
      <c r="M45" s="63"/>
      <c r="N45" s="63"/>
      <c r="O45" s="63"/>
      <c r="P45" s="63" t="s">
        <v>2819</v>
      </c>
      <c r="Q45" s="1879"/>
      <c r="R45" s="1825"/>
    </row>
    <row r="46" spans="1:18" ht="15.75" thickBot="1" x14ac:dyDescent="0.3">
      <c r="A46" s="1824"/>
      <c r="B46" s="1890"/>
      <c r="C46" s="1802" t="s">
        <v>573</v>
      </c>
      <c r="D46" s="1787" t="s">
        <v>2815</v>
      </c>
      <c r="E46" s="1802" t="s">
        <v>12874</v>
      </c>
      <c r="F46" s="1810" t="s">
        <v>12880</v>
      </c>
      <c r="G46" s="1888" t="s">
        <v>1046</v>
      </c>
      <c r="H46" s="1834"/>
      <c r="I46" s="1869"/>
      <c r="J46" s="1868"/>
      <c r="K46" s="1834"/>
      <c r="L46" s="1884"/>
      <c r="M46" s="1802" t="s">
        <v>573</v>
      </c>
      <c r="N46" s="1787" t="s">
        <v>2815</v>
      </c>
      <c r="O46" s="1802" t="s">
        <v>12874</v>
      </c>
      <c r="P46" s="1842" t="s">
        <v>12880</v>
      </c>
      <c r="Q46" s="1879"/>
      <c r="R46" s="1825"/>
    </row>
    <row r="47" spans="1:18" x14ac:dyDescent="0.25">
      <c r="A47" s="1824"/>
      <c r="B47" s="1890"/>
      <c r="C47" s="1838">
        <v>1</v>
      </c>
      <c r="D47" s="1839" t="s">
        <v>575</v>
      </c>
      <c r="E47" s="1806">
        <f>MATCH(D47,BPZS[#Headers], 0)</f>
        <v>1</v>
      </c>
      <c r="F47" s="1784" t="str" cm="1">
        <f t="array" aca="1" ref="F47" ca="1">_xlfn.FORMULATEXT(INDEX(BPZS[],1,$E47))</f>
        <v>=IFERROR(MATCH([@ВидПрактика];T_УчПрактики[Практика и курсова работа];0);0)</v>
      </c>
      <c r="G47" s="1888" t="s">
        <v>1046</v>
      </c>
      <c r="H47" s="1834"/>
      <c r="I47" s="1856"/>
      <c r="J47" s="1857">
        <f t="shared" ref="J47:J60" ca="1" si="5">(F47=P47)*1</f>
        <v>1</v>
      </c>
      <c r="K47" s="1834"/>
      <c r="L47" s="1885"/>
      <c r="M47" s="1841">
        <v>1</v>
      </c>
      <c r="N47" s="1817" t="s">
        <v>575</v>
      </c>
      <c r="O47" s="1838">
        <f>MATCH(N47,BPLS[#Headers], 0)</f>
        <v>1</v>
      </c>
      <c r="P47" s="1843" t="str" cm="1">
        <f t="array" aca="1" ref="P47" ca="1">_xlfn.FORMULATEXT(INDEX(BPLS[],1,$O47))</f>
        <v>=IFERROR(MATCH([@ВидПрактика];T_УчПрактики[Практика и курсова работа];0);0)</v>
      </c>
      <c r="Q47" s="1880" t="s">
        <v>1046</v>
      </c>
      <c r="R47" s="1825"/>
    </row>
    <row r="48" spans="1:18" x14ac:dyDescent="0.25">
      <c r="A48" s="1824"/>
      <c r="B48" s="1890"/>
      <c r="C48" s="1789">
        <v>2</v>
      </c>
      <c r="D48" s="1791" t="s">
        <v>894</v>
      </c>
      <c r="E48" s="1803">
        <f>MATCH(D48,BPZS[#Headers], 0)</f>
        <v>2</v>
      </c>
      <c r="F48" s="1785" t="str" cm="1">
        <f t="array" aca="1" ref="F48" ca="1">_xlfn.FORMULATEXT(INDEX(BPZS[],1,$E48))</f>
        <v>=IF([@пВидПрактика];INDEX(T_УчПрактики[Студенти];[@пВидПрактика]);"-")</v>
      </c>
      <c r="G48" s="1888" t="s">
        <v>1046</v>
      </c>
      <c r="H48" s="1834"/>
      <c r="I48" s="1851"/>
      <c r="J48" s="1852">
        <f t="shared" ca="1" si="5"/>
        <v>1</v>
      </c>
      <c r="K48" s="1834"/>
      <c r="L48" s="1885"/>
      <c r="M48" s="1800">
        <v>2</v>
      </c>
      <c r="N48" s="1818" t="s">
        <v>894</v>
      </c>
      <c r="O48" s="1788">
        <f>MATCH(N48,BPLS[#Headers], 0)</f>
        <v>2</v>
      </c>
      <c r="P48" s="1844" t="str" cm="1">
        <f t="array" aca="1" ref="P48" ca="1">_xlfn.FORMULATEXT(INDEX(BPLS[],1,$O48))</f>
        <v>=IF([@пВидПрактика];INDEX(T_УчПрактики[Студенти];[@пВидПрактика]);"-")</v>
      </c>
      <c r="Q48" s="1880" t="s">
        <v>1046</v>
      </c>
      <c r="R48" s="1825"/>
    </row>
    <row r="49" spans="1:18" x14ac:dyDescent="0.25">
      <c r="A49" s="1824"/>
      <c r="B49" s="1890"/>
      <c r="C49" s="1789">
        <v>3</v>
      </c>
      <c r="D49" s="1781" t="s">
        <v>569</v>
      </c>
      <c r="E49" s="1803">
        <f>MATCH(D49,BPZS[#Headers], 0)</f>
        <v>3</v>
      </c>
      <c r="F49" s="1785" t="str" cm="1">
        <f t="array" aca="1" ref="F49" ca="1">_xlfn.FORMULATEXT(INDEX(BPZS[],1,$E49))</f>
        <v>=IF([@пВидПрактика];INDEX(T_УчПрактики[Група];[@пВидПрактика])*2;"-")</v>
      </c>
      <c r="G49" s="1888" t="s">
        <v>1046</v>
      </c>
      <c r="H49" s="1834"/>
      <c r="I49" s="1851"/>
      <c r="J49" s="1852">
        <f t="shared" ca="1" si="5"/>
        <v>1</v>
      </c>
      <c r="K49" s="1834"/>
      <c r="L49" s="1885"/>
      <c r="M49" s="1800">
        <v>3</v>
      </c>
      <c r="N49" s="1819" t="s">
        <v>569</v>
      </c>
      <c r="O49" s="1788">
        <f>MATCH(N49,BPLS[#Headers], 0)</f>
        <v>3</v>
      </c>
      <c r="P49" s="1844" t="str" cm="1">
        <f t="array" aca="1" ref="P49" ca="1">_xlfn.FORMULATEXT(INDEX(BPLS[],1,$O49))</f>
        <v>=IF([@пВидПрактика];INDEX(T_УчПрактики[Група];[@пВидПрактика])*2;"-")</v>
      </c>
      <c r="Q49" s="1880" t="s">
        <v>1046</v>
      </c>
      <c r="R49" s="1825"/>
    </row>
    <row r="50" spans="1:18" x14ac:dyDescent="0.25">
      <c r="A50" s="1824"/>
      <c r="B50" s="1890"/>
      <c r="C50" s="1789">
        <v>4</v>
      </c>
      <c r="D50" s="1781" t="s">
        <v>616</v>
      </c>
      <c r="E50" s="1803">
        <f>MATCH(D50,BPZS[#Headers], 0)</f>
        <v>4</v>
      </c>
      <c r="F50" s="1785" t="str" cm="1">
        <f t="array" aca="1" ref="F50" ca="1">_xlfn.FORMULATEXT(INDEX(BPZS[],1,$E50))</f>
        <v>=IF([@пВидПрактика];INDEX(T_УчПрактики[Ден];[@пВидПрактика])*4;"-")</v>
      </c>
      <c r="G50" s="1888" t="s">
        <v>1046</v>
      </c>
      <c r="H50" s="1834"/>
      <c r="I50" s="1851"/>
      <c r="J50" s="1852">
        <f t="shared" ca="1" si="5"/>
        <v>1</v>
      </c>
      <c r="K50" s="1834"/>
      <c r="L50" s="1885"/>
      <c r="M50" s="1800">
        <v>4</v>
      </c>
      <c r="N50" s="1819" t="s">
        <v>616</v>
      </c>
      <c r="O50" s="1788">
        <f>MATCH(N50,BPLS[#Headers], 0)</f>
        <v>4</v>
      </c>
      <c r="P50" s="1844" t="str" cm="1">
        <f t="array" aca="1" ref="P50" ca="1">_xlfn.FORMULATEXT(INDEX(BPLS[],1,$O50))</f>
        <v>=IF([@пВидПрактика];INDEX(T_УчПрактики[Ден];[@пВидПрактика])*4;"-")</v>
      </c>
      <c r="Q50" s="1880" t="s">
        <v>1046</v>
      </c>
      <c r="R50" s="1825"/>
    </row>
    <row r="51" spans="1:18" x14ac:dyDescent="0.25">
      <c r="A51" s="1824"/>
      <c r="B51" s="1890"/>
      <c r="C51" s="1789">
        <v>5</v>
      </c>
      <c r="D51" s="1781" t="s">
        <v>390</v>
      </c>
      <c r="E51" s="1803">
        <f>MATCH(D51,BPZS[#Headers], 0)</f>
        <v>5</v>
      </c>
      <c r="F51" s="1785" t="str" cm="1">
        <f t="array" aca="1" ref="F51" ca="1">_xlfn.FORMULATEXT(INDEX(BPZS[],1,$E51))</f>
        <v>=IFERROR(AND([@ТО]&lt;&gt;0;[@ФормаОб]=0)*1;0)</v>
      </c>
      <c r="G51" s="1888" t="s">
        <v>1046</v>
      </c>
      <c r="H51" s="1834"/>
      <c r="I51" s="1851"/>
      <c r="J51" s="1852">
        <f t="shared" ca="1" si="5"/>
        <v>1</v>
      </c>
      <c r="K51" s="1834"/>
      <c r="L51" s="1885"/>
      <c r="M51" s="1800">
        <v>5</v>
      </c>
      <c r="N51" s="1819" t="s">
        <v>390</v>
      </c>
      <c r="O51" s="1788">
        <f>MATCH(N51,BPLS[#Headers], 0)</f>
        <v>5</v>
      </c>
      <c r="P51" s="1844" t="str" cm="1">
        <f t="array" aca="1" ref="P51" ca="1">_xlfn.FORMULATEXT(INDEX(BPLS[],1,$O51))</f>
        <v>=IFERROR(AND([@ТО]&lt;&gt;0;[@ФормаОб]=0)*1;0)</v>
      </c>
      <c r="Q51" s="1880" t="s">
        <v>1046</v>
      </c>
      <c r="R51" s="1825"/>
    </row>
    <row r="52" spans="1:18" x14ac:dyDescent="0.25">
      <c r="A52" s="1824"/>
      <c r="B52" s="1890"/>
      <c r="C52" s="1789">
        <v>6</v>
      </c>
      <c r="D52" s="1781" t="s">
        <v>335</v>
      </c>
      <c r="E52" s="1803">
        <f>MATCH(D52,BPZS[#Headers], 0)</f>
        <v>6</v>
      </c>
      <c r="F52" s="1785" t="str" cm="1">
        <f t="array" aca="1" ref="F52" ca="1">_xlfn.FORMULATEXT(INDEX(BPZS[],1,$E52))</f>
        <v>=IFERROR(AND([@Изпитани]&lt;&gt;0;LEN([@Изпитващ])=0)*1;0)</v>
      </c>
      <c r="G52" s="1888" t="s">
        <v>1046</v>
      </c>
      <c r="H52" s="1834"/>
      <c r="I52" s="1851"/>
      <c r="J52" s="1852">
        <f t="shared" ca="1" si="5"/>
        <v>1</v>
      </c>
      <c r="K52" s="1834"/>
      <c r="L52" s="1885"/>
      <c r="M52" s="1800">
        <v>6</v>
      </c>
      <c r="N52" s="1819" t="s">
        <v>335</v>
      </c>
      <c r="O52" s="1788">
        <f>MATCH(N52,BPLS[#Headers], 0)</f>
        <v>6</v>
      </c>
      <c r="P52" s="1844" t="str" cm="1">
        <f t="array" aca="1" ref="P52" ca="1">_xlfn.FORMULATEXT(INDEX(BPLS[],1,$O52))</f>
        <v>=IFERROR(AND([@Изпитани]&lt;&gt;0;LEN([@Изпитващ])=0)*1;0)</v>
      </c>
      <c r="Q52" s="1880" t="s">
        <v>1046</v>
      </c>
      <c r="R52" s="1825"/>
    </row>
    <row r="53" spans="1:18" x14ac:dyDescent="0.25">
      <c r="A53" s="1824"/>
      <c r="B53" s="1890"/>
      <c r="C53" s="1789">
        <v>7</v>
      </c>
      <c r="D53" s="1781" t="s">
        <v>391</v>
      </c>
      <c r="E53" s="1803">
        <f>MATCH(D53,BPZS[#Headers], 0)</f>
        <v>7</v>
      </c>
      <c r="F53" s="1785" t="str" cm="1">
        <f t="array" aca="1" ref="F53" ca="1">_xlfn.FORMULATEXT(INDEX(BPZS[],1,$E53))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G53" s="1888" t="s">
        <v>1046</v>
      </c>
      <c r="H53" s="1834"/>
      <c r="I53" s="1851"/>
      <c r="J53" s="1852">
        <f t="shared" ca="1" si="5"/>
        <v>1</v>
      </c>
      <c r="K53" s="1834"/>
      <c r="L53" s="1885"/>
      <c r="M53" s="1800">
        <v>7</v>
      </c>
      <c r="N53" s="1819" t="s">
        <v>391</v>
      </c>
      <c r="O53" s="1788">
        <f>MATCH(N53,BPLS[#Headers], 0)</f>
        <v>7</v>
      </c>
      <c r="P53" s="1844" t="str" cm="1">
        <f t="array" aca="1" ref="P53" ca="1">_xlfn.FORMULATEXT(INDEX(BPLS[],1,$O53))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Q53" s="1880" t="s">
        <v>1046</v>
      </c>
      <c r="R53" s="1825"/>
    </row>
    <row r="54" spans="1:18" ht="15.75" thickBot="1" x14ac:dyDescent="0.3">
      <c r="A54" s="1824"/>
      <c r="B54" s="1890"/>
      <c r="C54" s="1790">
        <v>8</v>
      </c>
      <c r="D54" s="1783" t="s">
        <v>333</v>
      </c>
      <c r="E54" s="1804">
        <f>MATCH(D54,BPZS[#Headers], 0)</f>
        <v>8</v>
      </c>
      <c r="F54" s="1786" t="str" cm="1">
        <f t="array" aca="1" ref="F54" ca="1">_xlfn.FORMULATEXT(INDEX(BPZS[],1,$E54))</f>
        <v>=IFERROR(VLOOKUP([@ФормаОб];тТО[[обФорма]:[Коеф.]];2;0);0)</v>
      </c>
      <c r="G54" s="1888" t="s">
        <v>1046</v>
      </c>
      <c r="H54" s="1834"/>
      <c r="I54" s="1858"/>
      <c r="J54" s="1859">
        <f t="shared" ca="1" si="5"/>
        <v>1</v>
      </c>
      <c r="K54" s="1834"/>
      <c r="L54" s="1885"/>
      <c r="M54" s="1801">
        <v>8</v>
      </c>
      <c r="N54" s="1816" t="s">
        <v>333</v>
      </c>
      <c r="O54" s="1848">
        <f>MATCH(N54,BPLS[#Headers], 0)</f>
        <v>8</v>
      </c>
      <c r="P54" s="1845" t="str" cm="1">
        <f t="array" aca="1" ref="P54" ca="1">_xlfn.FORMULATEXT(INDEX(BPLS[],1,$O54))</f>
        <v>=IFERROR(VLOOKUP([@ФормаОб];тТО[[обФорма]:[Коеф.]];2;0);0)</v>
      </c>
      <c r="Q54" s="1880" t="s">
        <v>1046</v>
      </c>
      <c r="R54" s="1825"/>
    </row>
    <row r="55" spans="1:18" x14ac:dyDescent="0.25">
      <c r="A55" s="1824"/>
      <c r="B55" s="1890"/>
      <c r="C55" s="1788">
        <v>9</v>
      </c>
      <c r="D55" s="1780" t="s">
        <v>572</v>
      </c>
      <c r="E55" s="1803">
        <f>MATCH(D55,BPZS[#Headers], 0)</f>
        <v>9</v>
      </c>
      <c r="F55" s="1792" t="str" cm="1">
        <f t="array" aca="1" ref="F55" ca="1">_xlfn.FORMULATEXT(INDEX(BPZS[],1,$E55))</f>
        <v>=IFERROR(IF([@пВидПрактика]&gt;0;INDEX(T_УчПрактики[Час];[@пВидПрактика])*CHOOSE(SUM(BPZS[@[уфСтуденти]:[уфДен]])+1;0;0;N([@Група]);;N([@Ден]);N([@Студенти])*N([@Ден]);N([@Група])*N([@Ден]));0);0)</v>
      </c>
      <c r="G55" s="1888" t="s">
        <v>1046</v>
      </c>
      <c r="H55" s="1834"/>
      <c r="I55" s="1856"/>
      <c r="J55" s="1857">
        <f t="shared" ca="1" si="5"/>
        <v>0</v>
      </c>
      <c r="K55" s="1834"/>
      <c r="L55" s="1885"/>
      <c r="M55" s="1799">
        <v>9</v>
      </c>
      <c r="N55" s="1836" t="s">
        <v>572</v>
      </c>
      <c r="O55" s="1788">
        <f>MATCH(N55,BPLS[#Headers], 0)</f>
        <v>9</v>
      </c>
      <c r="P55" s="1855" t="str" cm="1">
        <f t="array" aca="1" ref="P55" ca="1">_xlfn.FORMULATEXT(INDEX(BPLS[],1,$O55))</f>
        <v>=IFERROR(IF([@пВидПрактика]&gt;0;INDEX(T_УчПрактики[Час];[@пВидПрактика])*CHOOSE(SUM(BPLS[@[уфСтуденти]:[уфДен]])+1;0;0;N([@Група]);;N([@Ден]);N([@Студенти])*N([@Ден]);N([@Група])*N([@Ден]));0);0)</v>
      </c>
      <c r="Q55" s="1880" t="s">
        <v>1046</v>
      </c>
      <c r="R55" s="1825"/>
    </row>
    <row r="56" spans="1:18" x14ac:dyDescent="0.25">
      <c r="A56" s="1824"/>
      <c r="B56" s="1890"/>
      <c r="C56" s="1789">
        <v>10</v>
      </c>
      <c r="D56" s="1781" t="s">
        <v>387</v>
      </c>
      <c r="E56" s="1803">
        <f>MATCH(D56,BPZS[#Headers], 0)</f>
        <v>10</v>
      </c>
      <c r="F56" s="1785" t="str" cm="1">
        <f t="array" aca="1" ref="F56" ca="1">_xlfn.FORMULATEXT(INDEX(BPZS[],1,$E56))</f>
        <v>=N([@Изпитани])*[@кИзпитващ]</v>
      </c>
      <c r="G56" s="1888" t="s">
        <v>1046</v>
      </c>
      <c r="H56" s="1834"/>
      <c r="I56" s="1851"/>
      <c r="J56" s="1852">
        <f t="shared" ca="1" si="5"/>
        <v>1</v>
      </c>
      <c r="K56" s="1834"/>
      <c r="L56" s="1885"/>
      <c r="M56" s="1800">
        <v>10</v>
      </c>
      <c r="N56" s="1819" t="s">
        <v>387</v>
      </c>
      <c r="O56" s="1788">
        <f>MATCH(N56,BPLS[#Headers], 0)</f>
        <v>10</v>
      </c>
      <c r="P56" s="1844" t="str" cm="1">
        <f t="array" aca="1" ref="P56" ca="1">_xlfn.FORMULATEXT(INDEX(BPLS[],1,$O56))</f>
        <v>=N([@Изпитани])*[@кИзпитващ]</v>
      </c>
      <c r="Q56" s="1880" t="s">
        <v>1046</v>
      </c>
      <c r="R56" s="1825"/>
    </row>
    <row r="57" spans="1:18" x14ac:dyDescent="0.25">
      <c r="A57" s="1824"/>
      <c r="B57" s="1890"/>
      <c r="C57" s="1789">
        <v>11</v>
      </c>
      <c r="D57" s="1782" t="s">
        <v>334</v>
      </c>
      <c r="E57" s="1803">
        <f>MATCH(D57,BPZS[#Headers], 0)</f>
        <v>11</v>
      </c>
      <c r="F57" s="1785" t="str" cm="1">
        <f t="array" aca="1" ref="F57" ca="1">_xlfn.FORMULATEXT(INDEX(BPZS[],1,$E57))</f>
        <v>=N([@ТО])*[@кTO]</v>
      </c>
      <c r="G57" s="1888" t="s">
        <v>1046</v>
      </c>
      <c r="H57" s="1834"/>
      <c r="I57" s="1851"/>
      <c r="J57" s="1852">
        <f t="shared" ca="1" si="5"/>
        <v>1</v>
      </c>
      <c r="K57" s="1834"/>
      <c r="L57" s="1885"/>
      <c r="M57" s="1800">
        <v>11</v>
      </c>
      <c r="N57" s="1815" t="s">
        <v>334</v>
      </c>
      <c r="O57" s="1788">
        <f>MATCH(N57,BPLS[#Headers], 0)</f>
        <v>11</v>
      </c>
      <c r="P57" s="1844" t="str" cm="1">
        <f t="array" aca="1" ref="P57" ca="1">_xlfn.FORMULATEXT(INDEX(BPLS[],1,$O57))</f>
        <v>=N([@ТО])*[@кTO]</v>
      </c>
      <c r="Q57" s="1880" t="s">
        <v>1046</v>
      </c>
      <c r="R57" s="1825"/>
    </row>
    <row r="58" spans="1:18" x14ac:dyDescent="0.25">
      <c r="A58" s="1824"/>
      <c r="B58" s="1890"/>
      <c r="C58" s="1789">
        <v>12</v>
      </c>
      <c r="D58" s="1782" t="s">
        <v>1092</v>
      </c>
      <c r="E58" s="1803">
        <f>MATCH(D58,MAZZS[#Headers], 0)</f>
        <v>32</v>
      </c>
      <c r="F58" s="1785" t="str" cm="1">
        <f t="array" aca="1" ref="F58" ca="1">_xlfn.FORMULATEXT(INDEX(BPZS[],1,$E58))</f>
        <v>=N(OFFSET([@|];-1;0))+1</v>
      </c>
      <c r="G58" s="1888" t="s">
        <v>1046</v>
      </c>
      <c r="H58" s="1834"/>
      <c r="I58" s="1851"/>
      <c r="J58" s="1852">
        <f t="shared" ca="1" si="5"/>
        <v>1</v>
      </c>
      <c r="K58" s="1834"/>
      <c r="L58" s="1885"/>
      <c r="M58" s="1800">
        <v>12</v>
      </c>
      <c r="N58" s="1815" t="s">
        <v>1092</v>
      </c>
      <c r="O58" s="1788">
        <f>MATCH(N58,MAZLS[#Headers], 0)</f>
        <v>32</v>
      </c>
      <c r="P58" s="1844" t="str" cm="1">
        <f t="array" aca="1" ref="P58" ca="1">_xlfn.FORMULATEXT(INDEX(BPLS[],1,$O58))</f>
        <v>=N(OFFSET([@|];-1;0))+1</v>
      </c>
      <c r="Q58" s="1880" t="s">
        <v>1046</v>
      </c>
      <c r="R58" s="1825"/>
    </row>
    <row r="59" spans="1:18" x14ac:dyDescent="0.25">
      <c r="A59" s="1824"/>
      <c r="B59" s="1890"/>
      <c r="C59" s="1789">
        <v>13</v>
      </c>
      <c r="D59" s="1782" t="s">
        <v>7736</v>
      </c>
      <c r="E59" s="1803">
        <f>MATCH(D59,MAZZS[#Headers], 0)</f>
        <v>33</v>
      </c>
      <c r="F59" s="1785" t="str" cm="1">
        <f t="array" aca="1" ref="F59" ca="1">_xlfn.FORMULATEXT(INDEX(BPZS[],1,$E59))</f>
        <v>=IF([@уЧасове];[@нацид|монСпециалностМП];"")</v>
      </c>
      <c r="G59" s="1888" t="s">
        <v>1046</v>
      </c>
      <c r="H59" s="1834"/>
      <c r="I59" s="1851"/>
      <c r="J59" s="1852">
        <f t="shared" ca="1" si="5"/>
        <v>1</v>
      </c>
      <c r="K59" s="1834"/>
      <c r="L59" s="1885"/>
      <c r="M59" s="1800">
        <v>13</v>
      </c>
      <c r="N59" s="1815" t="s">
        <v>7736</v>
      </c>
      <c r="O59" s="1788">
        <f>MATCH(N59,MAZLS[#Headers], 0)</f>
        <v>33</v>
      </c>
      <c r="P59" s="1844" t="str" cm="1">
        <f t="array" aca="1" ref="P59" ca="1">_xlfn.FORMULATEXT(INDEX(BPLS[],1,$O59))</f>
        <v>=IF([@уЧасове];[@нацид|монСпециалностМП];"")</v>
      </c>
      <c r="Q59" s="1880" t="s">
        <v>1046</v>
      </c>
      <c r="R59" s="1825"/>
    </row>
    <row r="60" spans="1:18" ht="15.75" thickBot="1" x14ac:dyDescent="0.3">
      <c r="A60" s="1824"/>
      <c r="B60" s="1890"/>
      <c r="C60" s="1790">
        <v>14</v>
      </c>
      <c r="D60" s="1783" t="s">
        <v>7828</v>
      </c>
      <c r="E60" s="1804">
        <f>MATCH(D60,MAZZS[#Headers], 0)</f>
        <v>34</v>
      </c>
      <c r="F60" s="1786" t="str" cm="1">
        <f t="array" aca="1" ref="F60" ca="1">_xlfn.FORMULATEXT(INDEX(BPZS[],1,$E60))</f>
        <v>=SUM(BPZS[@[чПрактика]:[чTO]];N([@КР])*кКурсова_работа)</v>
      </c>
      <c r="G60" s="1888" t="s">
        <v>1046</v>
      </c>
      <c r="H60" s="1834"/>
      <c r="I60" s="1858"/>
      <c r="J60" s="1859">
        <f t="shared" ca="1" si="5"/>
        <v>0</v>
      </c>
      <c r="K60" s="1834"/>
      <c r="L60" s="1885"/>
      <c r="M60" s="1801">
        <v>14</v>
      </c>
      <c r="N60" s="1816" t="s">
        <v>7828</v>
      </c>
      <c r="O60" s="1848">
        <f>MATCH(N60,MAZLS[#Headers], 0)</f>
        <v>34</v>
      </c>
      <c r="P60" s="1845" t="str" cm="1">
        <f t="array" aca="1" ref="P60" ca="1">_xlfn.FORMULATEXT(INDEX(BPLS[],1,$O60))</f>
        <v>=SUM(BPLS[@[чПрактика]:[чTO]];N([@КР])*кКурсова_работа)</v>
      </c>
      <c r="Q60" s="1880" t="s">
        <v>1046</v>
      </c>
      <c r="R60" s="1825"/>
    </row>
    <row r="61" spans="1:18" x14ac:dyDescent="0.25">
      <c r="A61" s="1824"/>
      <c r="B61" s="1890"/>
      <c r="C61" s="1884"/>
      <c r="D61" s="1884"/>
      <c r="E61" s="1868"/>
      <c r="F61" s="1884"/>
      <c r="G61" s="1888" t="s">
        <v>1046</v>
      </c>
      <c r="H61" s="1834"/>
      <c r="I61" s="1868"/>
      <c r="J61" s="1868"/>
      <c r="K61" s="1834"/>
      <c r="L61" s="1884"/>
      <c r="Q61" s="1879"/>
      <c r="R61" s="1825"/>
    </row>
    <row r="62" spans="1:18" ht="18.75" x14ac:dyDescent="0.3">
      <c r="A62" s="1824"/>
      <c r="B62" s="1890"/>
      <c r="C62" s="2863" t="s">
        <v>12877</v>
      </c>
      <c r="D62" s="2864"/>
      <c r="E62" s="2864"/>
      <c r="F62" s="2865"/>
      <c r="G62" s="1888" t="s">
        <v>1046</v>
      </c>
      <c r="H62" s="1834"/>
      <c r="I62" s="1868"/>
      <c r="J62" s="1868"/>
      <c r="K62" s="1834"/>
      <c r="L62" s="1884"/>
      <c r="M62" s="2863" t="s">
        <v>12877</v>
      </c>
      <c r="N62" s="2864"/>
      <c r="O62" s="2864"/>
      <c r="P62" s="2865"/>
      <c r="Q62" s="1879"/>
      <c r="R62" s="1825"/>
    </row>
    <row r="63" spans="1:18" ht="15.75" thickBot="1" x14ac:dyDescent="0.3">
      <c r="A63" s="1824"/>
      <c r="B63" s="1890"/>
      <c r="D63" t="s">
        <v>12882</v>
      </c>
      <c r="E63" s="614"/>
      <c r="F63" s="63" t="s">
        <v>682</v>
      </c>
      <c r="G63" s="1888" t="s">
        <v>1046</v>
      </c>
      <c r="H63" s="1834"/>
      <c r="I63" s="1869"/>
      <c r="J63" s="1868"/>
      <c r="K63" s="1834"/>
      <c r="L63" s="1884"/>
      <c r="P63" t="s">
        <v>12883</v>
      </c>
      <c r="Q63" s="1879"/>
      <c r="R63" s="1825"/>
    </row>
    <row r="64" spans="1:18" ht="15.75" thickBot="1" x14ac:dyDescent="0.3">
      <c r="A64" s="1824"/>
      <c r="B64" s="1890"/>
      <c r="C64" s="1802" t="s">
        <v>573</v>
      </c>
      <c r="D64" s="1787" t="s">
        <v>2815</v>
      </c>
      <c r="E64" s="1802" t="s">
        <v>12874</v>
      </c>
      <c r="F64" s="1842" t="s">
        <v>12880</v>
      </c>
      <c r="G64" s="1888" t="s">
        <v>1046</v>
      </c>
      <c r="H64" s="1834"/>
      <c r="I64" s="1869"/>
      <c r="J64" s="1868"/>
      <c r="K64" s="1834"/>
      <c r="L64" s="1884"/>
      <c r="M64" s="1802" t="s">
        <v>573</v>
      </c>
      <c r="N64" s="1787" t="s">
        <v>2815</v>
      </c>
      <c r="O64" s="1802" t="s">
        <v>12874</v>
      </c>
      <c r="P64" s="1842" t="s">
        <v>12880</v>
      </c>
      <c r="Q64" s="1879"/>
      <c r="R64" s="1825"/>
    </row>
    <row r="65" spans="1:18" x14ac:dyDescent="0.25">
      <c r="A65" s="1824"/>
      <c r="B65" s="1890"/>
      <c r="C65" s="1841">
        <v>1</v>
      </c>
      <c r="D65" s="1817" t="s">
        <v>575</v>
      </c>
      <c r="E65" s="1838">
        <f>MATCH(D65,MPZS[#Headers], 0)</f>
        <v>1</v>
      </c>
      <c r="F65" s="1784" t="str" cm="1">
        <f t="array" aca="1" ref="F65" ca="1">_xlfn.FORMULATEXT(INDEX(MPZS[],1,$E65))</f>
        <v>=IFERROR(MATCH([@ВидПрактика];T_УчПрактики[Практика и курсова работа];0);0)</v>
      </c>
      <c r="G65" s="1888" t="s">
        <v>1046</v>
      </c>
      <c r="H65" s="1834"/>
      <c r="I65" s="1856">
        <f t="shared" ref="I65:I78" ca="1" si="6">(F47=F65)*1</f>
        <v>1</v>
      </c>
      <c r="J65" s="1857">
        <f t="shared" ref="J65:J75" ca="1" si="7">(F65=P65)*1</f>
        <v>1</v>
      </c>
      <c r="K65" s="1834"/>
      <c r="L65" s="1886"/>
      <c r="M65" s="1841">
        <v>1</v>
      </c>
      <c r="N65" s="1817" t="s">
        <v>575</v>
      </c>
      <c r="O65" s="1838">
        <f>MATCH(N65,MPLS[#Headers], 0)</f>
        <v>1</v>
      </c>
      <c r="P65" s="1843" t="str" cm="1">
        <f t="array" aca="1" ref="P65" ca="1">_xlfn.FORMULATEXT(INDEX(MPLS[],1,$O65))</f>
        <v>=IFERROR(MATCH([@ВидПрактика];T_УчПрактики[Практика и курсова работа];0);0)</v>
      </c>
      <c r="Q65" s="1880" t="s">
        <v>1046</v>
      </c>
      <c r="R65" s="1825"/>
    </row>
    <row r="66" spans="1:18" x14ac:dyDescent="0.25">
      <c r="A66" s="1824"/>
      <c r="B66" s="1890"/>
      <c r="C66" s="1800">
        <v>2</v>
      </c>
      <c r="D66" s="1818" t="s">
        <v>894</v>
      </c>
      <c r="E66" s="1788">
        <f>MATCH(D66,MPZS[#Headers], 0)</f>
        <v>2</v>
      </c>
      <c r="F66" s="1785" t="str" cm="1">
        <f t="array" aca="1" ref="F66" ca="1">_xlfn.FORMULATEXT(INDEX(MPZS[],1,$E66))</f>
        <v>=IF([@пВидПрактика];INDEX(T_УчПрактики[Студенти];[@пВидПрактика]);"-")</v>
      </c>
      <c r="G66" s="1888" t="s">
        <v>1046</v>
      </c>
      <c r="H66" s="1834"/>
      <c r="I66" s="1851">
        <f t="shared" ca="1" si="6"/>
        <v>1</v>
      </c>
      <c r="J66" s="1852">
        <f t="shared" ca="1" si="7"/>
        <v>1</v>
      </c>
      <c r="K66" s="1834"/>
      <c r="L66" s="1886"/>
      <c r="M66" s="1800">
        <v>2</v>
      </c>
      <c r="N66" s="1818" t="s">
        <v>894</v>
      </c>
      <c r="O66" s="1788">
        <f>MATCH(N66,MPLS[#Headers], 0)</f>
        <v>2</v>
      </c>
      <c r="P66" s="1844" t="str" cm="1">
        <f t="array" aca="1" ref="P66" ca="1">_xlfn.FORMULATEXT(INDEX(MPLS[],1,$O66))</f>
        <v>=IF([@пВидПрактика];INDEX(T_УчПрактики[Студенти];[@пВидПрактика]);"-")</v>
      </c>
      <c r="Q66" s="1880" t="s">
        <v>1046</v>
      </c>
      <c r="R66" s="1825"/>
    </row>
    <row r="67" spans="1:18" x14ac:dyDescent="0.25">
      <c r="A67" s="1824"/>
      <c r="B67" s="1890"/>
      <c r="C67" s="1800">
        <v>3</v>
      </c>
      <c r="D67" s="1819" t="s">
        <v>569</v>
      </c>
      <c r="E67" s="1788">
        <f>MATCH(D67,MPZS[#Headers], 0)</f>
        <v>3</v>
      </c>
      <c r="F67" s="1785" t="str" cm="1">
        <f t="array" aca="1" ref="F67" ca="1">_xlfn.FORMULATEXT(INDEX(MPZS[],1,$E67))</f>
        <v>=IF([@пВидПрактика];INDEX(T_УчПрактики[Група];[@пВидПрактика])*2;"-")</v>
      </c>
      <c r="G67" s="1888" t="s">
        <v>1046</v>
      </c>
      <c r="H67" s="1834"/>
      <c r="I67" s="1851">
        <f t="shared" ca="1" si="6"/>
        <v>1</v>
      </c>
      <c r="J67" s="1852">
        <f t="shared" ca="1" si="7"/>
        <v>1</v>
      </c>
      <c r="K67" s="1834"/>
      <c r="L67" s="1886"/>
      <c r="M67" s="1800">
        <v>3</v>
      </c>
      <c r="N67" s="1819" t="s">
        <v>569</v>
      </c>
      <c r="O67" s="1788">
        <f>MATCH(N67,MPLS[#Headers], 0)</f>
        <v>3</v>
      </c>
      <c r="P67" s="1844" t="str" cm="1">
        <f t="array" aca="1" ref="P67" ca="1">_xlfn.FORMULATEXT(INDEX(MPLS[],1,$O67))</f>
        <v>=IF([@пВидПрактика];INDEX(T_УчПрактики[Група];[@пВидПрактика])*2;"-")</v>
      </c>
      <c r="Q67" s="1880" t="s">
        <v>1046</v>
      </c>
      <c r="R67" s="1825"/>
    </row>
    <row r="68" spans="1:18" x14ac:dyDescent="0.25">
      <c r="A68" s="1824"/>
      <c r="B68" s="1890"/>
      <c r="C68" s="1800">
        <v>4</v>
      </c>
      <c r="D68" s="1819" t="s">
        <v>616</v>
      </c>
      <c r="E68" s="1788">
        <f>MATCH(D68,MPZS[#Headers], 0)</f>
        <v>4</v>
      </c>
      <c r="F68" s="1785" t="str" cm="1">
        <f t="array" aca="1" ref="F68" ca="1">_xlfn.FORMULATEXT(INDEX(MPZS[],1,$E68))</f>
        <v>=IF([@пВидПрактика];INDEX(T_УчПрактики[Ден];[@пВидПрактика])*4;"-")</v>
      </c>
      <c r="G68" s="1888" t="s">
        <v>1046</v>
      </c>
      <c r="H68" s="1834"/>
      <c r="I68" s="1851">
        <f t="shared" ca="1" si="6"/>
        <v>1</v>
      </c>
      <c r="J68" s="1852">
        <f t="shared" ca="1" si="7"/>
        <v>1</v>
      </c>
      <c r="K68" s="1834"/>
      <c r="L68" s="1886"/>
      <c r="M68" s="1800">
        <v>4</v>
      </c>
      <c r="N68" s="1819" t="s">
        <v>616</v>
      </c>
      <c r="O68" s="1788">
        <f>MATCH(N68,MPLS[#Headers], 0)</f>
        <v>4</v>
      </c>
      <c r="P68" s="1844" t="str" cm="1">
        <f t="array" aca="1" ref="P68" ca="1">_xlfn.FORMULATEXT(INDEX(MPLS[],1,$O68))</f>
        <v>=IF([@пВидПрактика];INDEX(T_УчПрактики[Ден];[@пВидПрактика])*4;"-")</v>
      </c>
      <c r="Q68" s="1880" t="s">
        <v>1046</v>
      </c>
      <c r="R68" s="1825"/>
    </row>
    <row r="69" spans="1:18" x14ac:dyDescent="0.25">
      <c r="A69" s="1824"/>
      <c r="B69" s="1890"/>
      <c r="C69" s="1800">
        <v>5</v>
      </c>
      <c r="D69" s="1819" t="s">
        <v>390</v>
      </c>
      <c r="E69" s="1788">
        <f>MATCH(D69,MPZS[#Headers], 0)</f>
        <v>5</v>
      </c>
      <c r="F69" s="1785" t="str" cm="1">
        <f t="array" aca="1" ref="F69" ca="1">_xlfn.FORMULATEXT(INDEX(MPZS[],1,$E69))</f>
        <v>=IFERROR(AND([@ТО]&lt;&gt;0;[@ФормаОб]=0)*1;0)</v>
      </c>
      <c r="G69" s="1888" t="s">
        <v>1046</v>
      </c>
      <c r="H69" s="1834"/>
      <c r="I69" s="1851">
        <f t="shared" ca="1" si="6"/>
        <v>1</v>
      </c>
      <c r="J69" s="1852">
        <f t="shared" ca="1" si="7"/>
        <v>1</v>
      </c>
      <c r="K69" s="1834"/>
      <c r="L69" s="1886"/>
      <c r="M69" s="1800">
        <v>5</v>
      </c>
      <c r="N69" s="1819" t="s">
        <v>390</v>
      </c>
      <c r="O69" s="1788">
        <f>MATCH(N69,MPLS[#Headers], 0)</f>
        <v>5</v>
      </c>
      <c r="P69" s="1844" t="str" cm="1">
        <f t="array" aca="1" ref="P69" ca="1">_xlfn.FORMULATEXT(INDEX(MPLS[],1,$O69))</f>
        <v>=IFERROR(AND([@ТО]&lt;&gt;0;[@ФормаОб]=0)*1;0)</v>
      </c>
      <c r="Q69" s="1880" t="s">
        <v>1046</v>
      </c>
      <c r="R69" s="1825"/>
    </row>
    <row r="70" spans="1:18" x14ac:dyDescent="0.25">
      <c r="A70" s="1824"/>
      <c r="B70" s="1890"/>
      <c r="C70" s="1800">
        <v>6</v>
      </c>
      <c r="D70" s="1819" t="s">
        <v>335</v>
      </c>
      <c r="E70" s="1788">
        <f>MATCH(D70,MPZS[#Headers], 0)</f>
        <v>6</v>
      </c>
      <c r="F70" s="1785" t="str" cm="1">
        <f t="array" aca="1" ref="F70" ca="1">_xlfn.FORMULATEXT(INDEX(MPZS[],1,$E70))</f>
        <v>=IFERROR(AND([@Изпитани]&lt;&gt;0;LEN([@Изпитващ])=0)*1;0)</v>
      </c>
      <c r="G70" s="1888" t="s">
        <v>1046</v>
      </c>
      <c r="H70" s="1834"/>
      <c r="I70" s="1851">
        <f t="shared" ca="1" si="6"/>
        <v>1</v>
      </c>
      <c r="J70" s="1852">
        <f t="shared" ca="1" si="7"/>
        <v>1</v>
      </c>
      <c r="K70" s="1834"/>
      <c r="L70" s="1886"/>
      <c r="M70" s="1800">
        <v>6</v>
      </c>
      <c r="N70" s="1819" t="s">
        <v>335</v>
      </c>
      <c r="O70" s="1788">
        <f>MATCH(N70,MPLS[#Headers], 0)</f>
        <v>6</v>
      </c>
      <c r="P70" s="1844" t="str" cm="1">
        <f t="array" aca="1" ref="P70" ca="1">_xlfn.FORMULATEXT(INDEX(MPLS[],1,$O70))</f>
        <v>=IFERROR(AND([@Изпитани]&lt;&gt;0;LEN([@Изпитващ])=0)*1;0)</v>
      </c>
      <c r="Q70" s="1880" t="s">
        <v>1046</v>
      </c>
      <c r="R70" s="1825"/>
    </row>
    <row r="71" spans="1:18" x14ac:dyDescent="0.25">
      <c r="A71" s="1824"/>
      <c r="B71" s="1890"/>
      <c r="C71" s="1800">
        <v>7</v>
      </c>
      <c r="D71" s="1819" t="s">
        <v>391</v>
      </c>
      <c r="E71" s="1788">
        <f>MATCH(D71,MPZS[#Headers], 0)</f>
        <v>7</v>
      </c>
      <c r="F71" s="1785" t="str" cm="1">
        <f t="array" aca="1" ref="F71" ca="1">_xlfn.FORMULATEXT(INDEX(MPZS[],1,$E71))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G71" s="1888" t="s">
        <v>1046</v>
      </c>
      <c r="H71" s="1834"/>
      <c r="I71" s="1851">
        <f t="shared" ca="1" si="6"/>
        <v>1</v>
      </c>
      <c r="J71" s="1852">
        <f t="shared" ca="1" si="7"/>
        <v>1</v>
      </c>
      <c r="K71" s="1834"/>
      <c r="L71" s="1886"/>
      <c r="M71" s="1800">
        <v>7</v>
      </c>
      <c r="N71" s="1819" t="s">
        <v>391</v>
      </c>
      <c r="O71" s="1788">
        <f>MATCH(N71,MPLS[#Headers], 0)</f>
        <v>7</v>
      </c>
      <c r="P71" s="1844" t="str" cm="1">
        <f t="array" aca="1" ref="P71" ca="1">_xlfn.FORMULATEXT(INDEX(MPLS[],1,$O71))</f>
        <v>=IFERROR(IF(AND(COUNTIF(nФакултетОтчет;"*математика*");[@ФормаОц]="КИ");0.9;IF(T([@Изпитващ])="";0;VLOOKUP([@Изпитващ];ТвидИзпитващ[[видИзпитващ]:[Коеф.]];2;0)));0)</v>
      </c>
      <c r="Q71" s="1880" t="s">
        <v>1046</v>
      </c>
      <c r="R71" s="1825"/>
    </row>
    <row r="72" spans="1:18" ht="15.75" thickBot="1" x14ac:dyDescent="0.3">
      <c r="A72" s="1824"/>
      <c r="B72" s="1890"/>
      <c r="C72" s="1801">
        <v>8</v>
      </c>
      <c r="D72" s="1816" t="s">
        <v>333</v>
      </c>
      <c r="E72" s="1848">
        <f>MATCH(D72,MPZS[#Headers], 0)</f>
        <v>8</v>
      </c>
      <c r="F72" s="1786" t="str" cm="1">
        <f t="array" aca="1" ref="F72" ca="1">_xlfn.FORMULATEXT(INDEX(MPZS[],1,$E72))</f>
        <v>=IFERROR(VLOOKUP([@ФормаОб];тТО[[обФорма]:[Коеф.]];2;0);0)</v>
      </c>
      <c r="G72" s="1888" t="s">
        <v>1046</v>
      </c>
      <c r="H72" s="1834"/>
      <c r="I72" s="1858">
        <f t="shared" ca="1" si="6"/>
        <v>1</v>
      </c>
      <c r="J72" s="1859">
        <f t="shared" ca="1" si="7"/>
        <v>1</v>
      </c>
      <c r="K72" s="1834"/>
      <c r="L72" s="1886"/>
      <c r="M72" s="1801">
        <v>8</v>
      </c>
      <c r="N72" s="1816" t="s">
        <v>333</v>
      </c>
      <c r="O72" s="1848">
        <f>MATCH(N72,MPLS[#Headers], 0)</f>
        <v>8</v>
      </c>
      <c r="P72" s="1845" t="str" cm="1">
        <f t="array" aca="1" ref="P72" ca="1">_xlfn.FORMULATEXT(INDEX(MPLS[],1,$O72))</f>
        <v>=IFERROR(VLOOKUP([@ФормаОб];тТО[[обФорма]:[Коеф.]];2;0);0)</v>
      </c>
      <c r="Q72" s="1880" t="s">
        <v>1046</v>
      </c>
      <c r="R72" s="1825"/>
    </row>
    <row r="73" spans="1:18" x14ac:dyDescent="0.25">
      <c r="A73" s="1824"/>
      <c r="B73" s="1890"/>
      <c r="C73" s="1799">
        <v>9</v>
      </c>
      <c r="D73" s="1836" t="s">
        <v>572</v>
      </c>
      <c r="E73" s="1788">
        <f>MATCH(D73,MPZS[#Headers], 0)</f>
        <v>9</v>
      </c>
      <c r="F73" s="1792" t="str" cm="1">
        <f t="array" aca="1" ref="F73" ca="1">_xlfn.FORMULATEXT(INDEX(MPZS[],1,$E73))</f>
        <v>=IFERROR(IF([@пВидПрактика]&gt;0;INDEX(T_Практики[Час];[@пВидПрактика])*CHOOSE(SUM(MPZS[@[уфСтуденти]:[уфДен]])+1;0;0;N([@Група]);;N([@Ден]);N([@Студенти])*N([@Ден]);N([@Група])*N([@Ден]));0);0)</v>
      </c>
      <c r="G73" s="1888" t="s">
        <v>1046</v>
      </c>
      <c r="H73" s="1834"/>
      <c r="I73" s="1849">
        <f t="shared" ca="1" si="6"/>
        <v>0</v>
      </c>
      <c r="J73" s="1850">
        <f t="shared" ca="1" si="7"/>
        <v>0</v>
      </c>
      <c r="K73" s="1834"/>
      <c r="L73" s="1886"/>
      <c r="M73" s="1799">
        <v>9</v>
      </c>
      <c r="N73" s="1836" t="s">
        <v>572</v>
      </c>
      <c r="O73" s="1788">
        <f>MATCH(N73,MPLS[#Headers], 0)</f>
        <v>9</v>
      </c>
      <c r="P73" s="1855" t="str" cm="1">
        <f t="array" aca="1" ref="P73" ca="1">_xlfn.FORMULATEXT(INDEX(MPLS[],1,$O73))</f>
        <v>=IFERROR(IF([@пВидПрактика]&gt;0;INDEX(T_Практики[Час];[@пВидПрактика])*CHOOSE(SUM(MPLS[@[уфСтуденти]:[уфДен]])+1;0;0;N([@Група]);;N([@Ден]);N([@Студенти])*N([@Ден]);N([@Група])*N([@Ден]));0);0)</v>
      </c>
      <c r="Q73" s="1880" t="s">
        <v>1046</v>
      </c>
      <c r="R73" s="1825"/>
    </row>
    <row r="74" spans="1:18" x14ac:dyDescent="0.25">
      <c r="A74" s="1824"/>
      <c r="B74" s="1890"/>
      <c r="C74" s="1800">
        <v>10</v>
      </c>
      <c r="D74" s="1819" t="s">
        <v>387</v>
      </c>
      <c r="E74" s="1788">
        <f>MATCH(D74,MPZS[#Headers], 0)</f>
        <v>10</v>
      </c>
      <c r="F74" s="1785" t="str" cm="1">
        <f t="array" aca="1" ref="F74" ca="1">_xlfn.FORMULATEXT(INDEX(MPZS[],1,$E74))</f>
        <v>=N([@Изпитани])*[@кИзпитващ]</v>
      </c>
      <c r="G74" s="1888" t="s">
        <v>1046</v>
      </c>
      <c r="H74" s="1834"/>
      <c r="I74" s="1851">
        <f t="shared" ca="1" si="6"/>
        <v>1</v>
      </c>
      <c r="J74" s="1852">
        <f t="shared" ca="1" si="7"/>
        <v>1</v>
      </c>
      <c r="K74" s="1834"/>
      <c r="L74" s="1886"/>
      <c r="M74" s="1800">
        <v>10</v>
      </c>
      <c r="N74" s="1819" t="s">
        <v>387</v>
      </c>
      <c r="O74" s="1788">
        <f>MATCH(N74,MPLS[#Headers], 0)</f>
        <v>10</v>
      </c>
      <c r="P74" s="1844" t="str" cm="1">
        <f t="array" aca="1" ref="P74" ca="1">_xlfn.FORMULATEXT(INDEX(MPLS[],1,$O74))</f>
        <v>=N([@Изпитани])*[@кИзпитващ]</v>
      </c>
      <c r="Q74" s="1880" t="s">
        <v>1046</v>
      </c>
      <c r="R74" s="1825"/>
    </row>
    <row r="75" spans="1:18" x14ac:dyDescent="0.25">
      <c r="A75" s="1824"/>
      <c r="B75" s="1890"/>
      <c r="C75" s="1800">
        <v>11</v>
      </c>
      <c r="D75" s="1815" t="s">
        <v>334</v>
      </c>
      <c r="E75" s="1788">
        <f>MATCH(D75,MPZS[#Headers], 0)</f>
        <v>11</v>
      </c>
      <c r="F75" s="1785" t="str" cm="1">
        <f t="array" aca="1" ref="F75" ca="1">_xlfn.FORMULATEXT(INDEX(MPZS[],1,$E75))</f>
        <v>=N([@ТО])*[@кTO]</v>
      </c>
      <c r="G75" s="1888" t="s">
        <v>1046</v>
      </c>
      <c r="H75" s="1834"/>
      <c r="I75" s="1851">
        <f t="shared" ca="1" si="6"/>
        <v>1</v>
      </c>
      <c r="J75" s="1852">
        <f t="shared" ca="1" si="7"/>
        <v>1</v>
      </c>
      <c r="K75" s="1834"/>
      <c r="L75" s="1886"/>
      <c r="M75" s="1800">
        <v>11</v>
      </c>
      <c r="N75" s="1815" t="s">
        <v>334</v>
      </c>
      <c r="O75" s="1788">
        <f>MATCH(N75,MPLS[#Headers], 0)</f>
        <v>11</v>
      </c>
      <c r="P75" s="1844" t="str" cm="1">
        <f t="array" aca="1" ref="P75" ca="1">_xlfn.FORMULATEXT(INDEX(MPLS[],1,$O75))</f>
        <v>=N([@ТО])*[@кTO]</v>
      </c>
      <c r="Q75" s="1880" t="s">
        <v>1046</v>
      </c>
      <c r="R75" s="1825"/>
    </row>
    <row r="76" spans="1:18" x14ac:dyDescent="0.25">
      <c r="A76" s="1824"/>
      <c r="B76" s="1890"/>
      <c r="C76" s="1800">
        <v>12</v>
      </c>
      <c r="D76" s="1815" t="s">
        <v>1092</v>
      </c>
      <c r="E76" s="1788">
        <f>MATCH(D76,MPZS[#Headers], 0)</f>
        <v>32</v>
      </c>
      <c r="F76" s="1785" t="str" cm="1">
        <f t="array" aca="1" ref="F76" ca="1">_xlfn.FORMULATEXT(INDEX(MPZS[],1,$E76))</f>
        <v>=N(OFFSET([@|];-1;0))+1</v>
      </c>
      <c r="G76" s="1888" t="s">
        <v>1046</v>
      </c>
      <c r="H76" s="1834"/>
      <c r="I76" s="1851">
        <f t="shared" ca="1" si="6"/>
        <v>1</v>
      </c>
      <c r="J76" s="1852">
        <f t="shared" ref="J76:J78" ca="1" si="8">(F76=P76)*1</f>
        <v>1</v>
      </c>
      <c r="K76" s="1834"/>
      <c r="L76" s="1886"/>
      <c r="M76" s="1800">
        <v>12</v>
      </c>
      <c r="N76" s="1815" t="s">
        <v>1092</v>
      </c>
      <c r="O76" s="1788">
        <f>MATCH(N76,MPLS[#Headers], 0)</f>
        <v>32</v>
      </c>
      <c r="P76" s="1844" t="str" cm="1">
        <f t="array" aca="1" ref="P76" ca="1">_xlfn.FORMULATEXT(INDEX(MPLS[],1,$O76))</f>
        <v>=N(OFFSET([@|];-1;0))+1</v>
      </c>
      <c r="Q76" s="1880" t="s">
        <v>1046</v>
      </c>
      <c r="R76" s="1825"/>
    </row>
    <row r="77" spans="1:18" x14ac:dyDescent="0.25">
      <c r="A77" s="1824"/>
      <c r="B77" s="1890"/>
      <c r="C77" s="1800">
        <v>13</v>
      </c>
      <c r="D77" s="1815" t="s">
        <v>7736</v>
      </c>
      <c r="E77" s="1788">
        <f>MATCH(D77,MPZS[#Headers], 0)</f>
        <v>33</v>
      </c>
      <c r="F77" s="1785" t="str" cm="1">
        <f t="array" aca="1" ref="F77" ca="1">_xlfn.FORMULATEXT(INDEX(MPZS[],1,$E77))</f>
        <v>=IF([@уЧасове];[@нацид|монСпециалностМП];"")</v>
      </c>
      <c r="G77" s="1888" t="s">
        <v>1046</v>
      </c>
      <c r="H77" s="1834"/>
      <c r="I77" s="1851">
        <f t="shared" ca="1" si="6"/>
        <v>1</v>
      </c>
      <c r="J77" s="1852">
        <f t="shared" ca="1" si="8"/>
        <v>1</v>
      </c>
      <c r="K77" s="1834"/>
      <c r="L77" s="1886"/>
      <c r="M77" s="1800">
        <v>13</v>
      </c>
      <c r="N77" s="1815" t="s">
        <v>7736</v>
      </c>
      <c r="O77" s="1788">
        <f>MATCH(N77,MPLS[#Headers], 0)</f>
        <v>33</v>
      </c>
      <c r="P77" s="1844" t="str" cm="1">
        <f t="array" aca="1" ref="P77" ca="1">_xlfn.FORMULATEXT(INDEX(MPLS[],1,$O77))</f>
        <v>=IF([@уЧасове];[@нацид|монСпециалностМП];"")</v>
      </c>
      <c r="Q77" s="1880" t="s">
        <v>1046</v>
      </c>
      <c r="R77" s="1825"/>
    </row>
    <row r="78" spans="1:18" ht="15.75" thickBot="1" x14ac:dyDescent="0.3">
      <c r="A78" s="1824"/>
      <c r="B78" s="1890"/>
      <c r="C78" s="1801">
        <v>14</v>
      </c>
      <c r="D78" s="1816" t="s">
        <v>7828</v>
      </c>
      <c r="E78" s="1848">
        <f>MATCH(D78,MPZS[#Headers], 0)</f>
        <v>34</v>
      </c>
      <c r="F78" s="1786" t="str" cm="1">
        <f t="array" aca="1" ref="F78" ca="1">_xlfn.FORMULATEXT(INDEX(MPZS[],1,$E78))</f>
        <v>=SUM(MPZS[@[чПрактика]:[чTO]];N([@КР])*кКурсова_работа)</v>
      </c>
      <c r="G78" s="1888" t="s">
        <v>1046</v>
      </c>
      <c r="H78" s="1834"/>
      <c r="I78" s="1858">
        <f t="shared" ca="1" si="6"/>
        <v>0</v>
      </c>
      <c r="J78" s="1859">
        <f t="shared" ca="1" si="8"/>
        <v>0</v>
      </c>
      <c r="K78" s="1834"/>
      <c r="L78" s="1886"/>
      <c r="M78" s="1801">
        <v>14</v>
      </c>
      <c r="N78" s="1816" t="s">
        <v>7828</v>
      </c>
      <c r="O78" s="1848">
        <f>MATCH(N78,MPLS[#Headers], 0)</f>
        <v>34</v>
      </c>
      <c r="P78" s="1845" t="str" cm="1">
        <f t="array" aca="1" ref="P78" ca="1">_xlfn.FORMULATEXT(INDEX(MPLS[],1,$O78))</f>
        <v>=SUM(MPLS[@[чПрактика]:[чTO]];N([@КР])*кКурсова_работа)</v>
      </c>
      <c r="Q78" s="1880" t="s">
        <v>1046</v>
      </c>
      <c r="R78" s="1825"/>
    </row>
    <row r="79" spans="1:18" ht="15.75" thickBot="1" x14ac:dyDescent="0.3">
      <c r="A79" s="1824"/>
      <c r="B79" s="1889"/>
      <c r="C79" s="1882"/>
      <c r="D79" s="1882"/>
      <c r="E79" s="1876"/>
      <c r="F79" s="1882"/>
      <c r="G79" s="1888" t="s">
        <v>1046</v>
      </c>
      <c r="H79" s="1834"/>
      <c r="I79" s="1876"/>
      <c r="J79" s="1876"/>
      <c r="K79" s="1834"/>
      <c r="L79" s="1882"/>
      <c r="M79" s="1882"/>
      <c r="N79" s="1882"/>
      <c r="O79" s="1876"/>
      <c r="P79" s="1883"/>
      <c r="Q79" s="1881"/>
      <c r="R79" s="1825"/>
    </row>
    <row r="80" spans="1:18" ht="15.75" thickBot="1" x14ac:dyDescent="0.3">
      <c r="A80" s="1824"/>
      <c r="B80" s="1778"/>
      <c r="C80" s="1778"/>
      <c r="D80" s="1778"/>
      <c r="E80" s="1779"/>
      <c r="F80" s="1778"/>
      <c r="G80" s="1832" t="s">
        <v>1046</v>
      </c>
      <c r="H80" s="1831"/>
      <c r="I80" s="1779"/>
      <c r="J80" s="1779"/>
      <c r="K80" s="1831"/>
      <c r="L80" s="1778"/>
      <c r="M80" s="1778"/>
      <c r="N80" s="1778"/>
      <c r="O80" s="1778"/>
      <c r="P80" s="1778"/>
      <c r="Q80" s="1778"/>
      <c r="R80" s="1825"/>
    </row>
    <row r="81" spans="1:18" x14ac:dyDescent="0.25">
      <c r="A81" s="1824"/>
      <c r="B81" s="1887"/>
      <c r="C81" s="1877"/>
      <c r="D81" s="1877"/>
      <c r="E81" s="1867"/>
      <c r="F81" s="1877"/>
      <c r="G81" s="1888" t="s">
        <v>1046</v>
      </c>
      <c r="H81" s="1834"/>
      <c r="I81" s="1867"/>
      <c r="J81" s="1867"/>
      <c r="K81" s="1834"/>
      <c r="L81" s="1877"/>
      <c r="M81" s="1877"/>
      <c r="N81" s="1877"/>
      <c r="O81" s="1877"/>
      <c r="P81" s="1877"/>
      <c r="Q81" s="1878"/>
      <c r="R81" s="1825"/>
    </row>
    <row r="82" spans="1:18" ht="18.75" x14ac:dyDescent="0.3">
      <c r="A82" s="1824"/>
      <c r="B82" s="1890"/>
      <c r="C82" s="2863" t="s">
        <v>12884</v>
      </c>
      <c r="D82" s="2864"/>
      <c r="E82" s="2864"/>
      <c r="F82" s="2865"/>
      <c r="G82" s="1888" t="s">
        <v>1046</v>
      </c>
      <c r="H82" s="1834"/>
      <c r="I82" s="1868"/>
      <c r="J82" s="1868"/>
      <c r="K82" s="1834"/>
      <c r="L82" s="1884"/>
      <c r="M82" s="2863" t="s">
        <v>12884</v>
      </c>
      <c r="N82" s="2864"/>
      <c r="O82" s="2864"/>
      <c r="P82" s="2865"/>
      <c r="Q82" s="1879"/>
      <c r="R82" s="1825"/>
    </row>
    <row r="83" spans="1:18" ht="15.75" thickBot="1" x14ac:dyDescent="0.3">
      <c r="A83" s="1824"/>
      <c r="B83" s="1890"/>
      <c r="D83" s="63" t="s">
        <v>12886</v>
      </c>
      <c r="E83" s="353"/>
      <c r="F83" s="63" t="s">
        <v>681</v>
      </c>
      <c r="G83" s="1888" t="s">
        <v>1046</v>
      </c>
      <c r="H83" s="1834"/>
      <c r="I83" s="1869"/>
      <c r="J83" s="1869"/>
      <c r="K83" s="1834"/>
      <c r="L83" s="1888"/>
      <c r="M83" s="63"/>
      <c r="N83" s="63" t="s">
        <v>12887</v>
      </c>
      <c r="Q83" s="1879"/>
      <c r="R83" s="1825"/>
    </row>
    <row r="84" spans="1:18" ht="15.75" thickBot="1" x14ac:dyDescent="0.3">
      <c r="A84" s="1824"/>
      <c r="B84" s="1890"/>
      <c r="C84" s="1802" t="s">
        <v>573</v>
      </c>
      <c r="D84" s="1787" t="s">
        <v>2815</v>
      </c>
      <c r="E84" s="1802" t="s">
        <v>12874</v>
      </c>
      <c r="F84" s="1810" t="s">
        <v>12880</v>
      </c>
      <c r="G84" s="1888" t="s">
        <v>1046</v>
      </c>
      <c r="H84" s="1834"/>
      <c r="I84" s="1869"/>
      <c r="J84" s="1868"/>
      <c r="K84" s="1834"/>
      <c r="L84" s="1884"/>
      <c r="M84" s="1802" t="s">
        <v>573</v>
      </c>
      <c r="N84" s="1787" t="s">
        <v>2815</v>
      </c>
      <c r="O84" s="1802" t="s">
        <v>12874</v>
      </c>
      <c r="P84" s="1842" t="s">
        <v>12880</v>
      </c>
      <c r="Q84" s="1879"/>
      <c r="R84" s="1825"/>
    </row>
    <row r="85" spans="1:18" x14ac:dyDescent="0.25">
      <c r="A85" s="1824"/>
      <c r="B85" s="1890"/>
      <c r="C85" s="1838">
        <v>1</v>
      </c>
      <c r="D85" s="1839" t="s">
        <v>7825</v>
      </c>
      <c r="E85" s="1838">
        <f>MATCH(D85,BDiplomiraneZS[#Headers], 0)</f>
        <v>1</v>
      </c>
      <c r="F85" s="1784" t="str" cm="1">
        <f t="array" aca="1" ref="F85" ca="1">_xlfn.FORMULATEXT(INDEX(BDiplomiraneZS[],1,$E85))</f>
        <v>=кДипломна_работа</v>
      </c>
      <c r="G85" s="1888" t="s">
        <v>1046</v>
      </c>
      <c r="H85" s="1834"/>
      <c r="I85" s="1856"/>
      <c r="J85" s="1857">
        <f t="shared" ref="J85:J95" ca="1" si="9">(F85=P85)*1</f>
        <v>1</v>
      </c>
      <c r="K85" s="1834"/>
      <c r="L85" s="1885"/>
      <c r="M85" s="1841">
        <v>1</v>
      </c>
      <c r="N85" s="1817" t="s">
        <v>7825</v>
      </c>
      <c r="O85" s="1838">
        <f>MATCH(N85,BDiplomiraneLS[#Headers], 0)</f>
        <v>1</v>
      </c>
      <c r="P85" s="1843" t="str" cm="1">
        <f t="array" aca="1" ref="P85" ca="1">_xlfn.FORMULATEXT(INDEX(BDiplomiraneLS[],1,$O85))</f>
        <v>=кДипломна_работа</v>
      </c>
      <c r="Q85" s="1880" t="s">
        <v>1046</v>
      </c>
      <c r="R85" s="1825"/>
    </row>
    <row r="86" spans="1:18" x14ac:dyDescent="0.25">
      <c r="A86" s="1824"/>
      <c r="B86" s="1890"/>
      <c r="C86" s="1789">
        <v>2</v>
      </c>
      <c r="D86" s="1791" t="s">
        <v>7826</v>
      </c>
      <c r="E86" s="1789">
        <f>MATCH(D86,BDiplomiraneZS[#Headers], 0)</f>
        <v>2</v>
      </c>
      <c r="F86" s="1785" t="str" cm="1">
        <f t="array" aca="1" ref="F86" ca="1">_xlfn.FORMULATEXT(INDEX(BDiplomiraneZS[],1,$E86))</f>
        <v>=кРецензия</v>
      </c>
      <c r="G86" s="1888" t="s">
        <v>1046</v>
      </c>
      <c r="H86" s="1834"/>
      <c r="I86" s="1851"/>
      <c r="J86" s="1852">
        <f t="shared" ca="1" si="9"/>
        <v>1</v>
      </c>
      <c r="K86" s="1834"/>
      <c r="L86" s="1885"/>
      <c r="M86" s="1800">
        <v>2</v>
      </c>
      <c r="N86" s="1818" t="s">
        <v>7826</v>
      </c>
      <c r="O86" s="1789">
        <f>MATCH(N86,BDiplomiraneLS[#Headers], 0)</f>
        <v>2</v>
      </c>
      <c r="P86" s="1844" t="str" cm="1">
        <f t="array" aca="1" ref="P86" ca="1">_xlfn.FORMULATEXT(INDEX(BDiplomiraneLS[],1,$O86))</f>
        <v>=кРецензия</v>
      </c>
      <c r="Q86" s="1880" t="s">
        <v>1046</v>
      </c>
      <c r="R86" s="1825"/>
    </row>
    <row r="87" spans="1:18" x14ac:dyDescent="0.25">
      <c r="A87" s="1824"/>
      <c r="B87" s="1890"/>
      <c r="C87" s="1789">
        <v>3</v>
      </c>
      <c r="D87" s="1781" t="s">
        <v>7827</v>
      </c>
      <c r="E87" s="1789">
        <f>MATCH(D87,BDiplomiraneZS[#Headers], 0)</f>
        <v>3</v>
      </c>
      <c r="F87" s="1785" t="str" cm="1">
        <f t="array" aca="1" ref="F87" ca="1">_xlfn.FORMULATEXT(INDEX(BDiplomiraneZS[],1,$E87))</f>
        <v>=кДИ_защита</v>
      </c>
      <c r="G87" s="1888" t="s">
        <v>1046</v>
      </c>
      <c r="H87" s="1834"/>
      <c r="I87" s="1851"/>
      <c r="J87" s="1852">
        <f t="shared" ca="1" si="9"/>
        <v>1</v>
      </c>
      <c r="K87" s="1834"/>
      <c r="L87" s="1885"/>
      <c r="M87" s="1800">
        <v>3</v>
      </c>
      <c r="N87" s="1819" t="s">
        <v>7827</v>
      </c>
      <c r="O87" s="1789">
        <f>MATCH(N87,BDiplomiraneLS[#Headers], 0)</f>
        <v>3</v>
      </c>
      <c r="P87" s="1844" t="str" cm="1">
        <f t="array" aca="1" ref="P87" ca="1">_xlfn.FORMULATEXT(INDEX(BDiplomiraneLS[],1,$O87))</f>
        <v>=кДИ_защита</v>
      </c>
      <c r="Q87" s="1880" t="s">
        <v>1046</v>
      </c>
      <c r="R87" s="1825"/>
    </row>
    <row r="88" spans="1:18" x14ac:dyDescent="0.25">
      <c r="A88" s="1824"/>
      <c r="B88" s="1890"/>
      <c r="C88" s="1789">
        <v>4</v>
      </c>
      <c r="D88" s="1781" t="s">
        <v>995</v>
      </c>
      <c r="E88" s="1789">
        <f>MATCH(D88,BDiplomiraneZS[#Headers], 0)</f>
        <v>4</v>
      </c>
      <c r="F88" s="1785" t="str" cm="1">
        <f t="array" aca="1" ref="F88" ca="1">_xlfn.FORMULATEXT(INDEX(BDiplomiraneZS[],1,$E88))</f>
        <v>=[@кДР]*N([@ДР])</v>
      </c>
      <c r="G88" s="1888" t="s">
        <v>1046</v>
      </c>
      <c r="H88" s="1834"/>
      <c r="I88" s="1851"/>
      <c r="J88" s="1852">
        <f t="shared" ca="1" si="9"/>
        <v>1</v>
      </c>
      <c r="K88" s="1834"/>
      <c r="L88" s="1885"/>
      <c r="M88" s="1800">
        <v>4</v>
      </c>
      <c r="N88" s="1819" t="s">
        <v>995</v>
      </c>
      <c r="O88" s="1789">
        <f>MATCH(N88,BDiplomiraneLS[#Headers], 0)</f>
        <v>4</v>
      </c>
      <c r="P88" s="1844" t="str" cm="1">
        <f t="array" aca="1" ref="P88" ca="1">_xlfn.FORMULATEXT(INDEX(BDiplomiraneLS[],1,$O88))</f>
        <v>=[@кДР]*N([@ДР])</v>
      </c>
      <c r="Q88" s="1880" t="s">
        <v>1046</v>
      </c>
      <c r="R88" s="1825"/>
    </row>
    <row r="89" spans="1:18" x14ac:dyDescent="0.25">
      <c r="A89" s="1824"/>
      <c r="B89" s="1890"/>
      <c r="C89" s="1789">
        <v>5</v>
      </c>
      <c r="D89" s="1781" t="s">
        <v>7823</v>
      </c>
      <c r="E89" s="1789">
        <f>MATCH(D89,BDiplomiraneZS[#Headers], 0)</f>
        <v>5</v>
      </c>
      <c r="F89" s="1785" t="str" cm="1">
        <f t="array" aca="1" ref="F89" ca="1">_xlfn.FORMULATEXT(INDEX(BDiplomiraneZS[],1,$E89))</f>
        <v>=[@кРецензии]*N([@Рецензии])</v>
      </c>
      <c r="G89" s="1888" t="s">
        <v>1046</v>
      </c>
      <c r="H89" s="1834"/>
      <c r="I89" s="1851"/>
      <c r="J89" s="1852">
        <f t="shared" ca="1" si="9"/>
        <v>1</v>
      </c>
      <c r="K89" s="1834"/>
      <c r="L89" s="1885"/>
      <c r="M89" s="1800">
        <v>5</v>
      </c>
      <c r="N89" s="1819" t="s">
        <v>7823</v>
      </c>
      <c r="O89" s="1789">
        <f>MATCH(N89,BDiplomiraneLS[#Headers], 0)</f>
        <v>5</v>
      </c>
      <c r="P89" s="1844" t="str" cm="1">
        <f t="array" aca="1" ref="P89" ca="1">_xlfn.FORMULATEXT(INDEX(BDiplomiraneLS[],1,$O89))</f>
        <v>=[@кРецензии]*N([@Рецензии])</v>
      </c>
      <c r="Q89" s="1880" t="s">
        <v>1046</v>
      </c>
      <c r="R89" s="1825"/>
    </row>
    <row r="90" spans="1:18" ht="15.75" thickBot="1" x14ac:dyDescent="0.3">
      <c r="A90" s="1824"/>
      <c r="B90" s="1890"/>
      <c r="C90" s="1790">
        <v>6</v>
      </c>
      <c r="D90" s="1840" t="s">
        <v>7824</v>
      </c>
      <c r="E90" s="1790">
        <f>MATCH(D90,BDiplomiraneZS[#Headers], 0)</f>
        <v>6</v>
      </c>
      <c r="F90" s="1786" t="str" cm="1">
        <f t="array" aca="1" ref="F90" ca="1">_xlfn.FORMULATEXT(INDEX(BDiplomiraneZS[],1,$E90))</f>
        <v>=[@[кИ/ДИ/З]]*N([@[И/ДИ/З]])</v>
      </c>
      <c r="G90" s="1888" t="s">
        <v>1046</v>
      </c>
      <c r="H90" s="1834"/>
      <c r="I90" s="1858"/>
      <c r="J90" s="1859">
        <f t="shared" ca="1" si="9"/>
        <v>1</v>
      </c>
      <c r="K90" s="1834"/>
      <c r="L90" s="1885"/>
      <c r="M90" s="1801">
        <v>6</v>
      </c>
      <c r="N90" s="1837" t="s">
        <v>7824</v>
      </c>
      <c r="O90" s="1790">
        <f>MATCH(N90,BDiplomiraneLS[#Headers], 0)</f>
        <v>6</v>
      </c>
      <c r="P90" s="1845" t="str" cm="1">
        <f t="array" aca="1" ref="P90" ca="1">_xlfn.FORMULATEXT(INDEX(BDiplomiraneLS[],1,$O90))</f>
        <v>=[@[кИ/ДИ/З]]*N([@[И/ДИ/З]])</v>
      </c>
      <c r="Q90" s="1880" t="s">
        <v>1046</v>
      </c>
      <c r="R90" s="1825"/>
    </row>
    <row r="91" spans="1:18" x14ac:dyDescent="0.25">
      <c r="A91" s="1824"/>
      <c r="B91" s="1890"/>
      <c r="C91" s="1788">
        <v>7</v>
      </c>
      <c r="D91" s="1780" t="s">
        <v>12873</v>
      </c>
      <c r="E91" s="1788">
        <f>MATCH(D91,BDiplomiraneZS1[#Headers], 0)</f>
        <v>1</v>
      </c>
      <c r="F91" s="1792" t="str" cm="1">
        <f t="array" aca="1" ref="F91" ca="1">_xlfn.FORMULATEXT(INDEX(BDiplomiraneZS1[],1,$E91))</f>
        <v>="*"&amp;BDiplomiraneZS[@Специалност]&amp;"*\"&amp;BDiplomiraneZS[@Факултет]&amp;"\б"&amp;LEFT(BDiplomiraneZS[@ФормаОб];1)</v>
      </c>
      <c r="G91" s="1888" t="s">
        <v>1046</v>
      </c>
      <c r="H91" s="1834"/>
      <c r="I91" s="1849"/>
      <c r="J91" s="1850">
        <f t="shared" ca="1" si="9"/>
        <v>0</v>
      </c>
      <c r="K91" s="1834"/>
      <c r="L91" s="1885"/>
      <c r="M91" s="1799">
        <v>7</v>
      </c>
      <c r="N91" s="1836" t="s">
        <v>12873</v>
      </c>
      <c r="O91" s="1788">
        <f>MATCH(N91,BDiplomiraneLS1[#Headers], 0)</f>
        <v>1</v>
      </c>
      <c r="P91" s="1843" t="str" cm="1">
        <f t="array" aca="1" ref="P91" ca="1">_xlfn.FORMULATEXT(INDEX(BDiplomiraneLS1[],1,$O91))</f>
        <v>="*"&amp;BDiplomiraneLS[@Специалност]&amp;"*\"&amp;BDiplomiraneLS[@Факултет]&amp;"\б"&amp;LEFT(BDiplomiraneLS[@ФормаОб];1)</v>
      </c>
      <c r="Q91" s="1880" t="s">
        <v>1046</v>
      </c>
      <c r="R91" s="1825"/>
    </row>
    <row r="92" spans="1:18" x14ac:dyDescent="0.25">
      <c r="A92" s="1824"/>
      <c r="B92" s="1890"/>
      <c r="C92" s="1789">
        <v>8</v>
      </c>
      <c r="D92" s="1782" t="s">
        <v>7735</v>
      </c>
      <c r="E92" s="1789">
        <f>MATCH(D92,BDiplomiraneZS1[#Headers], 0)</f>
        <v>2</v>
      </c>
      <c r="F92" s="1785" t="str" cm="1">
        <f t="array" aca="1" ref="F92" ca="1">_xlfn.FORMULATEXT(INDEX(BDiplomiraneZS1[],1,$E92))</f>
        <v>=IFERROR(VLOOKUP([@СпециалностМП];EducPlans_кодНАЦИД_Спец[[кодСпецДР]:[кодНАЦИД]];3;0);"")</v>
      </c>
      <c r="G92" s="1888" t="s">
        <v>1046</v>
      </c>
      <c r="H92" s="1834"/>
      <c r="I92" s="1851"/>
      <c r="J92" s="1852">
        <f t="shared" ca="1" si="9"/>
        <v>1</v>
      </c>
      <c r="K92" s="1834"/>
      <c r="L92" s="1885"/>
      <c r="M92" s="1800">
        <v>8</v>
      </c>
      <c r="N92" s="1815" t="s">
        <v>7735</v>
      </c>
      <c r="O92" s="1789">
        <f>MATCH(N92,BDiplomiraneLS1[#Headers], 0)</f>
        <v>2</v>
      </c>
      <c r="P92" s="1844" t="str" cm="1">
        <f t="array" aca="1" ref="P92" ca="1">_xlfn.FORMULATEXT(INDEX(BDiplomiraneLS1[],1,$O92))</f>
        <v>=IFERROR(VLOOKUP([@СпециалностМП];EducPlans_кодНАЦИД_Спец[[кодСпецДР]:[кодНАЦИД]];3;0);"")</v>
      </c>
      <c r="Q92" s="1880" t="s">
        <v>1046</v>
      </c>
      <c r="R92" s="1825"/>
    </row>
    <row r="93" spans="1:18" x14ac:dyDescent="0.25">
      <c r="A93" s="1824"/>
      <c r="B93" s="1890"/>
      <c r="C93" s="1789">
        <v>12</v>
      </c>
      <c r="D93" s="1782" t="s">
        <v>1092</v>
      </c>
      <c r="E93" s="1789">
        <f>MATCH(D93,BDiplomiraneZS1[#Headers], 0)</f>
        <v>3</v>
      </c>
      <c r="F93" s="1785" t="str" cm="1">
        <f t="array" aca="1" ref="F93" ca="1">_xlfn.FORMULATEXT(INDEX(BDiplomiraneZS1[],1,$E93))</f>
        <v>=N(OFFSET([@|];-1;0))+1</v>
      </c>
      <c r="G93" s="1888" t="s">
        <v>1046</v>
      </c>
      <c r="H93" s="1834"/>
      <c r="I93" s="1851"/>
      <c r="J93" s="1852">
        <f t="shared" ca="1" si="9"/>
        <v>1</v>
      </c>
      <c r="K93" s="1834"/>
      <c r="L93" s="1885"/>
      <c r="M93" s="1800">
        <v>12</v>
      </c>
      <c r="N93" s="1815" t="s">
        <v>1092</v>
      </c>
      <c r="O93" s="1789">
        <f>MATCH(N93,BDiplomiraneLS1[#Headers], 0)</f>
        <v>3</v>
      </c>
      <c r="P93" s="1844" t="str" cm="1">
        <f t="array" aca="1" ref="P93" ca="1">_xlfn.FORMULATEXT(INDEX(BDiplomiraneLS1[],1,$O93))</f>
        <v>=N(OFFSET([@|];-1;0))+1</v>
      </c>
      <c r="Q93" s="1880" t="s">
        <v>1046</v>
      </c>
      <c r="R93" s="1825"/>
    </row>
    <row r="94" spans="1:18" x14ac:dyDescent="0.25">
      <c r="A94" s="1824"/>
      <c r="B94" s="1890"/>
      <c r="C94" s="1789">
        <v>13</v>
      </c>
      <c r="D94" s="1782" t="s">
        <v>7736</v>
      </c>
      <c r="E94" s="1789">
        <f>MATCH(D94,BDiplomiraneZS1[#Headers], 0)</f>
        <v>4</v>
      </c>
      <c r="F94" s="1785" t="str" cm="1">
        <f t="array" aca="1" ref="F94" ca="1">_xlfn.FORMULATEXT(INDEX(BDiplomiraneZS1[],1,$E94))</f>
        <v>=IF([@уЧасове];[@нацид|монСпециалностМП];"")</v>
      </c>
      <c r="G94" s="1888" t="s">
        <v>1046</v>
      </c>
      <c r="H94" s="1834"/>
      <c r="I94" s="1851"/>
      <c r="J94" s="1852">
        <f t="shared" ca="1" si="9"/>
        <v>1</v>
      </c>
      <c r="K94" s="1834"/>
      <c r="L94" s="1885"/>
      <c r="M94" s="1800">
        <v>13</v>
      </c>
      <c r="N94" s="1815" t="s">
        <v>7736</v>
      </c>
      <c r="O94" s="1789">
        <f>MATCH(N94,BDiplomiraneLS1[#Headers], 0)</f>
        <v>4</v>
      </c>
      <c r="P94" s="1844" t="str" cm="1">
        <f t="array" aca="1" ref="P94" ca="1">_xlfn.FORMULATEXT(INDEX(BDiplomiraneLS1[],1,$O94))</f>
        <v>=IF([@уЧасове];[@нацид|монСпециалностМП];"")</v>
      </c>
      <c r="Q94" s="1880" t="s">
        <v>1046</v>
      </c>
      <c r="R94" s="1825"/>
    </row>
    <row r="95" spans="1:18" ht="15.75" thickBot="1" x14ac:dyDescent="0.3">
      <c r="A95" s="1824"/>
      <c r="B95" s="1890"/>
      <c r="C95" s="1790">
        <v>14</v>
      </c>
      <c r="D95" s="1783" t="s">
        <v>7828</v>
      </c>
      <c r="E95" s="1790">
        <f>MATCH(D95,BDiplomiraneZS1[#Headers], 0)</f>
        <v>5</v>
      </c>
      <c r="F95" s="1786" t="str" cm="1">
        <f t="array" aca="1" ref="F95" ca="1">_xlfn.FORMULATEXT(INDEX(BDiplomiraneZS1[],1,$E95))</f>
        <v>=SUM(BDiplomiraneZS[@[чДР]:[чИ/ДИ/З]])</v>
      </c>
      <c r="G95" s="1888" t="s">
        <v>1046</v>
      </c>
      <c r="H95" s="1834"/>
      <c r="I95" s="1858"/>
      <c r="J95" s="1859">
        <f t="shared" ca="1" si="9"/>
        <v>0</v>
      </c>
      <c r="K95" s="1834"/>
      <c r="L95" s="1885"/>
      <c r="M95" s="1801">
        <v>14</v>
      </c>
      <c r="N95" s="1816" t="s">
        <v>7828</v>
      </c>
      <c r="O95" s="1790">
        <f>MATCH(N95,BDiplomiraneLS1[#Headers], 0)</f>
        <v>5</v>
      </c>
      <c r="P95" s="1845" t="str" cm="1">
        <f t="array" aca="1" ref="P95" ca="1">_xlfn.FORMULATEXT(INDEX(BDiplomiraneLS1[],1,$O95))</f>
        <v>=SUM(BDiplomiraneLS[@[чДР]:[чИ/ДИ/З]])</v>
      </c>
      <c r="Q95" s="1880" t="s">
        <v>1046</v>
      </c>
      <c r="R95" s="1825"/>
    </row>
    <row r="96" spans="1:18" x14ac:dyDescent="0.25">
      <c r="A96" s="1824"/>
      <c r="B96" s="1890"/>
      <c r="E96" s="614"/>
      <c r="G96" s="1888" t="s">
        <v>1046</v>
      </c>
      <c r="H96" s="1834"/>
      <c r="I96" s="1870"/>
      <c r="J96" s="1871"/>
      <c r="K96" s="1834"/>
      <c r="L96" s="1884"/>
      <c r="M96" s="1884"/>
      <c r="N96" s="1884"/>
      <c r="O96" s="1884"/>
      <c r="P96" s="1884"/>
      <c r="Q96" s="1879"/>
      <c r="R96" s="1825"/>
    </row>
    <row r="97" spans="1:18" ht="18.75" x14ac:dyDescent="0.3">
      <c r="A97" s="1824"/>
      <c r="B97" s="1890"/>
      <c r="C97" s="2863" t="s">
        <v>12885</v>
      </c>
      <c r="D97" s="2864"/>
      <c r="E97" s="2864"/>
      <c r="F97" s="2865"/>
      <c r="G97" s="1888" t="s">
        <v>1046</v>
      </c>
      <c r="H97" s="1834"/>
      <c r="I97" s="1872"/>
      <c r="J97" s="1873"/>
      <c r="K97" s="1834"/>
      <c r="L97" s="1884"/>
      <c r="M97" s="2863" t="s">
        <v>12885</v>
      </c>
      <c r="N97" s="2864"/>
      <c r="O97" s="2864"/>
      <c r="P97" s="2865"/>
      <c r="Q97" s="1879"/>
      <c r="R97" s="1825"/>
    </row>
    <row r="98" spans="1:18" ht="15.75" thickBot="1" x14ac:dyDescent="0.3">
      <c r="A98" s="1824"/>
      <c r="B98" s="1890"/>
      <c r="D98" s="63" t="s">
        <v>12888</v>
      </c>
      <c r="E98" s="353"/>
      <c r="F98" s="63" t="s">
        <v>682</v>
      </c>
      <c r="G98" s="1888" t="s">
        <v>1046</v>
      </c>
      <c r="H98" s="1834"/>
      <c r="I98" s="1874"/>
      <c r="J98" s="1875"/>
      <c r="K98" s="1834"/>
      <c r="L98" s="1888"/>
      <c r="M98" s="63"/>
      <c r="N98" s="63" t="s">
        <v>12889</v>
      </c>
      <c r="O98" s="63"/>
      <c r="P98" s="63" t="s">
        <v>12883</v>
      </c>
      <c r="Q98" s="1879"/>
      <c r="R98" s="1825"/>
    </row>
    <row r="99" spans="1:18" ht="15.75" thickBot="1" x14ac:dyDescent="0.3">
      <c r="A99" s="1824"/>
      <c r="B99" s="1890"/>
      <c r="C99" s="1802" t="s">
        <v>573</v>
      </c>
      <c r="D99" s="1787" t="s">
        <v>2815</v>
      </c>
      <c r="E99" s="1802" t="s">
        <v>12874</v>
      </c>
      <c r="F99" s="1842" t="s">
        <v>12880</v>
      </c>
      <c r="G99" s="1888" t="s">
        <v>1046</v>
      </c>
      <c r="H99" s="1834"/>
      <c r="I99" s="1869"/>
      <c r="J99" s="1868"/>
      <c r="K99" s="1834"/>
      <c r="L99" s="1884"/>
      <c r="M99" s="1802" t="s">
        <v>573</v>
      </c>
      <c r="N99" s="1787" t="s">
        <v>2815</v>
      </c>
      <c r="O99" s="1802" t="s">
        <v>12874</v>
      </c>
      <c r="P99" s="1842" t="s">
        <v>12880</v>
      </c>
      <c r="Q99" s="1879"/>
      <c r="R99" s="1825"/>
    </row>
    <row r="100" spans="1:18" x14ac:dyDescent="0.25">
      <c r="A100" s="1824"/>
      <c r="B100" s="1890"/>
      <c r="C100" s="1841">
        <v>1</v>
      </c>
      <c r="D100" s="1817" t="s">
        <v>7825</v>
      </c>
      <c r="E100" s="1838">
        <f>MATCH(D100,MDiplomiraneZS[#Headers], 0)</f>
        <v>1</v>
      </c>
      <c r="F100" s="1784" t="str" cm="1">
        <f t="array" aca="1" ref="F100" ca="1">_xlfn.FORMULATEXT(INDEX(MDiplomiraneZS[],1,$E100))</f>
        <v>=кДипломна_работа</v>
      </c>
      <c r="G100" s="1888" t="s">
        <v>1046</v>
      </c>
      <c r="H100" s="1834"/>
      <c r="I100" s="1856">
        <f ca="1">(F85=F100)*1</f>
        <v>1</v>
      </c>
      <c r="J100" s="1857">
        <f t="shared" ref="J100:J110" ca="1" si="10">(F100=P100)*1</f>
        <v>1</v>
      </c>
      <c r="K100" s="1834"/>
      <c r="L100" s="1886"/>
      <c r="M100" s="1841">
        <v>1</v>
      </c>
      <c r="N100" s="1817" t="s">
        <v>7825</v>
      </c>
      <c r="O100" s="1838">
        <f>MATCH(N100,MDiplomiraneLS[#Headers], 0)</f>
        <v>1</v>
      </c>
      <c r="P100" s="1843" t="str" cm="1">
        <f t="array" aca="1" ref="P100" ca="1">_xlfn.FORMULATEXT(INDEX(MDiplomiraneLS[],1,$O100))</f>
        <v>=кДипломна_работа</v>
      </c>
      <c r="Q100" s="1880" t="s">
        <v>1046</v>
      </c>
      <c r="R100" s="1825"/>
    </row>
    <row r="101" spans="1:18" x14ac:dyDescent="0.25">
      <c r="A101" s="1824"/>
      <c r="B101" s="1890"/>
      <c r="C101" s="1800">
        <v>2</v>
      </c>
      <c r="D101" s="1818" t="s">
        <v>7826</v>
      </c>
      <c r="E101" s="1788">
        <f>MATCH(D101,MDiplomiraneZS[#Headers], 0)</f>
        <v>2</v>
      </c>
      <c r="F101" s="1785" t="str" cm="1">
        <f t="array" aca="1" ref="F101" ca="1">_xlfn.FORMULATEXT(INDEX(MDiplomiraneZS[],1,$E101))</f>
        <v>=кРецензия</v>
      </c>
      <c r="G101" s="1888" t="s">
        <v>1046</v>
      </c>
      <c r="H101" s="1834"/>
      <c r="I101" s="1851">
        <f t="shared" ref="I101:I110" ca="1" si="11">(F86=F101)*1</f>
        <v>1</v>
      </c>
      <c r="J101" s="1852">
        <f t="shared" ca="1" si="10"/>
        <v>1</v>
      </c>
      <c r="K101" s="1834"/>
      <c r="L101" s="1886"/>
      <c r="M101" s="1800">
        <v>2</v>
      </c>
      <c r="N101" s="1818" t="s">
        <v>7826</v>
      </c>
      <c r="O101" s="1788">
        <f>MATCH(N101,MDiplomiraneLS[#Headers], 0)</f>
        <v>2</v>
      </c>
      <c r="P101" s="1844" t="str" cm="1">
        <f t="array" aca="1" ref="P101" ca="1">_xlfn.FORMULATEXT(INDEX(MDiplomiraneLS[],1,$O101))</f>
        <v>=кРецензия</v>
      </c>
      <c r="Q101" s="1880" t="s">
        <v>1046</v>
      </c>
      <c r="R101" s="1825"/>
    </row>
    <row r="102" spans="1:18" x14ac:dyDescent="0.25">
      <c r="A102" s="1824"/>
      <c r="B102" s="1890"/>
      <c r="C102" s="1800">
        <v>3</v>
      </c>
      <c r="D102" s="1819" t="s">
        <v>7827</v>
      </c>
      <c r="E102" s="1788">
        <f>MATCH(D102,MDiplomiraneZS[#Headers], 0)</f>
        <v>3</v>
      </c>
      <c r="F102" s="1785" t="str" cm="1">
        <f t="array" aca="1" ref="F102" ca="1">_xlfn.FORMULATEXT(INDEX(MDiplomiraneZS[],1,$E102))</f>
        <v>=кДИ_защита</v>
      </c>
      <c r="G102" s="1888" t="s">
        <v>1046</v>
      </c>
      <c r="H102" s="1834"/>
      <c r="I102" s="1851">
        <f t="shared" ca="1" si="11"/>
        <v>1</v>
      </c>
      <c r="J102" s="1852">
        <f t="shared" ca="1" si="10"/>
        <v>1</v>
      </c>
      <c r="K102" s="1834"/>
      <c r="L102" s="1886"/>
      <c r="M102" s="1800">
        <v>3</v>
      </c>
      <c r="N102" s="1819" t="s">
        <v>7827</v>
      </c>
      <c r="O102" s="1788">
        <f>MATCH(N102,MDiplomiraneLS[#Headers], 0)</f>
        <v>3</v>
      </c>
      <c r="P102" s="1844" t="str" cm="1">
        <f t="array" aca="1" ref="P102" ca="1">_xlfn.FORMULATEXT(INDEX(MDiplomiraneLS[],1,$O102))</f>
        <v>=кДИ_защита</v>
      </c>
      <c r="Q102" s="1880" t="s">
        <v>1046</v>
      </c>
      <c r="R102" s="1825"/>
    </row>
    <row r="103" spans="1:18" x14ac:dyDescent="0.25">
      <c r="A103" s="1824"/>
      <c r="B103" s="1890"/>
      <c r="C103" s="1800">
        <v>4</v>
      </c>
      <c r="D103" s="1819" t="s">
        <v>995</v>
      </c>
      <c r="E103" s="1788">
        <f>MATCH(D103,MDiplomiraneZS[#Headers], 0)</f>
        <v>4</v>
      </c>
      <c r="F103" s="1785" t="str" cm="1">
        <f t="array" aca="1" ref="F103" ca="1">_xlfn.FORMULATEXT(INDEX(MDiplomiraneZS[],1,$E103))</f>
        <v>=[@кДР]*N([@ДР])</v>
      </c>
      <c r="G103" s="1888" t="s">
        <v>1046</v>
      </c>
      <c r="H103" s="1834"/>
      <c r="I103" s="1851">
        <f t="shared" ca="1" si="11"/>
        <v>1</v>
      </c>
      <c r="J103" s="1852">
        <f t="shared" ca="1" si="10"/>
        <v>1</v>
      </c>
      <c r="K103" s="1834"/>
      <c r="L103" s="1886"/>
      <c r="M103" s="1800">
        <v>4</v>
      </c>
      <c r="N103" s="1819" t="s">
        <v>995</v>
      </c>
      <c r="O103" s="1788">
        <f>MATCH(N103,MDiplomiraneLS[#Headers], 0)</f>
        <v>4</v>
      </c>
      <c r="P103" s="1844" t="str" cm="1">
        <f t="array" aca="1" ref="P103" ca="1">_xlfn.FORMULATEXT(INDEX(MDiplomiraneLS[],1,$O103))</f>
        <v>=[@кДР]*N([@ДР])</v>
      </c>
      <c r="Q103" s="1880" t="s">
        <v>1046</v>
      </c>
      <c r="R103" s="1825"/>
    </row>
    <row r="104" spans="1:18" x14ac:dyDescent="0.25">
      <c r="A104" s="1824"/>
      <c r="B104" s="1890"/>
      <c r="C104" s="1800">
        <v>5</v>
      </c>
      <c r="D104" s="1819" t="s">
        <v>7823</v>
      </c>
      <c r="E104" s="1788">
        <f>MATCH(D104,MDiplomiraneZS[#Headers], 0)</f>
        <v>5</v>
      </c>
      <c r="F104" s="1785" t="str" cm="1">
        <f t="array" aca="1" ref="F104" ca="1">_xlfn.FORMULATEXT(INDEX(MDiplomiraneZS[],1,$E104))</f>
        <v>=[@кРецензии]*N([@Рецензии])</v>
      </c>
      <c r="G104" s="1888" t="s">
        <v>1046</v>
      </c>
      <c r="H104" s="1834"/>
      <c r="I104" s="1851">
        <f t="shared" ca="1" si="11"/>
        <v>1</v>
      </c>
      <c r="J104" s="1852">
        <f t="shared" ca="1" si="10"/>
        <v>1</v>
      </c>
      <c r="K104" s="1834"/>
      <c r="L104" s="1886"/>
      <c r="M104" s="1800">
        <v>5</v>
      </c>
      <c r="N104" s="1819" t="s">
        <v>7823</v>
      </c>
      <c r="O104" s="1788">
        <f>MATCH(N104,MDiplomiraneLS[#Headers], 0)</f>
        <v>5</v>
      </c>
      <c r="P104" s="1844" t="str" cm="1">
        <f t="array" aca="1" ref="P104" ca="1">_xlfn.FORMULATEXT(INDEX(MDiplomiraneLS[],1,$O104))</f>
        <v>=[@кРецензии]*N([@Рецензии])</v>
      </c>
      <c r="Q104" s="1880" t="s">
        <v>1046</v>
      </c>
      <c r="R104" s="1825"/>
    </row>
    <row r="105" spans="1:18" ht="15.75" thickBot="1" x14ac:dyDescent="0.3">
      <c r="A105" s="1824"/>
      <c r="B105" s="1890"/>
      <c r="C105" s="1801">
        <v>6</v>
      </c>
      <c r="D105" s="1837" t="s">
        <v>7824</v>
      </c>
      <c r="E105" s="1848">
        <f>MATCH(D105,MDiplomiraneZS[#Headers], 0)</f>
        <v>6</v>
      </c>
      <c r="F105" s="1786" t="str" cm="1">
        <f t="array" aca="1" ref="F105" ca="1">_xlfn.FORMULATEXT(INDEX(MDiplomiraneZS[],1,$E105))</f>
        <v>=[@[кИ/ДИ/З]]*N([@[И/ДИ/З]])</v>
      </c>
      <c r="G105" s="1888" t="s">
        <v>1046</v>
      </c>
      <c r="H105" s="1834"/>
      <c r="I105" s="1858">
        <f t="shared" ca="1" si="11"/>
        <v>1</v>
      </c>
      <c r="J105" s="1859">
        <f t="shared" ca="1" si="10"/>
        <v>1</v>
      </c>
      <c r="K105" s="1834"/>
      <c r="L105" s="1886"/>
      <c r="M105" s="1801">
        <v>6</v>
      </c>
      <c r="N105" s="1837" t="s">
        <v>7824</v>
      </c>
      <c r="O105" s="1848">
        <f>MATCH(N105,MDiplomiraneLS[#Headers], 0)</f>
        <v>6</v>
      </c>
      <c r="P105" s="1845" t="str" cm="1">
        <f t="array" aca="1" ref="P105" ca="1">_xlfn.FORMULATEXT(INDEX(MDiplomiraneLS[],1,$O105))</f>
        <v>=[@[кИ/ДИ/З]]*N([@[И/ДИ/З]])</v>
      </c>
      <c r="Q105" s="1880" t="s">
        <v>1046</v>
      </c>
      <c r="R105" s="1825"/>
    </row>
    <row r="106" spans="1:18" x14ac:dyDescent="0.25">
      <c r="A106" s="1824"/>
      <c r="B106" s="1890"/>
      <c r="C106" s="1800">
        <v>9</v>
      </c>
      <c r="D106" s="1819" t="s">
        <v>12873</v>
      </c>
      <c r="E106" s="1788">
        <f>MATCH(D106,MDiplomiraneZS1[#Headers], 0)</f>
        <v>1</v>
      </c>
      <c r="F106" s="1784" t="str" cm="1">
        <f t="array" aca="1" ref="F106" ca="1">_xlfn.FORMULATEXT(INDEX(MDiplomiraneZS1[],1,$E106))</f>
        <v>="*"&amp;MDiplomiraneZS[@[Магистърска програма]]&amp;"*\"&amp;MDiplomiraneZS[@Факултет]&amp;"\м"&amp;LEFT(MDiplomiraneZS[@ФормаОб];1)</v>
      </c>
      <c r="G106" s="1888" t="s">
        <v>1046</v>
      </c>
      <c r="H106" s="1834"/>
      <c r="I106" s="1849">
        <f t="shared" ca="1" si="11"/>
        <v>0</v>
      </c>
      <c r="J106" s="1850">
        <f t="shared" ca="1" si="10"/>
        <v>0</v>
      </c>
      <c r="K106" s="1834"/>
      <c r="L106" s="1886"/>
      <c r="M106" s="1800">
        <v>9</v>
      </c>
      <c r="N106" s="1819" t="s">
        <v>12873</v>
      </c>
      <c r="O106" s="1788">
        <f>MATCH(N106,MDiplomiraneLS1[#Headers], 0)</f>
        <v>1</v>
      </c>
      <c r="P106" s="1843" t="str" cm="1">
        <f t="array" aca="1" ref="P106" ca="1">_xlfn.FORMULATEXT(INDEX(MDiplomiraneLS1[],1,$O106))</f>
        <v>="*"&amp;MDiplomiraneLS[@[Магистърска програма]]&amp;"*\"&amp;MDiplomiraneLS[@Факултет]&amp;"\м"&amp;LEFT(MDiplomiraneLS[@ФормаОб];1)</v>
      </c>
      <c r="Q106" s="1880" t="s">
        <v>1046</v>
      </c>
      <c r="R106" s="1825"/>
    </row>
    <row r="107" spans="1:18" x14ac:dyDescent="0.25">
      <c r="A107" s="1824"/>
      <c r="B107" s="1890"/>
      <c r="C107" s="1800">
        <v>10</v>
      </c>
      <c r="D107" s="1819" t="s">
        <v>7735</v>
      </c>
      <c r="E107" s="1788">
        <f>MATCH(D107,MDiplomiraneZS1[#Headers], 0)</f>
        <v>2</v>
      </c>
      <c r="F107" s="1785" t="str" cm="1">
        <f t="array" aca="1" ref="F107" ca="1">_xlfn.FORMULATEXT(INDEX(MDiplomiraneZS1[],1,$E107))</f>
        <v>=IFERROR(VLOOKUP([@СпециалностМП];EducPlans_кодНАЦИД_Спец[[кодСпецДР]:[кодНАЦИД]];3;0);"")</v>
      </c>
      <c r="G107" s="1888" t="s">
        <v>1046</v>
      </c>
      <c r="H107" s="1834"/>
      <c r="I107" s="1851">
        <f t="shared" ca="1" si="11"/>
        <v>1</v>
      </c>
      <c r="J107" s="1852">
        <f t="shared" ca="1" si="10"/>
        <v>1</v>
      </c>
      <c r="K107" s="1834"/>
      <c r="L107" s="1886"/>
      <c r="M107" s="1800">
        <v>10</v>
      </c>
      <c r="N107" s="1819" t="s">
        <v>7735</v>
      </c>
      <c r="O107" s="1788">
        <f>MATCH(N107,MDiplomiraneLS1[#Headers], 0)</f>
        <v>2</v>
      </c>
      <c r="P107" s="1844" t="str" cm="1">
        <f t="array" aca="1" ref="P107" ca="1">_xlfn.FORMULATEXT(INDEX(MDiplomiraneLS1[],1,$O107))</f>
        <v>=IFERROR(VLOOKUP([@СпециалностМП];EducPlans_кодНАЦИД_Спец[[кодСпецДР]:[кодНАЦИД]];3;0);"")</v>
      </c>
      <c r="Q107" s="1880" t="s">
        <v>1046</v>
      </c>
      <c r="R107" s="1825"/>
    </row>
    <row r="108" spans="1:18" x14ac:dyDescent="0.25">
      <c r="A108" s="1824"/>
      <c r="B108" s="1890"/>
      <c r="C108" s="1800">
        <v>12</v>
      </c>
      <c r="D108" s="1815" t="s">
        <v>1092</v>
      </c>
      <c r="E108" s="1788">
        <f>MATCH(D108,MDiplomiraneZS1[#Headers], 0)</f>
        <v>3</v>
      </c>
      <c r="F108" s="1785" t="str" cm="1">
        <f t="array" aca="1" ref="F108" ca="1">_xlfn.FORMULATEXT(INDEX(MDiplomiraneZS1[],1,$E108))</f>
        <v>=N(OFFSET([@|];-1;0))+1</v>
      </c>
      <c r="G108" s="1888" t="s">
        <v>1046</v>
      </c>
      <c r="H108" s="1834"/>
      <c r="I108" s="1851">
        <f t="shared" ca="1" si="11"/>
        <v>1</v>
      </c>
      <c r="J108" s="1852">
        <f t="shared" ca="1" si="10"/>
        <v>1</v>
      </c>
      <c r="K108" s="1834"/>
      <c r="L108" s="1886"/>
      <c r="M108" s="1800">
        <v>12</v>
      </c>
      <c r="N108" s="1815" t="s">
        <v>1092</v>
      </c>
      <c r="O108" s="1788">
        <f>MATCH(N108,MDiplomiraneLS1[#Headers], 0)</f>
        <v>3</v>
      </c>
      <c r="P108" s="1844" t="str" cm="1">
        <f t="array" aca="1" ref="P108" ca="1">_xlfn.FORMULATEXT(INDEX(MDiplomiraneLS1[],1,$O108))</f>
        <v>=N(OFFSET([@|];-1;0))+1</v>
      </c>
      <c r="Q108" s="1880" t="s">
        <v>1046</v>
      </c>
      <c r="R108" s="1825"/>
    </row>
    <row r="109" spans="1:18" x14ac:dyDescent="0.25">
      <c r="A109" s="1824"/>
      <c r="B109" s="1890"/>
      <c r="C109" s="1800">
        <v>13</v>
      </c>
      <c r="D109" s="1815" t="s">
        <v>7736</v>
      </c>
      <c r="E109" s="1788">
        <f>MATCH(D109,MDiplomiraneZS1[#Headers], 0)</f>
        <v>4</v>
      </c>
      <c r="F109" s="1785" t="str" cm="1">
        <f t="array" aca="1" ref="F109" ca="1">_xlfn.FORMULATEXT(INDEX(MDiplomiraneZS1[],1,$E109))</f>
        <v>=IF([@уЧасове];[@нацид|монСпециалностМП];"")</v>
      </c>
      <c r="G109" s="1888" t="s">
        <v>1046</v>
      </c>
      <c r="H109" s="1834"/>
      <c r="I109" s="1851">
        <f t="shared" ca="1" si="11"/>
        <v>1</v>
      </c>
      <c r="J109" s="1852">
        <f t="shared" ca="1" si="10"/>
        <v>1</v>
      </c>
      <c r="K109" s="1834"/>
      <c r="L109" s="1886"/>
      <c r="M109" s="1800">
        <v>13</v>
      </c>
      <c r="N109" s="1815" t="s">
        <v>7736</v>
      </c>
      <c r="O109" s="1788">
        <f>MATCH(N109,MDiplomiraneLS1[#Headers], 0)</f>
        <v>4</v>
      </c>
      <c r="P109" s="1844" t="str" cm="1">
        <f t="array" aca="1" ref="P109" ca="1">_xlfn.FORMULATEXT(INDEX(MDiplomiraneLS1[],1,$O109))</f>
        <v>=IF([@уЧасове];[@нацид|монСпециалностМП];"")</v>
      </c>
      <c r="Q109" s="1880" t="s">
        <v>1046</v>
      </c>
      <c r="R109" s="1825"/>
    </row>
    <row r="110" spans="1:18" ht="15.75" thickBot="1" x14ac:dyDescent="0.3">
      <c r="A110" s="1824"/>
      <c r="B110" s="1890"/>
      <c r="C110" s="1801">
        <v>14</v>
      </c>
      <c r="D110" s="1816" t="s">
        <v>7828</v>
      </c>
      <c r="E110" s="1848">
        <f>MATCH(D110,MDiplomiraneZS1[#Headers], 0)</f>
        <v>5</v>
      </c>
      <c r="F110" s="1786" t="str" cm="1">
        <f t="array" aca="1" ref="F110" ca="1">_xlfn.FORMULATEXT(INDEX(MDiplomiraneZS1[],1,$E110))</f>
        <v>=SUM(MDiplomiraneZS[@[чДР]:[чИ/ДИ/З]])</v>
      </c>
      <c r="G110" s="1888" t="s">
        <v>1046</v>
      </c>
      <c r="H110" s="1834"/>
      <c r="I110" s="1858">
        <f t="shared" ca="1" si="11"/>
        <v>0</v>
      </c>
      <c r="J110" s="1859">
        <f t="shared" ca="1" si="10"/>
        <v>0</v>
      </c>
      <c r="K110" s="1834"/>
      <c r="L110" s="1886"/>
      <c r="M110" s="1801">
        <v>14</v>
      </c>
      <c r="N110" s="1816" t="s">
        <v>7828</v>
      </c>
      <c r="O110" s="1848">
        <f>MATCH(N110,MDiplomiraneLS1[#Headers], 0)</f>
        <v>5</v>
      </c>
      <c r="P110" s="1845" t="str" cm="1">
        <f t="array" aca="1" ref="P110" ca="1">_xlfn.FORMULATEXT(INDEX(MDiplomiraneLS1[],1,$O110))</f>
        <v>=SUM(MDiplomiraneLS[@[чДР]:[чИ/ДИ/З]])</v>
      </c>
      <c r="Q110" s="1880" t="s">
        <v>1046</v>
      </c>
      <c r="R110" s="1825"/>
    </row>
    <row r="111" spans="1:18" ht="15.75" thickBot="1" x14ac:dyDescent="0.3">
      <c r="A111" s="1824"/>
      <c r="B111" s="1889"/>
      <c r="C111" s="1882"/>
      <c r="D111" s="1882"/>
      <c r="E111" s="1876"/>
      <c r="F111" s="1882"/>
      <c r="G111" s="1891" t="s">
        <v>1046</v>
      </c>
      <c r="H111" s="1835"/>
      <c r="I111" s="1876"/>
      <c r="J111" s="1876"/>
      <c r="K111" s="1835"/>
      <c r="L111" s="1882"/>
      <c r="M111" s="1882"/>
      <c r="N111" s="1882"/>
      <c r="O111" s="1876"/>
      <c r="P111" s="1883"/>
      <c r="Q111" s="1881"/>
      <c r="R111" s="1825"/>
    </row>
    <row r="112" spans="1:18" ht="15.75" thickBot="1" x14ac:dyDescent="0.3">
      <c r="A112" s="1826"/>
      <c r="B112" s="1827"/>
      <c r="C112" s="1827"/>
      <c r="D112" s="1827"/>
      <c r="E112" s="1827"/>
      <c r="F112" s="1827"/>
      <c r="G112" s="1827"/>
      <c r="H112" s="1827"/>
      <c r="I112" s="1847"/>
      <c r="J112" s="1847"/>
      <c r="K112" s="1827"/>
      <c r="L112" s="1827"/>
      <c r="M112" s="1827"/>
      <c r="N112" s="1827"/>
      <c r="O112" s="1827"/>
      <c r="P112" s="1827"/>
      <c r="Q112" s="1827"/>
      <c r="R112" s="1828"/>
    </row>
  </sheetData>
  <mergeCells count="14">
    <mergeCell ref="C2:F2"/>
    <mergeCell ref="M2:P2"/>
    <mergeCell ref="M6:P6"/>
    <mergeCell ref="M24:P24"/>
    <mergeCell ref="M44:P44"/>
    <mergeCell ref="M82:P82"/>
    <mergeCell ref="M97:P97"/>
    <mergeCell ref="C24:F24"/>
    <mergeCell ref="C6:F6"/>
    <mergeCell ref="C62:F62"/>
    <mergeCell ref="C82:F82"/>
    <mergeCell ref="C97:F97"/>
    <mergeCell ref="C44:F44"/>
    <mergeCell ref="M62:P62"/>
  </mergeCells>
  <conditionalFormatting sqref="F9:F22 P9:P22">
    <cfRule type="expression" dxfId="23" priority="13">
      <formula>$J9=0</formula>
    </cfRule>
  </conditionalFormatting>
  <conditionalFormatting sqref="I9:I22">
    <cfRule type="iconSet" priority="11">
      <iconSet iconSet="3Signs" showValue="0">
        <cfvo type="percent" val="0"/>
        <cfvo type="num" val="0" gte="0"/>
        <cfvo type="num" val="1"/>
      </iconSet>
    </cfRule>
  </conditionalFormatting>
  <conditionalFormatting sqref="I27:I40">
    <cfRule type="iconSet" priority="9">
      <iconSet iconSet="3Signs" showValue="0">
        <cfvo type="percent" val="0"/>
        <cfvo type="num" val="0" gte="0"/>
        <cfvo type="num" val="1"/>
      </iconSet>
    </cfRule>
  </conditionalFormatting>
  <conditionalFormatting sqref="I47:I60">
    <cfRule type="iconSet" priority="7">
      <iconSet iconSet="3Signs" showValue="0">
        <cfvo type="percent" val="0"/>
        <cfvo type="num" val="0" gte="0"/>
        <cfvo type="num" val="1"/>
      </iconSet>
    </cfRule>
  </conditionalFormatting>
  <conditionalFormatting sqref="I65:I78">
    <cfRule type="iconSet" priority="5">
      <iconSet iconSet="3Signs" showValue="0">
        <cfvo type="percent" val="0"/>
        <cfvo type="num" val="0" gte="0"/>
        <cfvo type="num" val="1"/>
      </iconSet>
    </cfRule>
  </conditionalFormatting>
  <conditionalFormatting sqref="I85:I98">
    <cfRule type="iconSet" priority="3">
      <iconSet iconSet="3Signs" showValue="0">
        <cfvo type="percent" val="0"/>
        <cfvo type="num" val="0" gte="0"/>
        <cfvo type="num" val="1"/>
      </iconSet>
    </cfRule>
  </conditionalFormatting>
  <conditionalFormatting sqref="I100:I110">
    <cfRule type="iconSet" priority="1">
      <iconSet iconSet="3Signs" showValue="0">
        <cfvo type="percent" val="0"/>
        <cfvo type="num" val="0" gte="0"/>
        <cfvo type="num" val="1"/>
      </iconSet>
    </cfRule>
  </conditionalFormatting>
  <conditionalFormatting sqref="J9:J22">
    <cfRule type="iconSet" priority="12">
      <iconSet iconSet="3Signs" showValue="0">
        <cfvo type="percent" val="0"/>
        <cfvo type="num" val="0" gte="0"/>
        <cfvo type="num" val="1"/>
      </iconSet>
    </cfRule>
  </conditionalFormatting>
  <conditionalFormatting sqref="J27:J40">
    <cfRule type="iconSet" priority="10">
      <iconSet iconSet="3Signs" showValue="0">
        <cfvo type="percent" val="0"/>
        <cfvo type="num" val="0" gte="0"/>
        <cfvo type="num" val="1"/>
      </iconSet>
    </cfRule>
  </conditionalFormatting>
  <conditionalFormatting sqref="J47:J60">
    <cfRule type="iconSet" priority="8">
      <iconSet iconSet="3Signs" showValue="0">
        <cfvo type="percent" val="0"/>
        <cfvo type="num" val="0" gte="0"/>
        <cfvo type="num" val="1"/>
      </iconSet>
    </cfRule>
  </conditionalFormatting>
  <conditionalFormatting sqref="J65:J78">
    <cfRule type="iconSet" priority="6">
      <iconSet iconSet="3Signs" showValue="0">
        <cfvo type="percent" val="0"/>
        <cfvo type="num" val="0" gte="0"/>
        <cfvo type="num" val="1"/>
      </iconSet>
    </cfRule>
  </conditionalFormatting>
  <conditionalFormatting sqref="J85:J98">
    <cfRule type="iconSet" priority="4">
      <iconSet iconSet="3Signs" showValue="0">
        <cfvo type="percent" val="0"/>
        <cfvo type="num" val="0" gte="0"/>
        <cfvo type="num" val="1"/>
      </iconSet>
    </cfRule>
  </conditionalFormatting>
  <conditionalFormatting sqref="J100:J110">
    <cfRule type="iconSet" priority="2">
      <iconSet iconSet="3Signs" showValue="0">
        <cfvo type="percent" val="0"/>
        <cfvo type="num" val="0" gte="0"/>
        <cfvo type="num" val="1"/>
      </iconSet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5050"/>
    <pageSetUpPr fitToPage="1"/>
  </sheetPr>
  <dimension ref="A2:AM63"/>
  <sheetViews>
    <sheetView topLeftCell="A24" workbookViewId="0">
      <selection activeCell="AC12" sqref="AC12"/>
    </sheetView>
  </sheetViews>
  <sheetFormatPr defaultRowHeight="15" x14ac:dyDescent="0.25"/>
  <cols>
    <col min="1" max="1" width="44.85546875" customWidth="1"/>
    <col min="4" max="4" width="10.140625" customWidth="1"/>
    <col min="5" max="5" width="38.28515625" bestFit="1" customWidth="1"/>
    <col min="6" max="7" width="14.5703125" customWidth="1"/>
    <col min="9" max="9" width="18.140625" bestFit="1" customWidth="1"/>
    <col min="10" max="10" width="42.28515625" bestFit="1" customWidth="1"/>
    <col min="11" max="11" width="11" bestFit="1" customWidth="1"/>
    <col min="12" max="12" width="41.7109375" bestFit="1" customWidth="1"/>
    <col min="14" max="14" width="5.5703125" bestFit="1" customWidth="1"/>
    <col min="15" max="15" width="46.140625" customWidth="1"/>
    <col min="16" max="16" width="28.140625" bestFit="1" customWidth="1"/>
    <col min="17" max="17" width="6.42578125" bestFit="1" customWidth="1"/>
    <col min="18" max="18" width="11.85546875" bestFit="1" customWidth="1"/>
    <col min="19" max="19" width="8.42578125" bestFit="1" customWidth="1"/>
    <col min="20" max="20" width="9.28515625" bestFit="1" customWidth="1"/>
    <col min="22" max="24" width="2.85546875" customWidth="1"/>
    <col min="25" max="25" width="5.5703125" bestFit="1" customWidth="1"/>
    <col min="26" max="26" width="18.85546875" bestFit="1" customWidth="1"/>
    <col min="27" max="27" width="21.42578125" customWidth="1"/>
    <col min="28" max="28" width="24.7109375" bestFit="1" customWidth="1"/>
    <col min="30" max="31" width="3.7109375" customWidth="1"/>
    <col min="32" max="32" width="7.85546875" bestFit="1" customWidth="1"/>
    <col min="33" max="34" width="11.42578125" bestFit="1" customWidth="1"/>
    <col min="35" max="35" width="22.85546875" bestFit="1" customWidth="1"/>
    <col min="36" max="36" width="13.5703125" bestFit="1" customWidth="1"/>
    <col min="37" max="37" width="27.85546875" bestFit="1" customWidth="1"/>
    <col min="38" max="38" width="22.85546875" bestFit="1" customWidth="1"/>
    <col min="39" max="39" width="22.7109375" bestFit="1" customWidth="1"/>
  </cols>
  <sheetData>
    <row r="2" spans="1:39" x14ac:dyDescent="0.25">
      <c r="A2" s="23" t="s">
        <v>100</v>
      </c>
      <c r="B2" s="24"/>
      <c r="E2" t="s">
        <v>208</v>
      </c>
    </row>
    <row r="3" spans="1:39" x14ac:dyDescent="0.25">
      <c r="A3" s="12" t="s">
        <v>184</v>
      </c>
      <c r="B3" s="12">
        <v>1</v>
      </c>
      <c r="I3" t="s">
        <v>316</v>
      </c>
      <c r="J3" s="12" t="s">
        <v>316</v>
      </c>
      <c r="K3" s="12">
        <v>1</v>
      </c>
      <c r="L3" t="s">
        <v>339</v>
      </c>
      <c r="N3" s="350" t="s">
        <v>573</v>
      </c>
      <c r="O3" s="350" t="s">
        <v>574</v>
      </c>
      <c r="P3" s="349" t="s">
        <v>555</v>
      </c>
      <c r="Q3" s="354" t="s">
        <v>563</v>
      </c>
      <c r="R3" s="354" t="s">
        <v>618</v>
      </c>
      <c r="S3" s="354" t="s">
        <v>547</v>
      </c>
      <c r="T3" s="410" t="s">
        <v>564</v>
      </c>
      <c r="U3" s="350" t="s">
        <v>893</v>
      </c>
      <c r="Y3" t="s">
        <v>573</v>
      </c>
      <c r="Z3" t="s">
        <v>120</v>
      </c>
      <c r="AA3" t="s">
        <v>90</v>
      </c>
      <c r="AB3" t="s">
        <v>744</v>
      </c>
      <c r="AC3" t="s">
        <v>310</v>
      </c>
      <c r="AF3" t="s">
        <v>573</v>
      </c>
      <c r="AG3" t="s">
        <v>18</v>
      </c>
      <c r="AH3" t="s">
        <v>931</v>
      </c>
      <c r="AI3" t="s">
        <v>207</v>
      </c>
      <c r="AJ3" t="s">
        <v>895</v>
      </c>
      <c r="AK3" t="s">
        <v>932</v>
      </c>
      <c r="AL3" t="s">
        <v>935</v>
      </c>
      <c r="AM3" t="s">
        <v>130</v>
      </c>
    </row>
    <row r="4" spans="1:39" ht="30" customHeight="1" x14ac:dyDescent="0.25">
      <c r="A4" s="12" t="s">
        <v>185</v>
      </c>
      <c r="B4" s="12">
        <v>2</v>
      </c>
      <c r="E4" s="1963" t="s">
        <v>91</v>
      </c>
      <c r="F4" s="1964"/>
      <c r="G4" s="343"/>
      <c r="I4" t="s">
        <v>331</v>
      </c>
      <c r="J4" s="12" t="s">
        <v>331</v>
      </c>
      <c r="K4" s="12">
        <v>2</v>
      </c>
      <c r="L4" s="12" t="s">
        <v>317</v>
      </c>
      <c r="N4" s="353">
        <f ca="1">N(OFFSET(T_Практики[[#This Row],[№]],-1,0))+1</f>
        <v>1</v>
      </c>
      <c r="O4" s="351" t="s">
        <v>586</v>
      </c>
      <c r="P4" s="345" t="s">
        <v>579</v>
      </c>
      <c r="Q4" s="352">
        <v>30</v>
      </c>
      <c r="R4" s="352"/>
      <c r="S4" s="352">
        <v>1</v>
      </c>
      <c r="T4" s="353"/>
      <c r="U4" s="352" t="str">
        <f>IF(T_Практики[[#This Row],[Студенти]],"с","")&amp;IF(T_Практики[[#This Row],[Група]],"г","")&amp;IF(T_Практики[[#This Row],[Ден]],"д","")</f>
        <v>г</v>
      </c>
      <c r="Y4" s="1924">
        <f ca="1">N(OFFSET(T_ПодгКурс[[#This Row],[№]],-1,0))+1</f>
        <v>1</v>
      </c>
      <c r="Z4" s="1937" t="s">
        <v>137</v>
      </c>
      <c r="AA4" s="1938" t="s">
        <v>76</v>
      </c>
      <c r="AB4" s="1938" t="str">
        <f>T_ПодгКурс[[#This Row],[Дейност]]&amp;"|"&amp;T_ПодгКурс[[#This Row],[Форма на обучение]]</f>
        <v>нов курс|р.об.</v>
      </c>
      <c r="AC4" s="1939">
        <v>2</v>
      </c>
      <c r="AF4" s="819">
        <f ca="1">N(OFFSET(тЗащСпец[[#This Row],[№]],-1,0))+1</f>
        <v>1</v>
      </c>
      <c r="AG4" s="819" t="s">
        <v>33</v>
      </c>
      <c r="AH4" s="818" t="s">
        <v>896</v>
      </c>
      <c r="AI4" s="817" t="s">
        <v>218</v>
      </c>
      <c r="AJ4" s="817" t="s">
        <v>897</v>
      </c>
      <c r="AK4" s="817" t="s">
        <v>898</v>
      </c>
      <c r="AL4" s="817" t="s">
        <v>899</v>
      </c>
      <c r="AM4" s="817" t="str">
        <f>LOWER(тЗащСпец[[#This Row],[аСпец]])</f>
        <v>арб(рб)</v>
      </c>
    </row>
    <row r="5" spans="1:39" ht="30" customHeight="1" x14ac:dyDescent="0.25">
      <c r="A5" s="12" t="s">
        <v>181</v>
      </c>
      <c r="B5" s="12">
        <v>1.5</v>
      </c>
      <c r="C5" s="65"/>
      <c r="D5" s="65"/>
      <c r="E5" t="s">
        <v>21</v>
      </c>
      <c r="F5" t="s">
        <v>310</v>
      </c>
      <c r="H5" s="65"/>
      <c r="I5" s="65" t="s">
        <v>84</v>
      </c>
      <c r="J5" s="12" t="s">
        <v>342</v>
      </c>
      <c r="K5" s="12">
        <v>1</v>
      </c>
      <c r="L5" s="12" t="s">
        <v>341</v>
      </c>
      <c r="N5" s="353">
        <f ca="1">N(OFFSET(T_Практики[[#This Row],[№]],-1,0))+1</f>
        <v>2</v>
      </c>
      <c r="O5" s="351" t="s">
        <v>587</v>
      </c>
      <c r="P5" s="345" t="s">
        <v>617</v>
      </c>
      <c r="Q5" s="352">
        <v>60</v>
      </c>
      <c r="R5" s="352"/>
      <c r="S5" s="352">
        <v>1</v>
      </c>
      <c r="T5" s="353"/>
      <c r="U5" s="352" t="str">
        <f>IF(T_Практики[[#This Row],[Студенти]],"с","")&amp;IF(T_Практики[[#This Row],[Група]],"г","")&amp;IF(T_Практики[[#This Row],[Ден]],"д","")</f>
        <v>г</v>
      </c>
      <c r="Y5" s="1924">
        <f ca="1">N(OFFSET(T_ПодгКурс[[#This Row],[№]],-1,0))+1</f>
        <v>2</v>
      </c>
      <c r="Z5" s="1937" t="s">
        <v>137</v>
      </c>
      <c r="AA5" s="1938" t="s">
        <v>77</v>
      </c>
      <c r="AB5" s="1938" t="str">
        <f>T_ПодгКурс[[#This Row],[Дейност]]&amp;"|"&amp;T_ПодгКурс[[#This Row],[Форма на обучение]]</f>
        <v>нов курс|з.об.</v>
      </c>
      <c r="AC5" s="1939">
        <v>2</v>
      </c>
      <c r="AF5" s="819">
        <f ca="1">N(OFFSET(тЗащСпец[[#This Row],[№]],-1,0))+1</f>
        <v>2</v>
      </c>
      <c r="AG5" s="819" t="s">
        <v>33</v>
      </c>
      <c r="AH5" s="818" t="s">
        <v>896</v>
      </c>
      <c r="AI5" s="817" t="s">
        <v>218</v>
      </c>
      <c r="AJ5" s="817"/>
      <c r="AK5" s="817" t="s">
        <v>946</v>
      </c>
      <c r="AL5" s="823" t="s">
        <v>951</v>
      </c>
      <c r="AM5" s="817" t="str">
        <f>LOWER(тЗащСпец[[#This Row],[аСпец]])</f>
        <v>армкав(рб)</v>
      </c>
    </row>
    <row r="6" spans="1:39" ht="30" customHeight="1" x14ac:dyDescent="0.25">
      <c r="A6" s="12" t="s">
        <v>96</v>
      </c>
      <c r="B6" s="12">
        <v>0.6</v>
      </c>
      <c r="E6" s="64" t="s">
        <v>84</v>
      </c>
      <c r="F6" s="64">
        <v>1</v>
      </c>
      <c r="I6" t="s">
        <v>349</v>
      </c>
      <c r="J6" s="12" t="s">
        <v>340</v>
      </c>
      <c r="K6" s="12">
        <v>1.5</v>
      </c>
      <c r="L6" s="12" t="s">
        <v>181</v>
      </c>
      <c r="N6" s="353">
        <f ca="1">N(OFFSET(T_Практики[[#This Row],[№]],-1,0))+1</f>
        <v>3</v>
      </c>
      <c r="O6" s="1090" t="s">
        <v>1073</v>
      </c>
      <c r="P6" s="1090" t="s">
        <v>1074</v>
      </c>
      <c r="Q6" s="1091">
        <v>3</v>
      </c>
      <c r="R6" s="1091"/>
      <c r="S6" s="1091">
        <v>1</v>
      </c>
      <c r="T6" s="1092">
        <v>1</v>
      </c>
      <c r="U6" s="1091" t="str">
        <f>IF(T_Практики[[#This Row],[Студенти]],"с","")&amp;IF(T_Практики[[#This Row],[Група]],"г","")&amp;IF(T_Практики[[#This Row],[Ден]],"д","")</f>
        <v>гд</v>
      </c>
      <c r="Y6" s="1924">
        <f ca="1">N(OFFSET(T_ПодгКурс[[#This Row],[№]],-1,0))+1</f>
        <v>3</v>
      </c>
      <c r="Z6" s="1937" t="s">
        <v>137</v>
      </c>
      <c r="AA6" s="1938" t="s">
        <v>78</v>
      </c>
      <c r="AB6" s="1938" t="str">
        <f>T_ПодгКурс[[#This Row],[Дейност]]&amp;"|"&amp;T_ПодгКурс[[#This Row],[Форма на обучение]]</f>
        <v>нов курс|д.об.</v>
      </c>
      <c r="AC6" s="1939">
        <v>2</v>
      </c>
      <c r="AF6" s="819">
        <f ca="1">N(OFFSET(тЗащСпец[[#This Row],[№]],-1,0))+1</f>
        <v>3</v>
      </c>
      <c r="AG6" s="1219" t="s">
        <v>33</v>
      </c>
      <c r="AH6" s="1220" t="s">
        <v>896</v>
      </c>
      <c r="AI6" s="1218" t="s">
        <v>218</v>
      </c>
      <c r="AJ6" s="817"/>
      <c r="AK6" s="1218" t="s">
        <v>1062</v>
      </c>
      <c r="AL6" s="1217"/>
      <c r="AM6" s="817" t="str">
        <f>LOWER(тЗащСпец[[#This Row],[аСпец]])</f>
        <v/>
      </c>
    </row>
    <row r="7" spans="1:39" ht="30" customHeight="1" x14ac:dyDescent="0.25">
      <c r="A7" s="12" t="s">
        <v>180</v>
      </c>
      <c r="B7" s="12">
        <v>0.3</v>
      </c>
      <c r="E7" s="64" t="s">
        <v>83</v>
      </c>
      <c r="F7" s="64">
        <f>B5</f>
        <v>1.5</v>
      </c>
      <c r="I7" t="s">
        <v>351</v>
      </c>
      <c r="J7" s="12" t="s">
        <v>318</v>
      </c>
      <c r="K7" s="12">
        <v>0.6</v>
      </c>
      <c r="N7" s="353">
        <f ca="1">N(OFFSET(T_Практики[[#This Row],[№]],-1,0))+1</f>
        <v>4</v>
      </c>
      <c r="O7" s="795" t="s">
        <v>885</v>
      </c>
      <c r="P7" s="796" t="s">
        <v>886</v>
      </c>
      <c r="Q7" s="797">
        <v>15</v>
      </c>
      <c r="R7" s="797"/>
      <c r="S7" s="797">
        <v>1</v>
      </c>
      <c r="T7" s="794"/>
      <c r="U7" s="352" t="str">
        <f>IF(T_Практики[[#This Row],[Студенти]],"с","")&amp;IF(T_Практики[[#This Row],[Група]],"г","")&amp;IF(T_Практики[[#This Row],[Ден]],"д","")</f>
        <v>г</v>
      </c>
      <c r="Y7" s="614">
        <f ca="1">N(OFFSET(T_ПодгКурс[[#This Row],[№]],-1,0))+1</f>
        <v>4</v>
      </c>
      <c r="Z7" s="64" t="s">
        <v>658</v>
      </c>
      <c r="AA7" s="615" t="s">
        <v>76</v>
      </c>
      <c r="AB7" s="615" t="str">
        <f>T_ПодгКурс[[#This Row],[Дейност]]&amp;"|"&amp;T_ПодгКурс[[#This Row],[Форма на обучение]]</f>
        <v>ел. учебни ресурси|р.об.</v>
      </c>
      <c r="AC7" s="353">
        <v>3</v>
      </c>
      <c r="AF7" s="819">
        <f ca="1">N(OFFSET(тЗащСпец[[#This Row],[№]],-1,0))+1</f>
        <v>4</v>
      </c>
      <c r="AG7" s="819" t="s">
        <v>33</v>
      </c>
      <c r="AH7" s="818" t="s">
        <v>896</v>
      </c>
      <c r="AI7" s="817" t="s">
        <v>218</v>
      </c>
      <c r="AJ7" s="817" t="s">
        <v>900</v>
      </c>
      <c r="AK7" s="817" t="s">
        <v>901</v>
      </c>
      <c r="AL7" s="817" t="s">
        <v>902</v>
      </c>
      <c r="AM7" s="817" t="str">
        <f>LOWER(тЗащСпец[[#This Row],[аСпец]])</f>
        <v>инд(рб)</v>
      </c>
    </row>
    <row r="8" spans="1:39" ht="30" customHeight="1" x14ac:dyDescent="0.25">
      <c r="A8" s="12" t="s">
        <v>189</v>
      </c>
      <c r="B8" s="12">
        <v>0.9</v>
      </c>
      <c r="E8" s="64" t="s">
        <v>203</v>
      </c>
      <c r="F8" s="64">
        <v>1</v>
      </c>
      <c r="I8" t="s">
        <v>350</v>
      </c>
      <c r="J8" s="12" t="s">
        <v>319</v>
      </c>
      <c r="K8" s="12">
        <v>0.3</v>
      </c>
      <c r="N8" s="353">
        <f ca="1">N(OFFSET(T_Практики[[#This Row],[№]],-1,0))+1</f>
        <v>5</v>
      </c>
      <c r="O8" s="795" t="s">
        <v>887</v>
      </c>
      <c r="P8" s="796" t="s">
        <v>888</v>
      </c>
      <c r="Q8" s="797">
        <v>60</v>
      </c>
      <c r="R8" s="797"/>
      <c r="S8" s="797">
        <v>1</v>
      </c>
      <c r="T8" s="794"/>
      <c r="U8" s="352" t="str">
        <f>IF(T_Практики[[#This Row],[Студенти]],"с","")&amp;IF(T_Практики[[#This Row],[Група]],"г","")&amp;IF(T_Практики[[#This Row],[Ден]],"д","")</f>
        <v>г</v>
      </c>
      <c r="Y8" s="614">
        <f ca="1">N(OFFSET(T_ПодгКурс[[#This Row],[№]],-1,0))+1</f>
        <v>5</v>
      </c>
      <c r="Z8" s="64" t="s">
        <v>658</v>
      </c>
      <c r="AA8" s="615" t="s">
        <v>77</v>
      </c>
      <c r="AB8" s="615" t="str">
        <f>T_ПодгКурс[[#This Row],[Дейност]]&amp;"|"&amp;T_ПодгКурс[[#This Row],[Форма на обучение]]</f>
        <v>ел. учебни ресурси|з.об.</v>
      </c>
      <c r="AC8" s="353">
        <v>3</v>
      </c>
      <c r="AF8" s="819">
        <f ca="1">N(OFFSET(тЗащСпец[[#This Row],[№]],-1,0))+1</f>
        <v>5</v>
      </c>
      <c r="AG8" s="819" t="s">
        <v>33</v>
      </c>
      <c r="AH8" s="818" t="s">
        <v>896</v>
      </c>
      <c r="AI8" s="817" t="s">
        <v>218</v>
      </c>
      <c r="AJ8" s="817" t="s">
        <v>903</v>
      </c>
      <c r="AK8" s="817" t="s">
        <v>904</v>
      </c>
      <c r="AL8" s="817" t="s">
        <v>905</v>
      </c>
      <c r="AM8" s="817" t="str">
        <f>LOWER(тЗащСпец[[#This Row],[аСпец]])</f>
        <v>ирн(рб)</v>
      </c>
    </row>
    <row r="9" spans="1:39" ht="30" customHeight="1" x14ac:dyDescent="0.25">
      <c r="A9" s="12" t="s">
        <v>128</v>
      </c>
      <c r="B9" s="12">
        <v>0.5</v>
      </c>
      <c r="J9" s="12" t="s">
        <v>189</v>
      </c>
      <c r="K9" s="12">
        <v>0.9</v>
      </c>
      <c r="N9" s="353">
        <f ca="1">N(OFFSET(T_Практики[[#This Row],[№]],-1,0))+1</f>
        <v>6</v>
      </c>
      <c r="O9" s="795" t="s">
        <v>889</v>
      </c>
      <c r="P9" s="796" t="s">
        <v>890</v>
      </c>
      <c r="Q9" s="797">
        <v>3</v>
      </c>
      <c r="R9" s="797">
        <v>1</v>
      </c>
      <c r="S9" s="797"/>
      <c r="T9" s="797">
        <v>1</v>
      </c>
      <c r="U9" s="352" t="str">
        <f>IF(T_Практики[[#This Row],[Студенти]],"с","")&amp;IF(T_Практики[[#This Row],[Група]],"г","")&amp;IF(T_Практики[[#This Row],[Ден]],"д","")</f>
        <v>сд</v>
      </c>
      <c r="Y9" s="614">
        <f ca="1">N(OFFSET(T_ПодгКурс[[#This Row],[№]],-1,0))+1</f>
        <v>6</v>
      </c>
      <c r="Z9" s="64" t="s">
        <v>658</v>
      </c>
      <c r="AA9" s="615" t="s">
        <v>78</v>
      </c>
      <c r="AB9" s="615" t="str">
        <f>T_ПодгКурс[[#This Row],[Дейност]]&amp;"|"&amp;T_ПодгКурс[[#This Row],[Форма на обучение]]</f>
        <v>ел. учебни ресурси|д.об.</v>
      </c>
      <c r="AC9" s="1936">
        <v>1</v>
      </c>
      <c r="AF9" s="819">
        <f ca="1">N(OFFSET(тЗащСпец[[#This Row],[№]],-1,0))+1</f>
        <v>6</v>
      </c>
      <c r="AG9" s="819" t="s">
        <v>33</v>
      </c>
      <c r="AH9" s="818" t="s">
        <v>896</v>
      </c>
      <c r="AI9" s="817" t="s">
        <v>218</v>
      </c>
      <c r="AJ9" s="817" t="s">
        <v>906</v>
      </c>
      <c r="AK9" s="817" t="s">
        <v>907</v>
      </c>
      <c r="AL9" s="817" t="s">
        <v>908</v>
      </c>
      <c r="AM9" s="817" t="str">
        <f>LOWER(тЗащСпец[[#This Row],[аСпец]])</f>
        <v>кит(рб)</v>
      </c>
    </row>
    <row r="10" spans="1:39" ht="30" customHeight="1" x14ac:dyDescent="0.25">
      <c r="A10" s="12" t="s">
        <v>129</v>
      </c>
      <c r="B10" s="12">
        <v>0.5</v>
      </c>
      <c r="E10" s="1965" t="s">
        <v>328</v>
      </c>
      <c r="F10" s="1965"/>
      <c r="G10" s="344"/>
      <c r="I10" t="s">
        <v>353</v>
      </c>
      <c r="J10" s="12" t="s">
        <v>343</v>
      </c>
      <c r="K10" s="12">
        <v>0.5</v>
      </c>
      <c r="L10" s="12" t="s">
        <v>343</v>
      </c>
      <c r="N10" s="353">
        <f ca="1">N(OFFSET(T_Практики[[#This Row],[№]],-1,0))+1</f>
        <v>7</v>
      </c>
      <c r="O10" s="795" t="s">
        <v>891</v>
      </c>
      <c r="P10" s="796" t="s">
        <v>892</v>
      </c>
      <c r="Q10" s="797">
        <v>3</v>
      </c>
      <c r="R10" s="797">
        <v>1</v>
      </c>
      <c r="S10" s="797"/>
      <c r="T10" s="797">
        <v>1</v>
      </c>
      <c r="U10" s="352" t="str">
        <f>IF(T_Практики[[#This Row],[Студенти]],"с","")&amp;IF(T_Практики[[#This Row],[Група]],"г","")&amp;IF(T_Практики[[#This Row],[Ден]],"д","")</f>
        <v>сд</v>
      </c>
      <c r="Y10" s="1924">
        <f ca="1">N(OFFSET(T_ПодгКурс[[#This Row],[№]],-1,0))+1</f>
        <v>7</v>
      </c>
      <c r="Z10" s="1937" t="s">
        <v>167</v>
      </c>
      <c r="AA10" s="1938" t="s">
        <v>76</v>
      </c>
      <c r="AB10" s="1938" t="str">
        <f>T_ПодгКурс[[#This Row],[Дейност]]&amp;"|"&amp;T_ПодгКурс[[#This Row],[Форма на обучение]]</f>
        <v>актуализация|р.об.</v>
      </c>
      <c r="AC10" s="1939">
        <v>1</v>
      </c>
      <c r="AF10" s="819">
        <f ca="1">N(OFFSET(тЗащСпец[[#This Row],[№]],-1,0))+1</f>
        <v>7</v>
      </c>
      <c r="AG10" s="819" t="s">
        <v>33</v>
      </c>
      <c r="AH10" s="818" t="s">
        <v>896</v>
      </c>
      <c r="AI10" s="817" t="s">
        <v>218</v>
      </c>
      <c r="AJ10" s="817" t="s">
        <v>909</v>
      </c>
      <c r="AK10" s="817" t="s">
        <v>910</v>
      </c>
      <c r="AL10" s="817" t="s">
        <v>911</v>
      </c>
      <c r="AM10" s="817" t="str">
        <f>LOWER(тЗащСпец[[#This Row],[аСпец]])</f>
        <v>кор(рб)</v>
      </c>
    </row>
    <row r="11" spans="1:39" ht="25.5" x14ac:dyDescent="0.25">
      <c r="A11" s="12" t="s">
        <v>97</v>
      </c>
      <c r="B11" s="12">
        <v>5</v>
      </c>
      <c r="E11" s="127" t="s">
        <v>90</v>
      </c>
      <c r="F11" t="s">
        <v>310</v>
      </c>
      <c r="I11" t="s">
        <v>352</v>
      </c>
      <c r="J11" s="12" t="s">
        <v>344</v>
      </c>
      <c r="K11" s="12">
        <v>0.5</v>
      </c>
      <c r="L11" s="12" t="s">
        <v>344</v>
      </c>
      <c r="N11" s="353">
        <f ca="1">N(OFFSET(T_Практики[[#This Row],[№]],-1,0))+1</f>
        <v>8</v>
      </c>
      <c r="O11" s="351" t="s">
        <v>585</v>
      </c>
      <c r="P11" s="345" t="s">
        <v>565</v>
      </c>
      <c r="Q11" s="352">
        <v>3</v>
      </c>
      <c r="R11" s="352"/>
      <c r="S11" s="352">
        <v>1</v>
      </c>
      <c r="T11" s="353">
        <v>1</v>
      </c>
      <c r="U11" s="352" t="str">
        <f>IF(T_Практики[[#This Row],[Студенти]],"с","")&amp;IF(T_Практики[[#This Row],[Група]],"г","")&amp;IF(T_Практики[[#This Row],[Ден]],"д","")</f>
        <v>гд</v>
      </c>
      <c r="Y11" s="1924">
        <f ca="1">N(OFFSET(T_ПодгКурс[[#This Row],[№]],-1,0))+1</f>
        <v>8</v>
      </c>
      <c r="Z11" s="1937" t="s">
        <v>167</v>
      </c>
      <c r="AA11" s="1938" t="s">
        <v>77</v>
      </c>
      <c r="AB11" s="1938" t="str">
        <f>T_ПодгКурс[[#This Row],[Дейност]]&amp;"|"&amp;T_ПодгКурс[[#This Row],[Форма на обучение]]</f>
        <v>актуализация|з.об.</v>
      </c>
      <c r="AC11" s="1939">
        <v>1</v>
      </c>
      <c r="AF11" s="819">
        <f ca="1">N(OFFSET(тЗащСпец[[#This Row],[№]],-1,0))+1</f>
        <v>8</v>
      </c>
      <c r="AG11" s="1219" t="s">
        <v>33</v>
      </c>
      <c r="AH11" s="1220" t="s">
        <v>896</v>
      </c>
      <c r="AI11" s="1218" t="s">
        <v>218</v>
      </c>
      <c r="AJ11" s="817"/>
      <c r="AK11" s="1218" t="s">
        <v>1065</v>
      </c>
      <c r="AL11" s="817"/>
      <c r="AM11" s="817" t="str">
        <f>LOWER(тЗащСпец[[#This Row],[аСпец]])</f>
        <v/>
      </c>
    </row>
    <row r="12" spans="1:39" ht="25.5" x14ac:dyDescent="0.25">
      <c r="A12" s="12" t="s">
        <v>98</v>
      </c>
      <c r="B12" s="12">
        <v>30</v>
      </c>
      <c r="E12" s="1018" t="s">
        <v>76</v>
      </c>
      <c r="F12" s="614">
        <f>B9</f>
        <v>0.5</v>
      </c>
      <c r="I12" t="s">
        <v>354</v>
      </c>
      <c r="J12" s="12" t="s">
        <v>345</v>
      </c>
      <c r="K12" s="12">
        <v>0.5</v>
      </c>
      <c r="L12" s="12" t="s">
        <v>345</v>
      </c>
      <c r="N12" s="353">
        <f ca="1">N(OFFSET(T_Практики[[#This Row],[№]],-1,0))+1</f>
        <v>9</v>
      </c>
      <c r="O12" s="351" t="s">
        <v>584</v>
      </c>
      <c r="P12" s="345" t="s">
        <v>679</v>
      </c>
      <c r="Q12" s="352">
        <v>3</v>
      </c>
      <c r="R12" s="352"/>
      <c r="S12" s="352">
        <v>1</v>
      </c>
      <c r="T12" s="353"/>
      <c r="U12" s="352" t="str">
        <f>IF(T_Практики[[#This Row],[Студенти]],"с","")&amp;IF(T_Практики[[#This Row],[Група]],"г","")&amp;IF(T_Практики[[#This Row],[Ден]],"д","")</f>
        <v>г</v>
      </c>
      <c r="Y12" s="1924">
        <f ca="1">N(OFFSET(T_ПодгКурс[[#This Row],[№]],-1,0))+1</f>
        <v>9</v>
      </c>
      <c r="Z12" s="1937" t="s">
        <v>167</v>
      </c>
      <c r="AA12" s="1938" t="s">
        <v>78</v>
      </c>
      <c r="AB12" s="1938" t="str">
        <f>T_ПодгКурс[[#This Row],[Дейност]]&amp;"|"&amp;T_ПодгКурс[[#This Row],[Форма на обучение]]</f>
        <v>актуализация|д.об.</v>
      </c>
      <c r="AC12" s="1939">
        <v>2</v>
      </c>
      <c r="AF12" s="819">
        <f ca="1">N(OFFSET(тЗащСпец[[#This Row],[№]],-1,0))+1</f>
        <v>9</v>
      </c>
      <c r="AG12" s="819" t="s">
        <v>33</v>
      </c>
      <c r="AH12" s="818" t="s">
        <v>896</v>
      </c>
      <c r="AI12" s="817" t="s">
        <v>218</v>
      </c>
      <c r="AJ12" s="817" t="s">
        <v>912</v>
      </c>
      <c r="AK12" s="817" t="s">
        <v>913</v>
      </c>
      <c r="AL12" s="817" t="s">
        <v>914</v>
      </c>
      <c r="AM12" s="817" t="str">
        <f>LOWER(тЗащСпец[[#This Row],[аСпец]])</f>
        <v>нгф(рб)</v>
      </c>
    </row>
    <row r="13" spans="1:39" ht="25.5" x14ac:dyDescent="0.25">
      <c r="A13" s="12" t="s">
        <v>105</v>
      </c>
      <c r="B13" s="12">
        <v>5</v>
      </c>
      <c r="E13" s="1018" t="s">
        <v>77</v>
      </c>
      <c r="F13" s="614">
        <f>B9</f>
        <v>0.5</v>
      </c>
      <c r="I13" t="s">
        <v>355</v>
      </c>
      <c r="J13" s="12" t="s">
        <v>346</v>
      </c>
      <c r="K13" s="12">
        <v>0.5</v>
      </c>
      <c r="L13" s="12" t="s">
        <v>346</v>
      </c>
      <c r="N13" s="353">
        <f ca="1">N(OFFSET(T_Практики[[#This Row],[№]],-1,0))+1</f>
        <v>10</v>
      </c>
      <c r="O13" s="351" t="s">
        <v>583</v>
      </c>
      <c r="P13" s="345" t="s">
        <v>556</v>
      </c>
      <c r="Q13" s="352">
        <v>4</v>
      </c>
      <c r="R13" s="352"/>
      <c r="S13" s="352"/>
      <c r="T13" s="353">
        <v>1</v>
      </c>
      <c r="U13" s="352" t="str">
        <f>IF(T_Практики[[#This Row],[Студенти]],"с","")&amp;IF(T_Практики[[#This Row],[Група]],"г","")&amp;IF(T_Практики[[#This Row],[Ден]],"д","")</f>
        <v>д</v>
      </c>
      <c r="AF13" s="819">
        <f ca="1">N(OFFSET(тЗащСпец[[#This Row],[№]],-1,0))+1</f>
        <v>10</v>
      </c>
      <c r="AG13" s="819" t="s">
        <v>33</v>
      </c>
      <c r="AH13" s="818" t="s">
        <v>896</v>
      </c>
      <c r="AI13" s="817" t="s">
        <v>218</v>
      </c>
      <c r="AJ13" s="817" t="s">
        <v>915</v>
      </c>
      <c r="AK13" s="817" t="s">
        <v>916</v>
      </c>
      <c r="AL13" s="817" t="s">
        <v>917</v>
      </c>
      <c r="AM13" s="817" t="str">
        <f>LOWER(тЗащСпец[[#This Row],[аСпец]])</f>
        <v>порф(рб)</v>
      </c>
    </row>
    <row r="14" spans="1:39" ht="25.5" x14ac:dyDescent="0.25">
      <c r="A14" s="12" t="s">
        <v>99</v>
      </c>
      <c r="B14" s="12">
        <v>0.8</v>
      </c>
      <c r="E14" s="1018" t="s">
        <v>78</v>
      </c>
      <c r="F14" s="614">
        <f>B10</f>
        <v>0.5</v>
      </c>
      <c r="I14" t="s">
        <v>356</v>
      </c>
      <c r="J14" s="12" t="s">
        <v>347</v>
      </c>
      <c r="K14" s="12">
        <v>0.5</v>
      </c>
      <c r="L14" s="12" t="s">
        <v>347</v>
      </c>
      <c r="N14" s="353">
        <f ca="1">N(OFFSET(T_Практики[[#This Row],[№]],-1,0))+1</f>
        <v>11</v>
      </c>
      <c r="O14" s="351" t="s">
        <v>567</v>
      </c>
      <c r="P14" s="345" t="s">
        <v>557</v>
      </c>
      <c r="Q14" s="352">
        <v>4</v>
      </c>
      <c r="R14" s="352"/>
      <c r="S14" s="352"/>
      <c r="T14" s="353">
        <v>1</v>
      </c>
      <c r="U14" s="352" t="str">
        <f>IF(T_Практики[[#This Row],[Студенти]],"с","")&amp;IF(T_Практики[[#This Row],[Група]],"г","")&amp;IF(T_Практики[[#This Row],[Ден]],"д","")</f>
        <v>д</v>
      </c>
      <c r="AF14" s="819">
        <f ca="1">N(OFFSET(тЗащСпец[[#This Row],[№]],-1,0))+1</f>
        <v>11</v>
      </c>
      <c r="AG14" s="819" t="s">
        <v>33</v>
      </c>
      <c r="AH14" s="818" t="s">
        <v>896</v>
      </c>
      <c r="AI14" s="817" t="s">
        <v>218</v>
      </c>
      <c r="AJ14" s="817" t="s">
        <v>918</v>
      </c>
      <c r="AK14" s="817" t="s">
        <v>919</v>
      </c>
      <c r="AL14" s="817" t="s">
        <v>920</v>
      </c>
      <c r="AM14" s="817" t="str">
        <f>LOWER(тЗащСпец[[#This Row],[аСпец]])</f>
        <v>румф(рб)</v>
      </c>
    </row>
    <row r="15" spans="1:39" ht="25.5" x14ac:dyDescent="0.25">
      <c r="A15" s="50" t="s">
        <v>101</v>
      </c>
      <c r="B15" s="50">
        <v>0.8</v>
      </c>
      <c r="E15" s="1019" t="s">
        <v>82</v>
      </c>
      <c r="F15" s="614">
        <v>0.5</v>
      </c>
      <c r="I15" t="s">
        <v>357</v>
      </c>
      <c r="J15" s="12" t="s">
        <v>348</v>
      </c>
      <c r="K15" s="12">
        <v>0.5</v>
      </c>
      <c r="L15" s="12" t="s">
        <v>348</v>
      </c>
      <c r="N15" s="353">
        <f ca="1">N(OFFSET(T_Практики[[#This Row],[№]],-1,0))+1</f>
        <v>12</v>
      </c>
      <c r="O15" s="351" t="s">
        <v>566</v>
      </c>
      <c r="P15" s="345" t="s">
        <v>558</v>
      </c>
      <c r="Q15" s="352">
        <v>4</v>
      </c>
      <c r="R15" s="352"/>
      <c r="S15" s="352"/>
      <c r="T15" s="353">
        <v>1</v>
      </c>
      <c r="U15" s="352" t="str">
        <f>IF(T_Практики[[#This Row],[Студенти]],"с","")&amp;IF(T_Практики[[#This Row],[Група]],"г","")&amp;IF(T_Практики[[#This Row],[Ден]],"д","")</f>
        <v>д</v>
      </c>
      <c r="AF15" s="819">
        <f ca="1">N(OFFSET(тЗащСпец[[#This Row],[№]],-1,0))+1</f>
        <v>12</v>
      </c>
      <c r="AG15" s="819" t="s">
        <v>33</v>
      </c>
      <c r="AH15" s="818" t="s">
        <v>896</v>
      </c>
      <c r="AI15" s="817" t="s">
        <v>218</v>
      </c>
      <c r="AJ15" s="817" t="s">
        <v>921</v>
      </c>
      <c r="AK15" s="817" t="s">
        <v>922</v>
      </c>
      <c r="AL15" s="817" t="s">
        <v>923</v>
      </c>
      <c r="AM15" s="817" t="str">
        <f>LOWER(тЗащСпец[[#This Row],[аСпец]])</f>
        <v>унгф(рб)</v>
      </c>
    </row>
    <row r="16" spans="1:39" x14ac:dyDescent="0.25">
      <c r="A16" s="50" t="s">
        <v>102</v>
      </c>
      <c r="B16" s="50">
        <v>0.5</v>
      </c>
      <c r="I16" t="s">
        <v>358</v>
      </c>
      <c r="J16" s="12" t="s">
        <v>98</v>
      </c>
      <c r="K16" s="12">
        <v>30</v>
      </c>
      <c r="Q16" s="353"/>
      <c r="R16" s="353"/>
      <c r="S16" s="353"/>
      <c r="T16" s="353"/>
      <c r="AF16" s="819">
        <f ca="1">N(OFFSET(тЗащСпец[[#This Row],[№]],-1,0))+1</f>
        <v>13</v>
      </c>
      <c r="AG16" s="819" t="s">
        <v>48</v>
      </c>
      <c r="AH16" s="818" t="s">
        <v>924</v>
      </c>
      <c r="AI16" s="817" t="s">
        <v>226</v>
      </c>
      <c r="AJ16" s="817" t="s">
        <v>925</v>
      </c>
      <c r="AK16" s="817" t="s">
        <v>926</v>
      </c>
      <c r="AL16" s="817" t="s">
        <v>927</v>
      </c>
      <c r="AM16" s="817" t="str">
        <f>LOWER(тЗащСпец[[#This Row],[аСпец]])</f>
        <v>хебра(рб)</v>
      </c>
    </row>
    <row r="17" spans="1:39" x14ac:dyDescent="0.25">
      <c r="A17" s="50" t="s">
        <v>103</v>
      </c>
      <c r="B17" s="50">
        <v>0.3</v>
      </c>
      <c r="E17" t="s">
        <v>555</v>
      </c>
      <c r="F17" t="s">
        <v>559</v>
      </c>
      <c r="G17" t="s">
        <v>310</v>
      </c>
      <c r="I17" t="s">
        <v>105</v>
      </c>
      <c r="J17" s="12" t="s">
        <v>105</v>
      </c>
      <c r="K17" s="12">
        <v>5</v>
      </c>
      <c r="Q17" s="353"/>
      <c r="R17" s="353"/>
      <c r="S17" s="353"/>
      <c r="T17" s="353"/>
      <c r="AF17" s="819">
        <f ca="1">N(OFFSET(тЗащСпец[[#This Row],[№]],-1,0))+1</f>
        <v>14</v>
      </c>
      <c r="AG17" s="819" t="s">
        <v>33</v>
      </c>
      <c r="AH17" s="818" t="s">
        <v>896</v>
      </c>
      <c r="AI17" s="817" t="s">
        <v>218</v>
      </c>
      <c r="AJ17" s="817" t="s">
        <v>928</v>
      </c>
      <c r="AK17" s="817" t="s">
        <v>929</v>
      </c>
      <c r="AL17" s="817" t="s">
        <v>930</v>
      </c>
      <c r="AM17" s="817" t="str">
        <f>LOWER(тЗащСпец[[#This Row],[аСпец]])</f>
        <v>япо(рб)</v>
      </c>
    </row>
    <row r="18" spans="1:39" x14ac:dyDescent="0.25">
      <c r="A18" s="50" t="s">
        <v>104</v>
      </c>
      <c r="B18" s="50">
        <v>0.2</v>
      </c>
      <c r="E18" s="64" t="s">
        <v>579</v>
      </c>
      <c r="F18" s="64" t="s">
        <v>560</v>
      </c>
      <c r="G18" s="64">
        <v>2</v>
      </c>
      <c r="I18" t="s">
        <v>359</v>
      </c>
      <c r="J18" s="12" t="s">
        <v>99</v>
      </c>
      <c r="K18" s="12">
        <v>0.8</v>
      </c>
      <c r="Q18" s="353"/>
      <c r="R18" s="353"/>
      <c r="S18" s="353"/>
      <c r="T18" s="353"/>
      <c r="AF18" s="824">
        <f ca="1">N(OFFSET(тЗащСпец[[#This Row],[№]],-1,0))+1</f>
        <v>15</v>
      </c>
      <c r="AG18" s="824" t="s">
        <v>33</v>
      </c>
      <c r="AH18" s="825" t="s">
        <v>896</v>
      </c>
      <c r="AI18" s="826" t="s">
        <v>218</v>
      </c>
      <c r="AJ18" s="826" t="s">
        <v>897</v>
      </c>
      <c r="AK18" s="826" t="s">
        <v>898</v>
      </c>
      <c r="AL18" s="826" t="s">
        <v>933</v>
      </c>
      <c r="AM18" s="826" t="str">
        <f>LOWER(тЗащСпец[[#This Row],[аСпец]])</f>
        <v>арб</v>
      </c>
    </row>
    <row r="19" spans="1:39" x14ac:dyDescent="0.25">
      <c r="A19" s="12" t="s">
        <v>125</v>
      </c>
      <c r="B19" s="32">
        <v>1</v>
      </c>
      <c r="E19" s="64" t="s">
        <v>580</v>
      </c>
      <c r="F19" s="64" t="s">
        <v>560</v>
      </c>
      <c r="G19" s="64">
        <v>15</v>
      </c>
      <c r="I19" t="s">
        <v>360</v>
      </c>
      <c r="J19" s="50" t="s">
        <v>320</v>
      </c>
      <c r="K19" s="50">
        <v>0.8</v>
      </c>
      <c r="L19" s="50" t="s">
        <v>320</v>
      </c>
      <c r="Q19" s="353"/>
      <c r="R19" s="353"/>
      <c r="S19" s="353"/>
      <c r="T19" s="353"/>
      <c r="AF19" s="819">
        <f ca="1">N(OFFSET(тЗащСпец[[#This Row],[№]],-1,0))+1</f>
        <v>16</v>
      </c>
      <c r="AG19" s="819" t="s">
        <v>33</v>
      </c>
      <c r="AH19" s="818" t="s">
        <v>896</v>
      </c>
      <c r="AI19" s="817" t="s">
        <v>218</v>
      </c>
      <c r="AJ19" s="817"/>
      <c r="AK19" s="817" t="s">
        <v>946</v>
      </c>
      <c r="AL19" s="823" t="s">
        <v>947</v>
      </c>
      <c r="AM19" s="817" t="str">
        <f>LOWER(тЗащСпец[[#This Row],[аСпец]])</f>
        <v>армкав</v>
      </c>
    </row>
    <row r="20" spans="1:39" ht="30" x14ac:dyDescent="0.25">
      <c r="A20" s="31" t="s">
        <v>126</v>
      </c>
      <c r="B20" s="32">
        <v>2</v>
      </c>
      <c r="E20" s="64" t="s">
        <v>552</v>
      </c>
      <c r="F20" s="64" t="s">
        <v>561</v>
      </c>
      <c r="G20" s="64">
        <v>3</v>
      </c>
      <c r="I20" t="s">
        <v>361</v>
      </c>
      <c r="J20" s="50" t="s">
        <v>321</v>
      </c>
      <c r="K20" s="50">
        <v>0.6</v>
      </c>
      <c r="L20" s="50" t="s">
        <v>321</v>
      </c>
      <c r="Q20" s="353"/>
      <c r="R20" s="353"/>
      <c r="S20" s="353"/>
      <c r="T20" s="353"/>
      <c r="AF20" s="819">
        <f ca="1">N(OFFSET(тЗащСпец[[#This Row],[№]],-1,0))+1</f>
        <v>17</v>
      </c>
      <c r="AG20" s="819" t="s">
        <v>33</v>
      </c>
      <c r="AH20" s="818" t="s">
        <v>896</v>
      </c>
      <c r="AI20" s="817" t="s">
        <v>218</v>
      </c>
      <c r="AJ20" s="817" t="s">
        <v>900</v>
      </c>
      <c r="AK20" s="817" t="s">
        <v>901</v>
      </c>
      <c r="AL20" s="817" t="s">
        <v>936</v>
      </c>
      <c r="AM20" s="817" t="str">
        <f>LOWER(тЗащСпец[[#This Row],[аСпец]])</f>
        <v>инд</v>
      </c>
    </row>
    <row r="21" spans="1:39" x14ac:dyDescent="0.25">
      <c r="A21" s="12" t="s">
        <v>164</v>
      </c>
      <c r="B21" s="12">
        <v>120</v>
      </c>
      <c r="E21" s="64" t="s">
        <v>553</v>
      </c>
      <c r="F21" s="64" t="s">
        <v>561</v>
      </c>
      <c r="G21" s="64">
        <v>3</v>
      </c>
      <c r="I21" t="s">
        <v>362</v>
      </c>
      <c r="J21" s="50" t="s">
        <v>322</v>
      </c>
      <c r="K21" s="50">
        <v>0.5</v>
      </c>
      <c r="L21" s="50" t="s">
        <v>322</v>
      </c>
      <c r="Q21" s="353"/>
      <c r="R21" s="353"/>
      <c r="S21" s="353"/>
      <c r="T21" s="353"/>
      <c r="AF21" s="819">
        <f ca="1">N(OFFSET(тЗащСпец[[#This Row],[№]],-1,0))+1</f>
        <v>18</v>
      </c>
      <c r="AG21" s="819" t="s">
        <v>33</v>
      </c>
      <c r="AH21" s="818" t="s">
        <v>896</v>
      </c>
      <c r="AI21" s="817" t="s">
        <v>218</v>
      </c>
      <c r="AJ21" s="817" t="s">
        <v>903</v>
      </c>
      <c r="AK21" s="817" t="s">
        <v>904</v>
      </c>
      <c r="AL21" s="817" t="s">
        <v>937</v>
      </c>
      <c r="AM21" s="817" t="str">
        <f>LOWER(тЗащСпец[[#This Row],[аСпец]])</f>
        <v>ирн</v>
      </c>
    </row>
    <row r="22" spans="1:39" x14ac:dyDescent="0.25">
      <c r="A22" s="12" t="s">
        <v>165</v>
      </c>
      <c r="B22" s="12">
        <v>90</v>
      </c>
      <c r="E22" s="64" t="s">
        <v>548</v>
      </c>
      <c r="F22" s="64" t="s">
        <v>561</v>
      </c>
      <c r="G22" s="64">
        <v>4</v>
      </c>
      <c r="I22" t="s">
        <v>363</v>
      </c>
      <c r="J22" s="50" t="s">
        <v>323</v>
      </c>
      <c r="K22" s="50">
        <v>0.3</v>
      </c>
      <c r="L22" s="50" t="s">
        <v>323</v>
      </c>
      <c r="Q22" s="353"/>
      <c r="R22" s="353"/>
      <c r="S22" s="353"/>
      <c r="T22" s="353"/>
      <c r="AF22" s="819">
        <f ca="1">N(OFFSET(тЗащСпец[[#This Row],[№]],-1,0))+1</f>
        <v>19</v>
      </c>
      <c r="AG22" s="819" t="s">
        <v>33</v>
      </c>
      <c r="AH22" s="818" t="s">
        <v>896</v>
      </c>
      <c r="AI22" s="817" t="s">
        <v>218</v>
      </c>
      <c r="AJ22" s="817" t="s">
        <v>906</v>
      </c>
      <c r="AK22" s="817" t="s">
        <v>907</v>
      </c>
      <c r="AL22" s="817" t="s">
        <v>938</v>
      </c>
      <c r="AM22" s="817" t="str">
        <f>LOWER(тЗащСпец[[#This Row],[аСпец]])</f>
        <v>кит</v>
      </c>
    </row>
    <row r="23" spans="1:39" x14ac:dyDescent="0.25">
      <c r="A23" s="12" t="s">
        <v>166</v>
      </c>
      <c r="B23" s="12">
        <v>60</v>
      </c>
      <c r="E23" s="64" t="s">
        <v>549</v>
      </c>
      <c r="F23" s="64" t="s">
        <v>561</v>
      </c>
      <c r="G23" s="64">
        <v>4</v>
      </c>
      <c r="I23" t="s">
        <v>364</v>
      </c>
      <c r="J23" s="50" t="s">
        <v>324</v>
      </c>
      <c r="K23" s="50">
        <v>0.2</v>
      </c>
      <c r="L23" s="50" t="s">
        <v>324</v>
      </c>
      <c r="AF23" s="819">
        <f ca="1">N(OFFSET(тЗащСпец[[#This Row],[№]],-1,0))+1</f>
        <v>20</v>
      </c>
      <c r="AG23" s="819" t="s">
        <v>33</v>
      </c>
      <c r="AH23" s="818" t="s">
        <v>896</v>
      </c>
      <c r="AI23" s="817" t="s">
        <v>218</v>
      </c>
      <c r="AJ23" s="817" t="s">
        <v>909</v>
      </c>
      <c r="AK23" s="817" t="s">
        <v>910</v>
      </c>
      <c r="AL23" s="817" t="s">
        <v>939</v>
      </c>
      <c r="AM23" s="817" t="str">
        <f>LOWER(тЗащСпец[[#This Row],[аСпец]])</f>
        <v>кор</v>
      </c>
    </row>
    <row r="24" spans="1:39" ht="30" x14ac:dyDescent="0.25">
      <c r="A24" s="31" t="s">
        <v>141</v>
      </c>
      <c r="B24" s="12">
        <v>2</v>
      </c>
      <c r="E24" s="64" t="s">
        <v>554</v>
      </c>
      <c r="F24" s="64" t="s">
        <v>561</v>
      </c>
      <c r="G24" s="64">
        <v>4</v>
      </c>
      <c r="I24" t="s">
        <v>367</v>
      </c>
      <c r="J24" s="12" t="s">
        <v>125</v>
      </c>
      <c r="K24" s="32">
        <v>1</v>
      </c>
      <c r="AF24" s="819">
        <f ca="1">N(OFFSET(тЗащСпец[[#This Row],[№]],-1,0))+1</f>
        <v>21</v>
      </c>
      <c r="AG24" s="819" t="s">
        <v>33</v>
      </c>
      <c r="AH24" s="818" t="s">
        <v>896</v>
      </c>
      <c r="AI24" s="817" t="s">
        <v>218</v>
      </c>
      <c r="AJ24" s="817" t="s">
        <v>912</v>
      </c>
      <c r="AK24" s="817" t="s">
        <v>913</v>
      </c>
      <c r="AL24" s="817" t="s">
        <v>940</v>
      </c>
      <c r="AM24" s="817" t="str">
        <f>LOWER(тЗащСпец[[#This Row],[аСпец]])</f>
        <v>нгф</v>
      </c>
    </row>
    <row r="25" spans="1:39" ht="30" x14ac:dyDescent="0.25">
      <c r="A25" s="31" t="s">
        <v>142</v>
      </c>
      <c r="B25" s="12">
        <v>2</v>
      </c>
      <c r="I25" t="s">
        <v>368</v>
      </c>
      <c r="J25" s="31" t="s">
        <v>126</v>
      </c>
      <c r="K25" s="32">
        <v>2</v>
      </c>
      <c r="AF25" s="819">
        <f ca="1">N(OFFSET(тЗащСпец[[#This Row],[№]],-1,0))+1</f>
        <v>22</v>
      </c>
      <c r="AG25" s="819" t="s">
        <v>33</v>
      </c>
      <c r="AH25" s="818" t="s">
        <v>896</v>
      </c>
      <c r="AI25" s="817" t="s">
        <v>218</v>
      </c>
      <c r="AJ25" s="817" t="s">
        <v>915</v>
      </c>
      <c r="AK25" s="817" t="s">
        <v>916</v>
      </c>
      <c r="AL25" s="817" t="s">
        <v>941</v>
      </c>
      <c r="AM25" s="817" t="str">
        <f>LOWER(тЗащСпец[[#This Row],[аСпец]])</f>
        <v>порф</v>
      </c>
    </row>
    <row r="26" spans="1:39" ht="45" x14ac:dyDescent="0.25">
      <c r="A26" s="31" t="s">
        <v>143</v>
      </c>
      <c r="B26" s="12">
        <v>3</v>
      </c>
      <c r="I26" t="s">
        <v>365</v>
      </c>
      <c r="J26" s="12" t="s">
        <v>164</v>
      </c>
      <c r="K26" s="12">
        <v>120</v>
      </c>
      <c r="AF26" s="819">
        <f ca="1">N(OFFSET(тЗащСпец[[#This Row],[№]],-1,0))+1</f>
        <v>23</v>
      </c>
      <c r="AG26" s="819" t="s">
        <v>33</v>
      </c>
      <c r="AH26" s="818" t="s">
        <v>896</v>
      </c>
      <c r="AI26" s="817" t="s">
        <v>218</v>
      </c>
      <c r="AJ26" s="817" t="s">
        <v>918</v>
      </c>
      <c r="AK26" s="817" t="s">
        <v>919</v>
      </c>
      <c r="AL26" s="817" t="s">
        <v>942</v>
      </c>
      <c r="AM26" s="817" t="str">
        <f>LOWER(тЗащСпец[[#This Row],[аСпец]])</f>
        <v>румф</v>
      </c>
    </row>
    <row r="27" spans="1:39" ht="45" x14ac:dyDescent="0.25">
      <c r="A27" s="31" t="s">
        <v>144</v>
      </c>
      <c r="B27" s="12">
        <v>4</v>
      </c>
      <c r="I27" t="s">
        <v>366</v>
      </c>
      <c r="J27" s="12" t="s">
        <v>165</v>
      </c>
      <c r="K27" s="12">
        <v>90</v>
      </c>
      <c r="AF27" s="819">
        <f ca="1">N(OFFSET(тЗащСпец[[#This Row],[№]],-1,0))+1</f>
        <v>24</v>
      </c>
      <c r="AG27" s="819" t="s">
        <v>33</v>
      </c>
      <c r="AH27" s="818" t="s">
        <v>896</v>
      </c>
      <c r="AI27" s="817" t="s">
        <v>218</v>
      </c>
      <c r="AJ27" s="817" t="s">
        <v>921</v>
      </c>
      <c r="AK27" s="817" t="s">
        <v>922</v>
      </c>
      <c r="AL27" s="817" t="s">
        <v>943</v>
      </c>
      <c r="AM27" s="817" t="str">
        <f>LOWER(тЗащСпец[[#This Row],[аСпец]])</f>
        <v>унгф</v>
      </c>
    </row>
    <row r="28" spans="1:39" ht="30" x14ac:dyDescent="0.25">
      <c r="A28" s="31" t="s">
        <v>145</v>
      </c>
      <c r="B28" s="12">
        <v>2</v>
      </c>
      <c r="I28" t="s">
        <v>369</v>
      </c>
      <c r="J28" s="31" t="s">
        <v>373</v>
      </c>
      <c r="K28" s="12">
        <v>2</v>
      </c>
      <c r="AF28" s="819">
        <f ca="1">N(OFFSET(тЗащСпец[[#This Row],[№]],-1,0))+1</f>
        <v>25</v>
      </c>
      <c r="AG28" s="819" t="s">
        <v>48</v>
      </c>
      <c r="AH28" s="818" t="s">
        <v>924</v>
      </c>
      <c r="AI28" s="817" t="s">
        <v>226</v>
      </c>
      <c r="AJ28" s="817" t="s">
        <v>925</v>
      </c>
      <c r="AK28" s="817" t="s">
        <v>926</v>
      </c>
      <c r="AL28" s="817" t="s">
        <v>944</v>
      </c>
      <c r="AM28" s="817" t="str">
        <f>LOWER(тЗащСпец[[#This Row],[аСпец]])</f>
        <v>хебра</v>
      </c>
    </row>
    <row r="29" spans="1:39" ht="30" x14ac:dyDescent="0.25">
      <c r="A29" s="29" t="s">
        <v>124</v>
      </c>
      <c r="B29" s="30" t="s">
        <v>95</v>
      </c>
      <c r="I29" t="s">
        <v>371</v>
      </c>
      <c r="J29" s="31" t="s">
        <v>372</v>
      </c>
      <c r="K29" s="12">
        <v>2</v>
      </c>
      <c r="AF29" s="819">
        <f ca="1">N(OFFSET(тЗащСпец[[#This Row],[№]],-1,0))+1</f>
        <v>26</v>
      </c>
      <c r="AG29" s="819" t="s">
        <v>33</v>
      </c>
      <c r="AH29" s="818" t="s">
        <v>896</v>
      </c>
      <c r="AI29" s="817" t="s">
        <v>218</v>
      </c>
      <c r="AJ29" s="817" t="s">
        <v>928</v>
      </c>
      <c r="AK29" s="817" t="s">
        <v>929</v>
      </c>
      <c r="AL29" s="817" t="s">
        <v>945</v>
      </c>
      <c r="AM29" s="817" t="str">
        <f>LOWER(тЗащСпец[[#This Row],[аСпец]])</f>
        <v>япо</v>
      </c>
    </row>
    <row r="30" spans="1:39" ht="30" x14ac:dyDescent="0.25">
      <c r="A30" s="6">
        <v>2</v>
      </c>
      <c r="B30" s="8">
        <v>0.8</v>
      </c>
      <c r="I30" t="s">
        <v>370</v>
      </c>
      <c r="J30" s="31" t="s">
        <v>142</v>
      </c>
      <c r="K30" s="12">
        <v>2</v>
      </c>
      <c r="AF30" s="824">
        <f ca="1">N(OFFSET(тЗащСпец[[#This Row],[№]],-1,0))+1</f>
        <v>27</v>
      </c>
      <c r="AG30" s="824" t="s">
        <v>33</v>
      </c>
      <c r="AH30" s="825" t="s">
        <v>896</v>
      </c>
      <c r="AI30" s="826" t="s">
        <v>218</v>
      </c>
      <c r="AJ30" s="826" t="s">
        <v>897</v>
      </c>
      <c r="AK30" s="826" t="s">
        <v>898</v>
      </c>
      <c r="AL30" s="826" t="s">
        <v>898</v>
      </c>
      <c r="AM30" s="826" t="str">
        <f>LOWER(тЗащСпец[[#This Row],[аСпец]])</f>
        <v>арабистика</v>
      </c>
    </row>
    <row r="31" spans="1:39" ht="45" x14ac:dyDescent="0.25">
      <c r="A31" s="9">
        <v>1</v>
      </c>
      <c r="B31" s="11">
        <v>0.6</v>
      </c>
      <c r="I31" t="s">
        <v>374</v>
      </c>
      <c r="J31" s="31" t="s">
        <v>377</v>
      </c>
      <c r="K31" s="12">
        <v>3</v>
      </c>
      <c r="AF31" s="819">
        <f ca="1">N(OFFSET(тЗащСпец[[#This Row],[№]],-1,0))+1</f>
        <v>28</v>
      </c>
      <c r="AG31" s="819" t="s">
        <v>33</v>
      </c>
      <c r="AH31" s="818" t="s">
        <v>896</v>
      </c>
      <c r="AI31" s="817" t="s">
        <v>218</v>
      </c>
      <c r="AJ31" s="817" t="s">
        <v>900</v>
      </c>
      <c r="AK31" s="817" t="s">
        <v>901</v>
      </c>
      <c r="AL31" s="817" t="s">
        <v>901</v>
      </c>
      <c r="AM31" s="817" t="str">
        <f>LOWER(тЗащСпец[[#This Row],[аСпец]])</f>
        <v>индология</v>
      </c>
    </row>
    <row r="32" spans="1:39" ht="45" x14ac:dyDescent="0.25">
      <c r="A32" s="9">
        <v>0</v>
      </c>
      <c r="B32" s="11">
        <v>0</v>
      </c>
      <c r="I32" t="s">
        <v>375</v>
      </c>
      <c r="J32" s="31" t="s">
        <v>378</v>
      </c>
      <c r="K32" s="12">
        <v>3</v>
      </c>
      <c r="AF32" s="819">
        <f ca="1">N(OFFSET(тЗащСпец[[#This Row],[№]],-1,0))+1</f>
        <v>29</v>
      </c>
      <c r="AG32" s="819" t="s">
        <v>33</v>
      </c>
      <c r="AH32" s="818" t="s">
        <v>896</v>
      </c>
      <c r="AI32" s="817" t="s">
        <v>218</v>
      </c>
      <c r="AJ32" s="817" t="s">
        <v>903</v>
      </c>
      <c r="AK32" s="817" t="s">
        <v>904</v>
      </c>
      <c r="AL32" s="817" t="s">
        <v>904</v>
      </c>
      <c r="AM32" s="817" t="str">
        <f>LOWER(тЗащСпец[[#This Row],[аСпец]])</f>
        <v>иранистика</v>
      </c>
    </row>
    <row r="33" spans="9:39" ht="45" x14ac:dyDescent="0.25">
      <c r="I33" t="s">
        <v>376</v>
      </c>
      <c r="J33" s="31" t="s">
        <v>144</v>
      </c>
      <c r="K33" s="12">
        <v>4</v>
      </c>
      <c r="AF33" s="819">
        <f ca="1">N(OFFSET(тЗащСпец[[#This Row],[№]],-1,0))+1</f>
        <v>30</v>
      </c>
      <c r="AG33" s="819" t="s">
        <v>33</v>
      </c>
      <c r="AH33" s="818" t="s">
        <v>896</v>
      </c>
      <c r="AI33" s="817" t="s">
        <v>218</v>
      </c>
      <c r="AJ33" s="817" t="s">
        <v>906</v>
      </c>
      <c r="AK33" s="817" t="s">
        <v>907</v>
      </c>
      <c r="AL33" s="817" t="s">
        <v>907</v>
      </c>
      <c r="AM33" s="817" t="str">
        <f>LOWER(тЗащСпец[[#This Row],[аСпец]])</f>
        <v>китаистика</v>
      </c>
    </row>
    <row r="34" spans="9:39" ht="30" x14ac:dyDescent="0.25">
      <c r="I34" t="s">
        <v>381</v>
      </c>
      <c r="J34" s="31" t="s">
        <v>379</v>
      </c>
      <c r="K34" s="12">
        <v>1</v>
      </c>
      <c r="AF34" s="819">
        <f ca="1">N(OFFSET(тЗащСпец[[#This Row],[№]],-1,0))+1</f>
        <v>31</v>
      </c>
      <c r="AG34" s="819" t="s">
        <v>33</v>
      </c>
      <c r="AH34" s="818" t="s">
        <v>896</v>
      </c>
      <c r="AI34" s="817" t="s">
        <v>218</v>
      </c>
      <c r="AJ34" s="817" t="s">
        <v>909</v>
      </c>
      <c r="AK34" s="817" t="s">
        <v>910</v>
      </c>
      <c r="AL34" s="817" t="s">
        <v>910</v>
      </c>
      <c r="AM34" s="817" t="str">
        <f>LOWER(тЗащСпец[[#This Row],[аСпец]])</f>
        <v>кореистика</v>
      </c>
    </row>
    <row r="35" spans="9:39" ht="30" x14ac:dyDescent="0.25">
      <c r="I35" t="s">
        <v>382</v>
      </c>
      <c r="J35" s="31" t="s">
        <v>380</v>
      </c>
      <c r="K35" s="12">
        <v>1</v>
      </c>
      <c r="AF35" s="819">
        <f ca="1">N(OFFSET(тЗащСпец[[#This Row],[№]],-1,0))+1</f>
        <v>32</v>
      </c>
      <c r="AG35" s="819" t="s">
        <v>33</v>
      </c>
      <c r="AH35" s="818" t="s">
        <v>896</v>
      </c>
      <c r="AI35" s="817" t="s">
        <v>218</v>
      </c>
      <c r="AJ35" s="817" t="s">
        <v>912</v>
      </c>
      <c r="AK35" s="817" t="s">
        <v>913</v>
      </c>
      <c r="AL35" s="817" t="s">
        <v>913</v>
      </c>
      <c r="AM35" s="817" t="str">
        <f>LOWER(тЗащСпец[[#This Row],[аСпец]])</f>
        <v>новогръцка филология</v>
      </c>
    </row>
    <row r="36" spans="9:39" ht="30" x14ac:dyDescent="0.25">
      <c r="I36" t="s">
        <v>383</v>
      </c>
      <c r="J36" s="31" t="s">
        <v>145</v>
      </c>
      <c r="K36" s="12">
        <v>2</v>
      </c>
      <c r="AF36" s="819">
        <f ca="1">N(OFFSET(тЗащСпец[[#This Row],[№]],-1,0))+1</f>
        <v>33</v>
      </c>
      <c r="AG36" s="819" t="s">
        <v>33</v>
      </c>
      <c r="AH36" s="818" t="s">
        <v>896</v>
      </c>
      <c r="AI36" s="817" t="s">
        <v>218</v>
      </c>
      <c r="AJ36" s="817" t="s">
        <v>915</v>
      </c>
      <c r="AK36" s="817" t="s">
        <v>916</v>
      </c>
      <c r="AL36" s="817" t="s">
        <v>916</v>
      </c>
      <c r="AM36" s="817" t="str">
        <f>LOWER(тЗащСпец[[#This Row],[аСпец]])</f>
        <v>португалска филология</v>
      </c>
    </row>
    <row r="37" spans="9:39" x14ac:dyDescent="0.25">
      <c r="J37" s="29" t="s">
        <v>124</v>
      </c>
      <c r="K37" s="30" t="s">
        <v>95</v>
      </c>
      <c r="AF37" s="819">
        <f ca="1">N(OFFSET(тЗащСпец[[#This Row],[№]],-1,0))+1</f>
        <v>34</v>
      </c>
      <c r="AG37" s="819" t="s">
        <v>33</v>
      </c>
      <c r="AH37" s="818" t="s">
        <v>896</v>
      </c>
      <c r="AI37" s="817" t="s">
        <v>218</v>
      </c>
      <c r="AJ37" s="817" t="s">
        <v>918</v>
      </c>
      <c r="AK37" s="817" t="s">
        <v>919</v>
      </c>
      <c r="AL37" s="817" t="s">
        <v>919</v>
      </c>
      <c r="AM37" s="817" t="str">
        <f>LOWER(тЗащСпец[[#This Row],[аСпец]])</f>
        <v>румънска филология</v>
      </c>
    </row>
    <row r="38" spans="9:39" x14ac:dyDescent="0.25">
      <c r="I38" t="s">
        <v>384</v>
      </c>
      <c r="J38" s="6">
        <v>2</v>
      </c>
      <c r="K38" s="8">
        <v>0.8</v>
      </c>
      <c r="AF38" s="819">
        <f ca="1">N(OFFSET(тЗащСпец[[#This Row],[№]],-1,0))+1</f>
        <v>35</v>
      </c>
      <c r="AG38" s="819" t="s">
        <v>33</v>
      </c>
      <c r="AH38" s="818" t="s">
        <v>896</v>
      </c>
      <c r="AI38" s="817" t="s">
        <v>218</v>
      </c>
      <c r="AJ38" s="817" t="s">
        <v>921</v>
      </c>
      <c r="AK38" s="817" t="s">
        <v>922</v>
      </c>
      <c r="AL38" s="817" t="s">
        <v>922</v>
      </c>
      <c r="AM38" s="817" t="str">
        <f>LOWER(тЗащСпец[[#This Row],[аСпец]])</f>
        <v>унгарска филология</v>
      </c>
    </row>
    <row r="39" spans="9:39" x14ac:dyDescent="0.25">
      <c r="I39" t="s">
        <v>385</v>
      </c>
      <c r="J39" s="9">
        <v>1</v>
      </c>
      <c r="K39" s="11">
        <v>0.6</v>
      </c>
      <c r="AF39" s="819">
        <f ca="1">N(OFFSET(тЗащСпец[[#This Row],[№]],-1,0))+1</f>
        <v>36</v>
      </c>
      <c r="AG39" s="819" t="s">
        <v>48</v>
      </c>
      <c r="AH39" s="818" t="s">
        <v>924</v>
      </c>
      <c r="AI39" s="817" t="s">
        <v>226</v>
      </c>
      <c r="AJ39" s="817" t="s">
        <v>925</v>
      </c>
      <c r="AK39" s="817" t="s">
        <v>926</v>
      </c>
      <c r="AL39" s="817" t="s">
        <v>926</v>
      </c>
      <c r="AM39" s="817" t="str">
        <f>LOWER(тЗащСпец[[#This Row],[аСпец]])</f>
        <v>хебраистика</v>
      </c>
    </row>
    <row r="40" spans="9:39" x14ac:dyDescent="0.25">
      <c r="I40" t="s">
        <v>386</v>
      </c>
      <c r="J40" s="9">
        <v>0</v>
      </c>
      <c r="K40" s="11">
        <v>0</v>
      </c>
      <c r="AF40" s="819">
        <f ca="1">N(OFFSET(тЗащСпец[[#This Row],[№]],-1,0))+1</f>
        <v>37</v>
      </c>
      <c r="AG40" s="819" t="s">
        <v>33</v>
      </c>
      <c r="AH40" s="818" t="s">
        <v>896</v>
      </c>
      <c r="AI40" s="817" t="s">
        <v>218</v>
      </c>
      <c r="AJ40" s="817" t="s">
        <v>928</v>
      </c>
      <c r="AK40" s="817" t="s">
        <v>929</v>
      </c>
      <c r="AL40" s="817" t="s">
        <v>929</v>
      </c>
      <c r="AM40" s="817" t="str">
        <f>LOWER(тЗащСпец[[#This Row],[аСпец]])</f>
        <v>японистика</v>
      </c>
    </row>
    <row r="41" spans="9:39" x14ac:dyDescent="0.25">
      <c r="AF41" s="824">
        <f ca="1">N(OFFSET(тЗащСпец[[#This Row],[№]],-1,0))+1</f>
        <v>38</v>
      </c>
      <c r="AG41" s="824" t="s">
        <v>33</v>
      </c>
      <c r="AH41" s="825" t="s">
        <v>896</v>
      </c>
      <c r="AI41" s="826" t="s">
        <v>218</v>
      </c>
      <c r="AJ41" s="826" t="s">
        <v>897</v>
      </c>
      <c r="AK41" s="826" t="s">
        <v>898</v>
      </c>
      <c r="AL41" s="826" t="s">
        <v>934</v>
      </c>
      <c r="AM41" s="826" t="str">
        <f>LOWER(тЗащСпец[[#This Row],[аСпец]])</f>
        <v>араб</v>
      </c>
    </row>
    <row r="42" spans="9:39" x14ac:dyDescent="0.25">
      <c r="AF42" s="819">
        <f ca="1">N(OFFSET(тЗащСпец[[#This Row],[№]],-1,0))+1</f>
        <v>39</v>
      </c>
      <c r="AG42" s="819" t="s">
        <v>33</v>
      </c>
      <c r="AH42" s="818" t="s">
        <v>896</v>
      </c>
      <c r="AI42" s="817" t="s">
        <v>218</v>
      </c>
      <c r="AJ42" s="817" t="s">
        <v>900</v>
      </c>
      <c r="AK42" s="817" t="s">
        <v>901</v>
      </c>
      <c r="AL42" s="817" t="s">
        <v>949</v>
      </c>
      <c r="AM42" s="817" t="str">
        <f>LOWER(тЗащСпец[[#This Row],[аСпец]])</f>
        <v>индол</v>
      </c>
    </row>
    <row r="43" spans="9:39" x14ac:dyDescent="0.25">
      <c r="AF43" s="819">
        <f ca="1">N(OFFSET(тЗащСпец[[#This Row],[№]],-1,0))+1</f>
        <v>40</v>
      </c>
      <c r="AG43" s="819" t="s">
        <v>33</v>
      </c>
      <c r="AH43" s="818" t="s">
        <v>896</v>
      </c>
      <c r="AI43" s="817" t="s">
        <v>218</v>
      </c>
      <c r="AJ43" s="817" t="s">
        <v>903</v>
      </c>
      <c r="AK43" s="817" t="s">
        <v>904</v>
      </c>
      <c r="AL43" s="817" t="s">
        <v>950</v>
      </c>
      <c r="AM43" s="817" t="str">
        <f>LOWER(тЗащСпец[[#This Row],[аСпец]])</f>
        <v>иран</v>
      </c>
    </row>
    <row r="44" spans="9:39" x14ac:dyDescent="0.25">
      <c r="AF44" s="819">
        <f ca="1">N(OFFSET(тЗащСпец[[#This Row],[№]],-1,0))+1</f>
        <v>41</v>
      </c>
      <c r="AG44" s="819" t="s">
        <v>33</v>
      </c>
      <c r="AH44" s="818" t="s">
        <v>896</v>
      </c>
      <c r="AI44" s="817" t="s">
        <v>218</v>
      </c>
      <c r="AJ44" s="817" t="s">
        <v>906</v>
      </c>
      <c r="AK44" s="817" t="s">
        <v>907</v>
      </c>
      <c r="AL44" s="817" t="s">
        <v>938</v>
      </c>
      <c r="AM44" s="817" t="str">
        <f>LOWER(тЗащСпец[[#This Row],[аСпец]])</f>
        <v>кит</v>
      </c>
    </row>
    <row r="45" spans="9:39" x14ac:dyDescent="0.25">
      <c r="AF45" s="819">
        <f ca="1">N(OFFSET(тЗащСпец[[#This Row],[№]],-1,0))+1</f>
        <v>42</v>
      </c>
      <c r="AG45" s="819" t="s">
        <v>33</v>
      </c>
      <c r="AH45" s="818" t="s">
        <v>896</v>
      </c>
      <c r="AI45" s="817" t="s">
        <v>218</v>
      </c>
      <c r="AJ45" s="817" t="s">
        <v>909</v>
      </c>
      <c r="AK45" s="817" t="s">
        <v>910</v>
      </c>
      <c r="AL45" s="817" t="s">
        <v>939</v>
      </c>
      <c r="AM45" s="817" t="str">
        <f>LOWER(тЗащСпец[[#This Row],[аСпец]])</f>
        <v>кор</v>
      </c>
    </row>
    <row r="46" spans="9:39" x14ac:dyDescent="0.25">
      <c r="AF46" s="819">
        <f ca="1">N(OFFSET(тЗащСпец[[#This Row],[№]],-1,0))+1</f>
        <v>43</v>
      </c>
      <c r="AG46" s="819" t="s">
        <v>33</v>
      </c>
      <c r="AH46" s="818" t="s">
        <v>896</v>
      </c>
      <c r="AI46" s="817" t="s">
        <v>218</v>
      </c>
      <c r="AJ46" s="817" t="s">
        <v>912</v>
      </c>
      <c r="AK46" s="817" t="s">
        <v>913</v>
      </c>
      <c r="AL46" s="823" t="s">
        <v>956</v>
      </c>
      <c r="AM46" s="817" t="str">
        <f>LOWER(тЗащСпец[[#This Row],[аСпец]])</f>
        <v>нов</v>
      </c>
    </row>
    <row r="47" spans="9:39" x14ac:dyDescent="0.25">
      <c r="AF47" s="819">
        <f ca="1">N(OFFSET(тЗащСпец[[#This Row],[№]],-1,0))+1</f>
        <v>44</v>
      </c>
      <c r="AG47" s="819" t="s">
        <v>33</v>
      </c>
      <c r="AH47" s="818" t="s">
        <v>896</v>
      </c>
      <c r="AI47" s="817" t="s">
        <v>218</v>
      </c>
      <c r="AJ47" s="817" t="s">
        <v>915</v>
      </c>
      <c r="AK47" s="817" t="s">
        <v>916</v>
      </c>
      <c r="AL47" s="823" t="s">
        <v>955</v>
      </c>
      <c r="AM47" s="817" t="str">
        <f>LOWER(тЗащСпец[[#This Row],[аСпец]])</f>
        <v>пор</v>
      </c>
    </row>
    <row r="48" spans="9:39" x14ac:dyDescent="0.25">
      <c r="AF48" s="819">
        <f ca="1">N(OFFSET(тЗащСпец[[#This Row],[№]],-1,0))+1</f>
        <v>45</v>
      </c>
      <c r="AG48" s="819" t="s">
        <v>33</v>
      </c>
      <c r="AH48" s="818" t="s">
        <v>896</v>
      </c>
      <c r="AI48" s="817" t="s">
        <v>218</v>
      </c>
      <c r="AJ48" s="817" t="s">
        <v>918</v>
      </c>
      <c r="AK48" s="817" t="s">
        <v>919</v>
      </c>
      <c r="AL48" s="823" t="s">
        <v>953</v>
      </c>
      <c r="AM48" s="817" t="str">
        <f>LOWER(тЗащСпец[[#This Row],[аСпец]])</f>
        <v>рум</v>
      </c>
    </row>
    <row r="49" spans="32:39" x14ac:dyDescent="0.25">
      <c r="AF49" s="819">
        <f ca="1">N(OFFSET(тЗащСпец[[#This Row],[№]],-1,0))+1</f>
        <v>46</v>
      </c>
      <c r="AG49" s="819" t="s">
        <v>33</v>
      </c>
      <c r="AH49" s="818" t="s">
        <v>896</v>
      </c>
      <c r="AI49" s="817" t="s">
        <v>218</v>
      </c>
      <c r="AJ49" s="817" t="s">
        <v>921</v>
      </c>
      <c r="AK49" s="817" t="s">
        <v>922</v>
      </c>
      <c r="AL49" s="823" t="s">
        <v>954</v>
      </c>
      <c r="AM49" s="817" t="str">
        <f>LOWER(тЗащСпец[[#This Row],[аСпец]])</f>
        <v>унг</v>
      </c>
    </row>
    <row r="50" spans="32:39" x14ac:dyDescent="0.25">
      <c r="AF50" s="819">
        <f ca="1">N(OFFSET(тЗащСпец[[#This Row],[№]],-1,0))+1</f>
        <v>47</v>
      </c>
      <c r="AG50" s="819" t="s">
        <v>48</v>
      </c>
      <c r="AH50" s="818" t="s">
        <v>924</v>
      </c>
      <c r="AI50" s="817" t="s">
        <v>226</v>
      </c>
      <c r="AJ50" s="817" t="s">
        <v>925</v>
      </c>
      <c r="AK50" s="817" t="s">
        <v>926</v>
      </c>
      <c r="AL50" s="817" t="s">
        <v>952</v>
      </c>
      <c r="AM50" s="817" t="str">
        <f>LOWER(тЗащСпец[[#This Row],[аСпец]])</f>
        <v>хебр</v>
      </c>
    </row>
    <row r="51" spans="32:39" x14ac:dyDescent="0.25">
      <c r="AF51" s="819">
        <f ca="1">N(OFFSET(тЗащСпец[[#This Row],[№]],-1,0))+1</f>
        <v>48</v>
      </c>
      <c r="AG51" s="819" t="s">
        <v>33</v>
      </c>
      <c r="AH51" s="818" t="s">
        <v>896</v>
      </c>
      <c r="AI51" s="817" t="s">
        <v>218</v>
      </c>
      <c r="AJ51" s="817" t="s">
        <v>928</v>
      </c>
      <c r="AK51" s="817" t="s">
        <v>929</v>
      </c>
      <c r="AL51" s="817" t="s">
        <v>948</v>
      </c>
      <c r="AM51" s="817" t="str">
        <f>LOWER(тЗащСпец[[#This Row],[аСпец]])</f>
        <v>япон</v>
      </c>
    </row>
    <row r="60" spans="32:39" x14ac:dyDescent="0.25">
      <c r="AF60" s="827">
        <v>13</v>
      </c>
      <c r="AG60" s="827" t="s">
        <v>29</v>
      </c>
      <c r="AH60" s="828">
        <v>4.2</v>
      </c>
      <c r="AI60" s="829" t="s">
        <v>245</v>
      </c>
      <c r="AJ60" s="829"/>
      <c r="AK60" s="829" t="s">
        <v>957</v>
      </c>
      <c r="AL60" s="829" t="s">
        <v>958</v>
      </c>
      <c r="AM60" s="830" t="s">
        <v>961</v>
      </c>
    </row>
    <row r="61" spans="32:39" x14ac:dyDescent="0.25">
      <c r="AF61" s="827">
        <v>26</v>
      </c>
      <c r="AG61" s="827" t="s">
        <v>29</v>
      </c>
      <c r="AH61" s="828">
        <v>4.2</v>
      </c>
      <c r="AI61" s="829" t="s">
        <v>245</v>
      </c>
      <c r="AJ61" s="829"/>
      <c r="AK61" s="829" t="s">
        <v>957</v>
      </c>
      <c r="AL61" s="831" t="s">
        <v>959</v>
      </c>
      <c r="AM61" s="830" t="s">
        <v>962</v>
      </c>
    </row>
    <row r="62" spans="32:39" x14ac:dyDescent="0.25">
      <c r="AF62" s="827">
        <v>38</v>
      </c>
      <c r="AG62" s="827" t="s">
        <v>29</v>
      </c>
      <c r="AH62" s="828">
        <v>4.2</v>
      </c>
      <c r="AI62" s="829" t="s">
        <v>245</v>
      </c>
      <c r="AJ62" s="829"/>
      <c r="AK62" s="829" t="s">
        <v>957</v>
      </c>
      <c r="AL62" s="831" t="s">
        <v>957</v>
      </c>
      <c r="AM62" s="830" t="s">
        <v>963</v>
      </c>
    </row>
    <row r="63" spans="32:39" x14ac:dyDescent="0.25">
      <c r="AF63" s="832">
        <v>50</v>
      </c>
      <c r="AG63" s="832" t="s">
        <v>29</v>
      </c>
      <c r="AH63" s="833">
        <v>4.2</v>
      </c>
      <c r="AI63" s="834" t="s">
        <v>245</v>
      </c>
      <c r="AJ63" s="834"/>
      <c r="AK63" s="834" t="s">
        <v>957</v>
      </c>
      <c r="AL63" s="835" t="s">
        <v>960</v>
      </c>
      <c r="AM63" s="836" t="s">
        <v>964</v>
      </c>
    </row>
  </sheetData>
  <mergeCells count="2">
    <mergeCell ref="E4:F4"/>
    <mergeCell ref="E10:F10"/>
  </mergeCells>
  <phoneticPr fontId="129" type="noConversion"/>
  <pageMargins left="0.7" right="0.7" top="0.75" bottom="0.75" header="0.3" footer="0.3"/>
  <pageSetup paperSize="9" scale="13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CFD61-BAE2-48FF-8FA7-21BB9C56F70C}">
  <sheetPr codeName="Sheet6">
    <tabColor theme="9" tint="-0.499984740745262"/>
  </sheetPr>
  <dimension ref="B1:BV2481"/>
  <sheetViews>
    <sheetView workbookViewId="0">
      <selection activeCell="Z20" sqref="Z20"/>
    </sheetView>
  </sheetViews>
  <sheetFormatPr defaultRowHeight="15" x14ac:dyDescent="0.25"/>
  <cols>
    <col min="2" max="2" width="5.42578125" bestFit="1" customWidth="1"/>
    <col min="3" max="3" width="64.42578125" bestFit="1" customWidth="1"/>
    <col min="4" max="4" width="7.28515625" bestFit="1" customWidth="1"/>
    <col min="5" max="5" width="12.85546875" bestFit="1" customWidth="1"/>
    <col min="6" max="7" width="2.7109375" customWidth="1"/>
    <col min="8" max="8" width="5.5703125" bestFit="1" customWidth="1"/>
    <col min="9" max="9" width="29.140625" bestFit="1" customWidth="1"/>
    <col min="10" max="10" width="21.85546875" bestFit="1" customWidth="1"/>
    <col min="11" max="11" width="4.85546875" bestFit="1" customWidth="1"/>
    <col min="12" max="13" width="2.85546875" customWidth="1"/>
    <col min="14" max="14" width="5.5703125" bestFit="1" customWidth="1"/>
    <col min="15" max="15" width="21.85546875" bestFit="1" customWidth="1"/>
    <col min="16" max="16" width="8.7109375" style="15" bestFit="1" customWidth="1"/>
    <col min="17" max="19" width="3.28515625" customWidth="1"/>
    <col min="20" max="20" width="5.5703125" bestFit="1" customWidth="1"/>
    <col min="21" max="21" width="20.7109375" customWidth="1"/>
    <col min="22" max="22" width="5.5703125" bestFit="1" customWidth="1"/>
    <col min="23" max="23" width="15.7109375" customWidth="1"/>
    <col min="24" max="24" width="8.7109375" bestFit="1" customWidth="1"/>
    <col min="25" max="25" width="5.5703125" bestFit="1" customWidth="1"/>
    <col min="26" max="26" width="46" bestFit="1" customWidth="1"/>
    <col min="27" max="27" width="10" bestFit="1" customWidth="1"/>
    <col min="28" max="28" width="19.42578125" bestFit="1" customWidth="1"/>
    <col min="32" max="32" width="5.5703125" bestFit="1" customWidth="1"/>
    <col min="33" max="33" width="61" customWidth="1"/>
    <col min="34" max="34" width="28.140625" bestFit="1" customWidth="1"/>
    <col min="35" max="35" width="6.42578125" bestFit="1" customWidth="1"/>
    <col min="36" max="36" width="11.85546875" bestFit="1" customWidth="1"/>
    <col min="38" max="38" width="7" bestFit="1" customWidth="1"/>
    <col min="39" max="39" width="7.85546875" bestFit="1" customWidth="1"/>
    <col min="40" max="40" width="22.42578125" customWidth="1"/>
    <col min="41" max="41" width="14.5703125" customWidth="1"/>
    <col min="43" max="43" width="7.85546875" bestFit="1" customWidth="1"/>
    <col min="44" max="45" width="11.42578125" bestFit="1" customWidth="1"/>
    <col min="46" max="46" width="22.85546875" bestFit="1" customWidth="1"/>
    <col min="47" max="47" width="13.5703125" bestFit="1" customWidth="1"/>
    <col min="48" max="48" width="27.85546875" bestFit="1" customWidth="1"/>
    <col min="49" max="49" width="42.140625" customWidth="1"/>
    <col min="50" max="50" width="11.7109375" bestFit="1" customWidth="1"/>
    <col min="51" max="51" width="9.85546875" bestFit="1" customWidth="1"/>
    <col min="52" max="52" width="13.28515625" bestFit="1" customWidth="1"/>
    <col min="53" max="53" width="9.85546875" bestFit="1" customWidth="1"/>
    <col min="54" max="55" width="13.28515625" customWidth="1"/>
    <col min="56" max="56" width="13.28515625" bestFit="1" customWidth="1"/>
    <col min="58" max="58" width="11.42578125" bestFit="1" customWidth="1"/>
    <col min="59" max="59" width="45.85546875" bestFit="1" customWidth="1"/>
    <col min="60" max="60" width="11.85546875" bestFit="1" customWidth="1"/>
    <col min="61" max="63" width="35.85546875" bestFit="1" customWidth="1"/>
    <col min="64" max="64" width="28" bestFit="1" customWidth="1"/>
    <col min="68" max="68" width="30.7109375" bestFit="1" customWidth="1"/>
    <col min="69" max="69" width="13.5703125" bestFit="1" customWidth="1"/>
    <col min="70" max="70" width="11.42578125" bestFit="1" customWidth="1"/>
    <col min="71" max="71" width="51.7109375" bestFit="1" customWidth="1"/>
    <col min="72" max="72" width="81.140625" bestFit="1" customWidth="1"/>
    <col min="73" max="73" width="10.7109375" bestFit="1" customWidth="1"/>
    <col min="74" max="74" width="14.140625" bestFit="1" customWidth="1"/>
  </cols>
  <sheetData>
    <row r="1" spans="2:74" x14ac:dyDescent="0.25">
      <c r="AR1" s="1223" t="s">
        <v>2787</v>
      </c>
    </row>
    <row r="2" spans="2:74" x14ac:dyDescent="0.25">
      <c r="T2" t="s">
        <v>136</v>
      </c>
      <c r="Z2" t="s">
        <v>1084</v>
      </c>
      <c r="AG2" s="63" t="s">
        <v>1080</v>
      </c>
    </row>
    <row r="3" spans="2:74" x14ac:dyDescent="0.25">
      <c r="U3" t="s">
        <v>1081</v>
      </c>
      <c r="AQ3" t="s">
        <v>573</v>
      </c>
      <c r="AR3" t="s">
        <v>18</v>
      </c>
      <c r="AS3" t="s">
        <v>931</v>
      </c>
      <c r="AT3" t="s">
        <v>207</v>
      </c>
      <c r="AU3" t="s">
        <v>895</v>
      </c>
      <c r="AV3" t="s">
        <v>932</v>
      </c>
      <c r="AW3" t="s">
        <v>983</v>
      </c>
      <c r="AX3" s="989" t="s">
        <v>992</v>
      </c>
      <c r="AY3" s="989" t="s">
        <v>993</v>
      </c>
      <c r="AZ3" s="989" t="s">
        <v>994</v>
      </c>
      <c r="BA3" s="989" t="s">
        <v>2812</v>
      </c>
      <c r="BB3" s="989" t="s">
        <v>681</v>
      </c>
      <c r="BC3" s="989" t="s">
        <v>682</v>
      </c>
      <c r="BF3" s="718" t="s">
        <v>931</v>
      </c>
      <c r="BG3" t="s">
        <v>207</v>
      </c>
      <c r="BH3" t="s">
        <v>18</v>
      </c>
      <c r="BI3" t="s">
        <v>932</v>
      </c>
      <c r="BJ3" t="s">
        <v>983</v>
      </c>
      <c r="BK3" t="s">
        <v>2766</v>
      </c>
      <c r="BL3" t="s">
        <v>2767</v>
      </c>
      <c r="BP3" t="s">
        <v>9541</v>
      </c>
      <c r="BQ3" t="s">
        <v>895</v>
      </c>
      <c r="BR3" t="s">
        <v>931</v>
      </c>
      <c r="BS3" t="s">
        <v>1144</v>
      </c>
      <c r="BT3" t="s">
        <v>17</v>
      </c>
      <c r="BU3" t="s">
        <v>133</v>
      </c>
      <c r="BV3" t="s">
        <v>1145</v>
      </c>
    </row>
    <row r="4" spans="2:74" x14ac:dyDescent="0.25">
      <c r="B4" t="s">
        <v>573</v>
      </c>
      <c r="C4" t="s">
        <v>18</v>
      </c>
      <c r="D4" s="718" t="s">
        <v>23</v>
      </c>
      <c r="E4" t="s">
        <v>837</v>
      </c>
      <c r="H4" s="990" t="s">
        <v>573</v>
      </c>
      <c r="I4" s="990" t="s">
        <v>58</v>
      </c>
      <c r="J4" s="995" t="s">
        <v>979</v>
      </c>
      <c r="K4" s="994" t="s">
        <v>59</v>
      </c>
      <c r="N4" s="718" t="s">
        <v>573</v>
      </c>
      <c r="O4" s="989" t="s">
        <v>976</v>
      </c>
      <c r="T4" t="s">
        <v>573</v>
      </c>
      <c r="U4" s="1009" t="s">
        <v>136</v>
      </c>
      <c r="Y4" s="1017" t="s">
        <v>573</v>
      </c>
      <c r="Z4" s="344" t="s">
        <v>207</v>
      </c>
      <c r="AA4" s="1017" t="s">
        <v>211</v>
      </c>
      <c r="AB4" s="344" t="s">
        <v>130</v>
      </c>
      <c r="AF4" s="350" t="s">
        <v>573</v>
      </c>
      <c r="AG4" s="350" t="s">
        <v>574</v>
      </c>
      <c r="AH4" s="349" t="s">
        <v>555</v>
      </c>
      <c r="AI4" s="354" t="s">
        <v>563</v>
      </c>
      <c r="AJ4" s="354" t="s">
        <v>618</v>
      </c>
      <c r="AK4" s="354" t="s">
        <v>547</v>
      </c>
      <c r="AL4" s="354" t="s">
        <v>564</v>
      </c>
      <c r="AM4" s="350" t="s">
        <v>893</v>
      </c>
      <c r="AQ4" s="819">
        <f ca="1">N(OFFSET(тЗащСпециалности[[#This Row],[№]],-1,0))+1</f>
        <v>1</v>
      </c>
      <c r="AR4" s="819" t="s">
        <v>33</v>
      </c>
      <c r="AS4" s="818" t="s">
        <v>896</v>
      </c>
      <c r="AT4" s="817" t="s">
        <v>218</v>
      </c>
      <c r="AU4" s="817" t="s">
        <v>897</v>
      </c>
      <c r="AV4" s="817" t="s">
        <v>898</v>
      </c>
      <c r="AW4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Арабистика,Арб(рб),Арб,Араб,(зс)</v>
      </c>
      <c r="AX4" s="817" t="s">
        <v>899</v>
      </c>
      <c r="AY4" s="817" t="s">
        <v>933</v>
      </c>
      <c r="AZ4" s="817" t="s">
        <v>934</v>
      </c>
      <c r="BA4" s="817" t="s">
        <v>2813</v>
      </c>
      <c r="BB4" s="818">
        <v>1</v>
      </c>
      <c r="BC4" s="818">
        <v>1</v>
      </c>
      <c r="BF4" s="614" t="s">
        <v>896</v>
      </c>
      <c r="BG4" s="64" t="s">
        <v>218</v>
      </c>
      <c r="BH4" s="64" t="s">
        <v>33</v>
      </c>
      <c r="BI4" s="64" t="s">
        <v>898</v>
      </c>
      <c r="BJ4" s="64" t="s">
        <v>2813</v>
      </c>
      <c r="BK4" t="s">
        <v>2813</v>
      </c>
      <c r="BL4" t="s">
        <v>2813</v>
      </c>
      <c r="BQ4">
        <v>10100043</v>
      </c>
      <c r="BR4" s="15" t="s">
        <v>215</v>
      </c>
      <c r="BS4" t="s">
        <v>212</v>
      </c>
      <c r="BT4" t="s">
        <v>1146</v>
      </c>
      <c r="BU4" t="s">
        <v>682</v>
      </c>
      <c r="BV4" t="s">
        <v>680</v>
      </c>
    </row>
    <row r="5" spans="2:74" ht="16.5" x14ac:dyDescent="0.25">
      <c r="B5" s="614">
        <f ca="1">N(OFFSET(ТФакултет[[#This Row],[№]],-1,0))+1</f>
        <v>1</v>
      </c>
      <c r="C5" s="64" t="s">
        <v>36</v>
      </c>
      <c r="D5" s="614">
        <v>1</v>
      </c>
      <c r="E5" s="1224" t="s">
        <v>2788</v>
      </c>
      <c r="F5" s="987"/>
      <c r="G5" s="987"/>
      <c r="H5" s="996">
        <f ca="1">N(OFFSET(ТръкДлъжност[[#This Row],[№]],-1,0))+1</f>
        <v>1</v>
      </c>
      <c r="I5" s="997" t="s">
        <v>60</v>
      </c>
      <c r="J5" s="998" t="s">
        <v>156</v>
      </c>
      <c r="K5" s="999">
        <v>0</v>
      </c>
      <c r="N5" s="614">
        <f ca="1">N(OFFSET(ТобФакултет[[#This Row],[№]],-1,0))+1</f>
        <v>1</v>
      </c>
      <c r="O5" s="64" t="s">
        <v>140</v>
      </c>
      <c r="T5" s="614">
        <f ca="1">N(OFFSET(тПодгКурс[[#This Row],[№]],-1,0))+1</f>
        <v>1</v>
      </c>
      <c r="U5" s="64" t="s">
        <v>137</v>
      </c>
      <c r="Y5" s="1011">
        <f ca="1">N(OFFSET(тПН[[#This Row],[№]],-1,0))+1</f>
        <v>1</v>
      </c>
      <c r="Z5" s="1012" t="s">
        <v>212</v>
      </c>
      <c r="AA5" s="1011" t="s">
        <v>215</v>
      </c>
      <c r="AB5" s="1013"/>
      <c r="AF5" s="1020">
        <f ca="1">N(OFFSET(T_УчПрактики[[#This Row],[№]],-1,0))+1</f>
        <v>1</v>
      </c>
      <c r="AG5" s="1202" t="s">
        <v>1122</v>
      </c>
      <c r="AH5" s="351" t="s">
        <v>579</v>
      </c>
      <c r="AI5" s="352">
        <v>30</v>
      </c>
      <c r="AJ5" s="352"/>
      <c r="AK5" s="352">
        <v>1</v>
      </c>
      <c r="AL5" s="1020"/>
      <c r="AM5" s="352" t="str">
        <f>IF(T_УчПрактики[[#This Row],[Студенти]],"с","")&amp;IF(T_УчПрактики[[#This Row],[Група]],"г","")&amp;IF(T_УчПрактики[[#This Row],[Ден]],"д","")</f>
        <v>г</v>
      </c>
      <c r="AQ5" s="819">
        <f ca="1">N(OFFSET(тЗащСпециалности[[#This Row],[№]],-1,0))+1</f>
        <v>2</v>
      </c>
      <c r="AR5" s="819" t="s">
        <v>33</v>
      </c>
      <c r="AS5" s="818" t="s">
        <v>896</v>
      </c>
      <c r="AT5" s="817" t="s">
        <v>218</v>
      </c>
      <c r="AU5" s="65" t="s">
        <v>1142</v>
      </c>
      <c r="AV5" s="817" t="s">
        <v>946</v>
      </c>
      <c r="AW5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Арменистика и кавказология,АрмКав(рб),АрмКав,Арменистика,(зс)</v>
      </c>
      <c r="AX5" s="823" t="s">
        <v>951</v>
      </c>
      <c r="AY5" s="817" t="s">
        <v>947</v>
      </c>
      <c r="AZ5" s="817" t="s">
        <v>984</v>
      </c>
      <c r="BA5" s="817" t="s">
        <v>2813</v>
      </c>
      <c r="BB5" s="818">
        <v>1</v>
      </c>
      <c r="BC5" s="818">
        <v>1</v>
      </c>
      <c r="BF5" s="614" t="s">
        <v>896</v>
      </c>
      <c r="BG5" s="64" t="s">
        <v>218</v>
      </c>
      <c r="BH5" s="64" t="s">
        <v>33</v>
      </c>
      <c r="BI5" s="64" t="s">
        <v>898</v>
      </c>
      <c r="BJ5" s="64" t="s">
        <v>934</v>
      </c>
      <c r="BK5" t="s">
        <v>934</v>
      </c>
      <c r="BL5" t="s">
        <v>934</v>
      </c>
      <c r="BQ5">
        <v>10100053</v>
      </c>
      <c r="BR5" s="15" t="s">
        <v>215</v>
      </c>
      <c r="BS5" t="s">
        <v>212</v>
      </c>
      <c r="BT5" t="s">
        <v>1147</v>
      </c>
      <c r="BU5" t="s">
        <v>682</v>
      </c>
      <c r="BV5" t="s">
        <v>680</v>
      </c>
    </row>
    <row r="6" spans="2:74" ht="16.5" x14ac:dyDescent="0.25">
      <c r="B6" s="614">
        <f ca="1">N(OFFSET(ТФакултет[[#This Row],[№]],-1,0))+1</f>
        <v>2</v>
      </c>
      <c r="C6" s="64" t="s">
        <v>30</v>
      </c>
      <c r="D6" s="614">
        <v>2</v>
      </c>
      <c r="E6" s="1001" t="s">
        <v>31</v>
      </c>
      <c r="F6" s="988"/>
      <c r="G6" s="988"/>
      <c r="H6" s="996">
        <f ca="1">N(OFFSET(ТръкДлъжност[[#This Row],[№]],-1,0))+1</f>
        <v>2</v>
      </c>
      <c r="I6" s="997" t="s">
        <v>61</v>
      </c>
      <c r="J6" s="998" t="s">
        <v>157</v>
      </c>
      <c r="K6" s="999">
        <v>0.75</v>
      </c>
      <c r="N6" s="614">
        <f ca="1">N(OFFSET(ТобФакултет[[#This Row],[№]],-1,0))+1</f>
        <v>2</v>
      </c>
      <c r="O6" s="64" t="s">
        <v>2788</v>
      </c>
      <c r="T6" s="614">
        <f ca="1">N(OFFSET(тПодгКурс[[#This Row],[№]],-1,0))+1</f>
        <v>2</v>
      </c>
      <c r="U6" s="64" t="s">
        <v>658</v>
      </c>
      <c r="Y6" s="1011">
        <f ca="1">N(OFFSET(тПН[[#This Row],[№]],-1,0))+1</f>
        <v>2</v>
      </c>
      <c r="Z6" s="1012" t="s">
        <v>213</v>
      </c>
      <c r="AA6" s="1011" t="s">
        <v>216</v>
      </c>
      <c r="AB6" s="1013"/>
      <c r="AF6" s="1020">
        <f ca="1">N(OFFSET(T_УчПрактики[[#This Row],[№]],-1,0))+1</f>
        <v>2</v>
      </c>
      <c r="AG6" s="1202" t="s">
        <v>1123</v>
      </c>
      <c r="AH6" s="351" t="s">
        <v>617</v>
      </c>
      <c r="AI6" s="352">
        <v>60</v>
      </c>
      <c r="AJ6" s="352"/>
      <c r="AK6" s="352">
        <v>1</v>
      </c>
      <c r="AL6" s="1020"/>
      <c r="AM6" s="352" t="str">
        <f>IF(T_УчПрактики[[#This Row],[Студенти]],"с","")&amp;IF(T_УчПрактики[[#This Row],[Група]],"г","")&amp;IF(T_УчПрактики[[#This Row],[Ден]],"д","")</f>
        <v>г</v>
      </c>
      <c r="AQ6" s="819">
        <f ca="1">N(OFFSET(тЗащСпециалности[[#This Row],[№]],-1,0))+1</f>
        <v>3</v>
      </c>
      <c r="AR6" s="819" t="s">
        <v>33</v>
      </c>
      <c r="AS6" s="818" t="s">
        <v>896</v>
      </c>
      <c r="AT6" s="817" t="s">
        <v>218</v>
      </c>
      <c r="AU6" s="1218" t="s">
        <v>1141</v>
      </c>
      <c r="AV6" s="1218" t="s">
        <v>1062</v>
      </c>
      <c r="AW6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Африканистика,Афр(рб,Афр,Африкан,(зс)</v>
      </c>
      <c r="AX6" s="823" t="s">
        <v>1072</v>
      </c>
      <c r="AY6" s="817" t="s">
        <v>1063</v>
      </c>
      <c r="AZ6" s="823" t="s">
        <v>1064</v>
      </c>
      <c r="BA6" s="823" t="s">
        <v>2813</v>
      </c>
      <c r="BB6" s="1222">
        <v>1</v>
      </c>
      <c r="BC6" s="1222"/>
      <c r="BF6" s="614" t="s">
        <v>896</v>
      </c>
      <c r="BG6" s="64" t="s">
        <v>218</v>
      </c>
      <c r="BH6" s="64" t="s">
        <v>33</v>
      </c>
      <c r="BI6" s="64" t="s">
        <v>898</v>
      </c>
      <c r="BJ6" s="64" t="s">
        <v>898</v>
      </c>
      <c r="BK6" t="s">
        <v>898</v>
      </c>
      <c r="BL6" t="s">
        <v>898</v>
      </c>
      <c r="BP6">
        <v>11243</v>
      </c>
      <c r="BQ6">
        <v>1010000302</v>
      </c>
      <c r="BR6" s="15" t="s">
        <v>215</v>
      </c>
      <c r="BS6" t="s">
        <v>212</v>
      </c>
      <c r="BT6" t="s">
        <v>1148</v>
      </c>
      <c r="BU6" t="s">
        <v>682</v>
      </c>
      <c r="BV6" t="s">
        <v>1149</v>
      </c>
    </row>
    <row r="7" spans="2:74" ht="16.5" x14ac:dyDescent="0.25">
      <c r="B7" s="614">
        <f ca="1">N(OFFSET(ТФакултет[[#This Row],[№]],-1,0))+1</f>
        <v>3</v>
      </c>
      <c r="C7" s="64" t="s">
        <v>49</v>
      </c>
      <c r="D7" s="614">
        <v>3</v>
      </c>
      <c r="E7" s="1001" t="s">
        <v>50</v>
      </c>
      <c r="F7" s="988"/>
      <c r="G7" s="988"/>
      <c r="H7" s="996">
        <f ca="1">N(OFFSET(ТръкДлъжност[[#This Row],[№]],-1,0))+1</f>
        <v>3</v>
      </c>
      <c r="I7" s="997" t="s">
        <v>2798</v>
      </c>
      <c r="J7" s="998" t="s">
        <v>158</v>
      </c>
      <c r="K7" s="999">
        <v>0.5</v>
      </c>
      <c r="N7" s="614">
        <f ca="1">N(OFFSET(ТобФакултет[[#This Row],[№]],-1,0))+1</f>
        <v>3</v>
      </c>
      <c r="O7" s="64" t="s">
        <v>31</v>
      </c>
      <c r="T7" s="614">
        <f ca="1">N(OFFSET(тПодгКурс[[#This Row],[№]],-1,0))+1</f>
        <v>3</v>
      </c>
      <c r="U7" s="64" t="s">
        <v>167</v>
      </c>
      <c r="Y7" s="1011">
        <f ca="1">N(OFFSET(тПН[[#This Row],[№]],-1,0))+1</f>
        <v>3</v>
      </c>
      <c r="Z7" s="1010" t="s">
        <v>214</v>
      </c>
      <c r="AA7" s="1011" t="s">
        <v>217</v>
      </c>
      <c r="AB7" s="1013"/>
      <c r="AF7" s="1020">
        <f ca="1">N(OFFSET(T_УчПрактики[[#This Row],[№]],-1,0))+1</f>
        <v>3</v>
      </c>
      <c r="AG7" s="1090" t="s">
        <v>1073</v>
      </c>
      <c r="AH7" s="1090" t="s">
        <v>1074</v>
      </c>
      <c r="AI7" s="1091">
        <v>3</v>
      </c>
      <c r="AJ7" s="1091"/>
      <c r="AK7" s="1091">
        <v>1</v>
      </c>
      <c r="AL7" s="1092">
        <v>1</v>
      </c>
      <c r="AM7" s="1091" t="str">
        <f>IF(T_УчПрактики[[#This Row],[Студенти]],"с","")&amp;IF(T_УчПрактики[[#This Row],[Група]],"г","")&amp;IF(T_УчПрактики[[#This Row],[Ден]],"д","")</f>
        <v>гд</v>
      </c>
      <c r="AQ7" s="819">
        <f ca="1">N(OFFSET(тЗащСпециалности[[#This Row],[№]],-1,0))+1</f>
        <v>4</v>
      </c>
      <c r="AR7" s="819" t="s">
        <v>33</v>
      </c>
      <c r="AS7" s="818" t="s">
        <v>896</v>
      </c>
      <c r="AT7" s="817" t="s">
        <v>218</v>
      </c>
      <c r="AU7" s="817" t="s">
        <v>900</v>
      </c>
      <c r="AV7" s="817" t="s">
        <v>901</v>
      </c>
      <c r="AW7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Индология,Инд(рб),Инд,Индол,(зс)</v>
      </c>
      <c r="AX7" s="817" t="s">
        <v>902</v>
      </c>
      <c r="AY7" s="817" t="s">
        <v>936</v>
      </c>
      <c r="AZ7" s="817" t="s">
        <v>949</v>
      </c>
      <c r="BA7" s="817" t="s">
        <v>2813</v>
      </c>
      <c r="BB7" s="818">
        <v>1</v>
      </c>
      <c r="BC7" s="818">
        <v>1</v>
      </c>
      <c r="BF7" s="614" t="s">
        <v>896</v>
      </c>
      <c r="BG7" s="64" t="s">
        <v>218</v>
      </c>
      <c r="BH7" s="64" t="s">
        <v>33</v>
      </c>
      <c r="BI7" s="64" t="s">
        <v>898</v>
      </c>
      <c r="BJ7" s="64" t="s">
        <v>933</v>
      </c>
      <c r="BK7" t="s">
        <v>933</v>
      </c>
      <c r="BL7" t="s">
        <v>933</v>
      </c>
      <c r="BP7">
        <v>11245</v>
      </c>
      <c r="BQ7">
        <v>1010000303</v>
      </c>
      <c r="BR7" s="15" t="s">
        <v>215</v>
      </c>
      <c r="BS7" t="s">
        <v>212</v>
      </c>
      <c r="BT7" t="s">
        <v>1150</v>
      </c>
      <c r="BU7" t="s">
        <v>682</v>
      </c>
      <c r="BV7" t="s">
        <v>1149</v>
      </c>
    </row>
    <row r="8" spans="2:74" ht="16.5" x14ac:dyDescent="0.25">
      <c r="B8" s="614">
        <f ca="1">N(OFFSET(ТФакултет[[#This Row],[№]],-1,0))+1</f>
        <v>4</v>
      </c>
      <c r="C8" s="64" t="s">
        <v>47</v>
      </c>
      <c r="D8" s="614">
        <v>4</v>
      </c>
      <c r="E8" s="1001" t="s">
        <v>48</v>
      </c>
      <c r="F8" s="988"/>
      <c r="G8" s="988"/>
      <c r="H8" s="996">
        <f ca="1">N(OFFSET(ТръкДлъжност[[#This Row],[№]],-1,0))+1</f>
        <v>4</v>
      </c>
      <c r="I8" s="1000" t="s">
        <v>978</v>
      </c>
      <c r="J8" s="1000" t="s">
        <v>159</v>
      </c>
      <c r="K8" s="999">
        <v>0.4</v>
      </c>
      <c r="N8" s="614">
        <f ca="1">N(OFFSET(ТобФакултет[[#This Row],[№]],-1,0))+1</f>
        <v>4</v>
      </c>
      <c r="O8" s="64" t="s">
        <v>50</v>
      </c>
      <c r="Y8" s="1011">
        <f ca="1">N(OFFSET(тПН[[#This Row],[№]],-1,0))+1</f>
        <v>4</v>
      </c>
      <c r="Z8" s="1010" t="s">
        <v>218</v>
      </c>
      <c r="AA8" s="1011" t="s">
        <v>222</v>
      </c>
      <c r="AB8" s="1013"/>
      <c r="AF8" s="1020">
        <f ca="1">N(OFFSET(T_УчПрактики[[#This Row],[№]],-1,0))+1</f>
        <v>4</v>
      </c>
      <c r="AG8" s="795" t="s">
        <v>885</v>
      </c>
      <c r="AH8" s="795" t="s">
        <v>886</v>
      </c>
      <c r="AI8" s="797">
        <v>15</v>
      </c>
      <c r="AJ8" s="797"/>
      <c r="AK8" s="797">
        <v>1</v>
      </c>
      <c r="AL8" s="1021"/>
      <c r="AM8" s="352" t="str">
        <f>IF(T_УчПрактики[[#This Row],[Студенти]],"с","")&amp;IF(T_УчПрактики[[#This Row],[Група]],"г","")&amp;IF(T_УчПрактики[[#This Row],[Ден]],"д","")</f>
        <v>г</v>
      </c>
      <c r="AQ8" s="819">
        <f ca="1">N(OFFSET(тЗащСпециалности[[#This Row],[№]],-1,0))+1</f>
        <v>5</v>
      </c>
      <c r="AR8" s="819" t="s">
        <v>33</v>
      </c>
      <c r="AS8" s="818" t="s">
        <v>896</v>
      </c>
      <c r="AT8" s="817" t="s">
        <v>218</v>
      </c>
      <c r="AU8" s="817" t="s">
        <v>903</v>
      </c>
      <c r="AV8" s="817" t="s">
        <v>904</v>
      </c>
      <c r="AW8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Иранистика,Ирн(рб),Ирн,Иран,(зс)</v>
      </c>
      <c r="AX8" s="817" t="s">
        <v>905</v>
      </c>
      <c r="AY8" s="817" t="s">
        <v>937</v>
      </c>
      <c r="AZ8" s="817" t="s">
        <v>950</v>
      </c>
      <c r="BA8" s="817" t="s">
        <v>2813</v>
      </c>
      <c r="BB8" s="818">
        <v>1</v>
      </c>
      <c r="BC8" s="818">
        <v>1</v>
      </c>
      <c r="BF8" s="614" t="s">
        <v>896</v>
      </c>
      <c r="BG8" s="64" t="s">
        <v>218</v>
      </c>
      <c r="BH8" s="64" t="s">
        <v>33</v>
      </c>
      <c r="BI8" s="64" t="s">
        <v>898</v>
      </c>
      <c r="BJ8" s="64" t="s">
        <v>899</v>
      </c>
      <c r="BK8" t="s">
        <v>899</v>
      </c>
      <c r="BL8" t="s">
        <v>2768</v>
      </c>
      <c r="BQ8">
        <v>10100023</v>
      </c>
      <c r="BR8" s="15" t="s">
        <v>215</v>
      </c>
      <c r="BS8" t="s">
        <v>212</v>
      </c>
      <c r="BT8" t="s">
        <v>1151</v>
      </c>
      <c r="BU8" t="s">
        <v>682</v>
      </c>
      <c r="BV8" t="s">
        <v>680</v>
      </c>
    </row>
    <row r="9" spans="2:74" ht="16.5" x14ac:dyDescent="0.25">
      <c r="B9" s="614">
        <f ca="1">N(OFFSET(ТФакултет[[#This Row],[№]],-1,0))+1</f>
        <v>5</v>
      </c>
      <c r="C9" s="64" t="s">
        <v>45</v>
      </c>
      <c r="D9" s="614">
        <v>5</v>
      </c>
      <c r="E9" s="1001" t="s">
        <v>46</v>
      </c>
      <c r="F9" s="988"/>
      <c r="G9" s="988"/>
      <c r="H9" s="996">
        <f ca="1">N(OFFSET(ТръкДлъжност[[#This Row],[№]],-1,0))+1</f>
        <v>5</v>
      </c>
      <c r="I9" s="997" t="s">
        <v>977</v>
      </c>
      <c r="J9" s="1000" t="s">
        <v>159</v>
      </c>
      <c r="K9" s="999">
        <v>0.4</v>
      </c>
      <c r="N9" s="614">
        <f ca="1">N(OFFSET(ТобФакултет[[#This Row],[№]],-1,0))+1</f>
        <v>5</v>
      </c>
      <c r="O9" s="64" t="s">
        <v>48</v>
      </c>
      <c r="Y9" s="1011">
        <f ca="1">N(OFFSET(тПН[[#This Row],[№]],-1,0))+1</f>
        <v>5</v>
      </c>
      <c r="Z9" s="1010" t="s">
        <v>219</v>
      </c>
      <c r="AA9" s="1011" t="s">
        <v>223</v>
      </c>
      <c r="AB9" s="1013"/>
      <c r="AF9" s="1020">
        <f ca="1">N(OFFSET(T_УчПрактики[[#This Row],[№]],-1,0))+1</f>
        <v>5</v>
      </c>
      <c r="AG9" s="795" t="s">
        <v>887</v>
      </c>
      <c r="AH9" s="795" t="s">
        <v>888</v>
      </c>
      <c r="AI9" s="797">
        <v>60</v>
      </c>
      <c r="AJ9" s="797"/>
      <c r="AK9" s="797">
        <v>1</v>
      </c>
      <c r="AL9" s="1021"/>
      <c r="AM9" s="352" t="str">
        <f>IF(T_УчПрактики[[#This Row],[Студенти]],"с","")&amp;IF(T_УчПрактики[[#This Row],[Група]],"г","")&amp;IF(T_УчПрактики[[#This Row],[Ден]],"д","")</f>
        <v>г</v>
      </c>
      <c r="AQ9" s="819">
        <f ca="1">N(OFFSET(тЗащСпециалности[[#This Row],[№]],-1,0))+1</f>
        <v>6</v>
      </c>
      <c r="AR9" s="819" t="s">
        <v>33</v>
      </c>
      <c r="AS9" s="818" t="s">
        <v>896</v>
      </c>
      <c r="AT9" s="817" t="s">
        <v>218</v>
      </c>
      <c r="AU9" s="817" t="s">
        <v>906</v>
      </c>
      <c r="AV9" s="817" t="s">
        <v>907</v>
      </c>
      <c r="AW9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Китаистика,Кит(рб),Кит,Китаи,(зс)</v>
      </c>
      <c r="AX9" s="817" t="s">
        <v>908</v>
      </c>
      <c r="AY9" s="817" t="s">
        <v>938</v>
      </c>
      <c r="AZ9" s="817" t="s">
        <v>985</v>
      </c>
      <c r="BA9" s="817" t="s">
        <v>2813</v>
      </c>
      <c r="BB9" s="818">
        <v>1</v>
      </c>
      <c r="BC9" s="818">
        <v>1</v>
      </c>
      <c r="BF9" s="614" t="s">
        <v>896</v>
      </c>
      <c r="BG9" s="64" t="s">
        <v>218</v>
      </c>
      <c r="BH9" s="64" t="s">
        <v>33</v>
      </c>
      <c r="BI9" s="64" t="s">
        <v>946</v>
      </c>
      <c r="BJ9" s="64" t="s">
        <v>2813</v>
      </c>
      <c r="BK9" t="s">
        <v>2813</v>
      </c>
      <c r="BL9" t="s">
        <v>2813</v>
      </c>
      <c r="BP9">
        <v>11240</v>
      </c>
      <c r="BQ9">
        <v>1010000301</v>
      </c>
      <c r="BR9" s="15" t="s">
        <v>215</v>
      </c>
      <c r="BS9" t="s">
        <v>212</v>
      </c>
      <c r="BT9" t="s">
        <v>1151</v>
      </c>
      <c r="BU9" t="s">
        <v>682</v>
      </c>
      <c r="BV9" t="s">
        <v>1149</v>
      </c>
    </row>
    <row r="10" spans="2:74" ht="16.5" x14ac:dyDescent="0.25">
      <c r="B10" s="614">
        <f ca="1">N(OFFSET(ТФакултет[[#This Row],[№]],-1,0))+1</f>
        <v>6</v>
      </c>
      <c r="C10" s="64" t="s">
        <v>40</v>
      </c>
      <c r="D10" s="614">
        <v>6</v>
      </c>
      <c r="E10" s="1001" t="s">
        <v>626</v>
      </c>
      <c r="F10" s="988"/>
      <c r="G10" s="988"/>
      <c r="H10" s="996">
        <f ca="1">N(OFFSET(ТръкДлъжност[[#This Row],[№]],-1,0))+1</f>
        <v>6</v>
      </c>
      <c r="I10" s="1000" t="s">
        <v>2799</v>
      </c>
      <c r="J10" s="998" t="s">
        <v>160</v>
      </c>
      <c r="K10" s="999">
        <v>0.25</v>
      </c>
      <c r="N10" s="614">
        <f ca="1">N(OFFSET(ТобФакултет[[#This Row],[№]],-1,0))+1</f>
        <v>6</v>
      </c>
      <c r="O10" s="64" t="s">
        <v>46</v>
      </c>
      <c r="U10" t="s">
        <v>1083</v>
      </c>
      <c r="Y10" s="1011">
        <f ca="1">N(OFFSET(тПН[[#This Row],[№]],-1,0))+1</f>
        <v>6</v>
      </c>
      <c r="Z10" s="1010" t="s">
        <v>220</v>
      </c>
      <c r="AA10" s="1011" t="s">
        <v>224</v>
      </c>
      <c r="AB10" s="1013"/>
      <c r="AF10" s="1020">
        <f ca="1">N(OFFSET(T_УчПрактики[[#This Row],[№]],-1,0))+1</f>
        <v>6</v>
      </c>
      <c r="AG10" s="1203" t="s">
        <v>889</v>
      </c>
      <c r="AH10" s="1203" t="s">
        <v>890</v>
      </c>
      <c r="AI10" s="797">
        <v>3</v>
      </c>
      <c r="AJ10" s="797">
        <v>1</v>
      </c>
      <c r="AK10" s="797"/>
      <c r="AL10" s="797">
        <v>1</v>
      </c>
      <c r="AM10" s="352" t="str">
        <f>IF(T_УчПрактики[[#This Row],[Студенти]],"с","")&amp;IF(T_УчПрактики[[#This Row],[Група]],"г","")&amp;IF(T_УчПрактики[[#This Row],[Ден]],"д","")</f>
        <v>сд</v>
      </c>
      <c r="AQ10" s="819">
        <f ca="1">N(OFFSET(тЗащСпециалности[[#This Row],[№]],-1,0))+1</f>
        <v>7</v>
      </c>
      <c r="AR10" s="819" t="s">
        <v>33</v>
      </c>
      <c r="AS10" s="818" t="s">
        <v>896</v>
      </c>
      <c r="AT10" s="817" t="s">
        <v>218</v>
      </c>
      <c r="AU10" s="1218" t="s">
        <v>1143</v>
      </c>
      <c r="AV10" s="1218" t="s">
        <v>1065</v>
      </c>
      <c r="AW10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Класическа филология,КлФ(рб),КлФ,Класическа,(зс)</v>
      </c>
      <c r="AX10" s="817" t="s">
        <v>1069</v>
      </c>
      <c r="AY10" s="817" t="s">
        <v>1070</v>
      </c>
      <c r="AZ10" s="817" t="s">
        <v>1071</v>
      </c>
      <c r="BA10" s="817" t="s">
        <v>2813</v>
      </c>
      <c r="BB10" s="818">
        <v>1</v>
      </c>
      <c r="BC10" s="818"/>
      <c r="BF10" s="614" t="s">
        <v>896</v>
      </c>
      <c r="BG10" s="64" t="s">
        <v>218</v>
      </c>
      <c r="BH10" s="64" t="s">
        <v>33</v>
      </c>
      <c r="BI10" s="64" t="s">
        <v>946</v>
      </c>
      <c r="BJ10" s="64" t="s">
        <v>947</v>
      </c>
      <c r="BK10" t="s">
        <v>947</v>
      </c>
      <c r="BL10" t="s">
        <v>947</v>
      </c>
      <c r="BP10">
        <v>11237</v>
      </c>
      <c r="BQ10">
        <v>1010000301</v>
      </c>
      <c r="BR10" s="15" t="s">
        <v>215</v>
      </c>
      <c r="BS10" t="s">
        <v>212</v>
      </c>
      <c r="BT10" t="s">
        <v>1151</v>
      </c>
      <c r="BU10" t="s">
        <v>682</v>
      </c>
      <c r="BV10" t="s">
        <v>1153</v>
      </c>
    </row>
    <row r="11" spans="2:74" ht="16.5" x14ac:dyDescent="0.25">
      <c r="B11" s="614">
        <f ca="1">N(OFFSET(ТФакултет[[#This Row],[№]],-1,0))+1</f>
        <v>7</v>
      </c>
      <c r="C11" s="64" t="s">
        <v>41</v>
      </c>
      <c r="D11" s="614">
        <v>7</v>
      </c>
      <c r="E11" s="1001" t="s">
        <v>42</v>
      </c>
      <c r="F11" s="988"/>
      <c r="G11" s="988"/>
      <c r="H11" s="1099">
        <f ca="1">N(OFFSET(ТръкДлъжност[[#This Row],[№]],-1,0))+1</f>
        <v>7</v>
      </c>
      <c r="I11" s="1100" t="s">
        <v>2800</v>
      </c>
      <c r="J11" s="1101" t="s">
        <v>160</v>
      </c>
      <c r="K11" s="1102">
        <v>0.25</v>
      </c>
      <c r="N11" s="614">
        <f ca="1">N(OFFSET(ТобФакултет[[#This Row],[№]],-1,0))+1</f>
        <v>7</v>
      </c>
      <c r="O11" s="64" t="s">
        <v>626</v>
      </c>
      <c r="T11" t="s">
        <v>573</v>
      </c>
      <c r="U11" s="1103" t="s">
        <v>135</v>
      </c>
      <c r="Y11" s="1011">
        <f ca="1">N(OFFSET(тПН[[#This Row],[№]],-1,0))+1</f>
        <v>7</v>
      </c>
      <c r="Z11" s="1010" t="s">
        <v>221</v>
      </c>
      <c r="AA11" s="1011" t="s">
        <v>225</v>
      </c>
      <c r="AB11" s="1013"/>
      <c r="AF11" s="353">
        <f ca="1">N(OFFSET(T_УчПрактики[[#This Row],[№]],-1,0))+1</f>
        <v>7</v>
      </c>
      <c r="AG11" s="1204" t="s">
        <v>891</v>
      </c>
      <c r="AH11" s="1204" t="s">
        <v>892</v>
      </c>
      <c r="AI11" s="1104">
        <v>3</v>
      </c>
      <c r="AJ11" s="1104">
        <v>1</v>
      </c>
      <c r="AK11" s="1104"/>
      <c r="AL11" s="1104">
        <v>1</v>
      </c>
      <c r="AM11" s="1105" t="str">
        <f>IF(T_УчПрактики[[#This Row],[Студенти]],"с","")&amp;IF(T_УчПрактики[[#This Row],[Група]],"г","")&amp;IF(T_УчПрактики[[#This Row],[Ден]],"д","")</f>
        <v>сд</v>
      </c>
      <c r="AQ11" s="819">
        <f ca="1">N(OFFSET(тЗащСпециалности[[#This Row],[№]],-1,0))+1</f>
        <v>8</v>
      </c>
      <c r="AR11" s="819" t="s">
        <v>33</v>
      </c>
      <c r="AS11" s="818" t="s">
        <v>896</v>
      </c>
      <c r="AT11" s="817" t="s">
        <v>218</v>
      </c>
      <c r="AU11" s="817" t="s">
        <v>909</v>
      </c>
      <c r="AV11" s="817" t="s">
        <v>910</v>
      </c>
      <c r="AW11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Кореистика,Кор(рб),Кор,Кореи,(зс)</v>
      </c>
      <c r="AX11" s="817" t="s">
        <v>911</v>
      </c>
      <c r="AY11" s="817" t="s">
        <v>939</v>
      </c>
      <c r="AZ11" s="817" t="s">
        <v>986</v>
      </c>
      <c r="BA11" s="817" t="s">
        <v>2813</v>
      </c>
      <c r="BB11" s="818">
        <v>1</v>
      </c>
      <c r="BC11" s="818">
        <v>1</v>
      </c>
      <c r="BF11" s="614" t="s">
        <v>896</v>
      </c>
      <c r="BG11" s="64" t="s">
        <v>218</v>
      </c>
      <c r="BH11" s="64" t="s">
        <v>33</v>
      </c>
      <c r="BI11" s="64" t="s">
        <v>946</v>
      </c>
      <c r="BJ11" s="64" t="s">
        <v>951</v>
      </c>
      <c r="BK11" t="s">
        <v>951</v>
      </c>
      <c r="BL11" t="s">
        <v>2769</v>
      </c>
      <c r="BP11">
        <v>187549</v>
      </c>
      <c r="BQ11">
        <v>10100093</v>
      </c>
      <c r="BR11" s="15" t="s">
        <v>215</v>
      </c>
      <c r="BS11" t="s">
        <v>212</v>
      </c>
      <c r="BT11" t="s">
        <v>1152</v>
      </c>
      <c r="BU11" t="s">
        <v>682</v>
      </c>
      <c r="BV11" t="s">
        <v>1153</v>
      </c>
    </row>
    <row r="12" spans="2:74" ht="16.5" x14ac:dyDescent="0.25">
      <c r="B12" s="614">
        <f ca="1">N(OFFSET(ТФакултет[[#This Row],[№]],-1,0))+1</f>
        <v>8</v>
      </c>
      <c r="C12" s="64" t="s">
        <v>27</v>
      </c>
      <c r="D12" s="614">
        <v>8</v>
      </c>
      <c r="E12" s="1001" t="s">
        <v>628</v>
      </c>
      <c r="F12" s="988"/>
      <c r="G12" s="988"/>
      <c r="H12" s="996">
        <f ca="1">N(OFFSET(ТръкДлъжност[[#This Row],[№]],-1,0))+1</f>
        <v>8</v>
      </c>
      <c r="I12" s="997" t="s">
        <v>65</v>
      </c>
      <c r="J12" s="998" t="s">
        <v>156</v>
      </c>
      <c r="K12" s="999">
        <v>0.01</v>
      </c>
      <c r="N12" s="614">
        <f ca="1">N(OFFSET(ТобФакултет[[#This Row],[№]],-1,0))+1</f>
        <v>8</v>
      </c>
      <c r="O12" s="64" t="s">
        <v>42</v>
      </c>
      <c r="T12" s="614">
        <f ca="1">N(OFFSET(тСеместър[[#This Row],[№]],-1,0))+1</f>
        <v>1</v>
      </c>
      <c r="U12" s="64" t="s">
        <v>147</v>
      </c>
      <c r="Y12" s="1011">
        <f ca="1">N(OFFSET(тПН[[#This Row],[№]],-1,0))+1</f>
        <v>8</v>
      </c>
      <c r="Z12" s="1010" t="s">
        <v>226</v>
      </c>
      <c r="AA12" s="1011" t="s">
        <v>235</v>
      </c>
      <c r="AB12" s="1013"/>
      <c r="AF12" s="1020">
        <f ca="1">N(OFFSET(T_УчПрактики[[#This Row],[№]],-1,0))+1</f>
        <v>8</v>
      </c>
      <c r="AG12" s="1112" t="s">
        <v>1124</v>
      </c>
      <c r="AH12" s="351" t="s">
        <v>565</v>
      </c>
      <c r="AI12" s="352">
        <v>3</v>
      </c>
      <c r="AJ12" s="352"/>
      <c r="AK12" s="352">
        <v>1</v>
      </c>
      <c r="AL12" s="1020">
        <v>1</v>
      </c>
      <c r="AM12" s="352" t="str">
        <f>IF(T_УчПрактики[[#This Row],[Студенти]],"с","")&amp;IF(T_УчПрактики[[#This Row],[Група]],"г","")&amp;IF(T_УчПрактики[[#This Row],[Ден]],"д","")</f>
        <v>гд</v>
      </c>
      <c r="AQ12" s="819">
        <f ca="1">N(OFFSET(тЗащСпециалности[[#This Row],[№]],-1,0))+1</f>
        <v>9</v>
      </c>
      <c r="AR12" s="819" t="s">
        <v>33</v>
      </c>
      <c r="AS12" s="818" t="s">
        <v>896</v>
      </c>
      <c r="AT12" s="817" t="s">
        <v>218</v>
      </c>
      <c r="AU12" s="817" t="s">
        <v>912</v>
      </c>
      <c r="AV12" s="817" t="s">
        <v>913</v>
      </c>
      <c r="AW12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Новогръцка филология,НГФ(рб),НГФ,Новог,(зс)</v>
      </c>
      <c r="AX12" s="817" t="s">
        <v>914</v>
      </c>
      <c r="AY12" s="817" t="s">
        <v>940</v>
      </c>
      <c r="AZ12" s="817" t="s">
        <v>987</v>
      </c>
      <c r="BA12" s="817" t="s">
        <v>2813</v>
      </c>
      <c r="BB12" s="818">
        <v>1</v>
      </c>
      <c r="BC12" s="818">
        <v>1</v>
      </c>
      <c r="BF12" s="614" t="s">
        <v>896</v>
      </c>
      <c r="BG12" s="64" t="s">
        <v>218</v>
      </c>
      <c r="BH12" s="64" t="s">
        <v>33</v>
      </c>
      <c r="BI12" s="64" t="s">
        <v>946</v>
      </c>
      <c r="BJ12" s="64" t="s">
        <v>984</v>
      </c>
      <c r="BK12" t="s">
        <v>984</v>
      </c>
      <c r="BL12" t="s">
        <v>984</v>
      </c>
      <c r="BP12">
        <v>664992</v>
      </c>
      <c r="BQ12">
        <v>10100093</v>
      </c>
      <c r="BR12" s="15" t="s">
        <v>215</v>
      </c>
      <c r="BS12" t="s">
        <v>212</v>
      </c>
      <c r="BT12" t="s">
        <v>1152</v>
      </c>
      <c r="BU12" t="s">
        <v>682</v>
      </c>
      <c r="BV12" t="s">
        <v>1149</v>
      </c>
    </row>
    <row r="13" spans="2:74" ht="16.5" x14ac:dyDescent="0.25">
      <c r="B13" s="614">
        <f ca="1">N(OFFSET(ТФакултет[[#This Row],[№]],-1,0))+1</f>
        <v>9</v>
      </c>
      <c r="C13" s="64" t="s">
        <v>32</v>
      </c>
      <c r="D13" s="614">
        <v>9</v>
      </c>
      <c r="E13" s="1001" t="s">
        <v>33</v>
      </c>
      <c r="F13" s="988"/>
      <c r="G13" s="988"/>
      <c r="H13" s="988"/>
      <c r="I13" s="988"/>
      <c r="J13" s="988"/>
      <c r="K13" s="988"/>
      <c r="N13" s="614">
        <f ca="1">N(OFFSET(ТобФакултет[[#This Row],[№]],-1,0))+1</f>
        <v>9</v>
      </c>
      <c r="O13" s="64" t="s">
        <v>628</v>
      </c>
      <c r="T13" s="614">
        <f ca="1">N(OFFSET(тСеместър[[#This Row],[№]],-1,0))+1</f>
        <v>2</v>
      </c>
      <c r="U13" s="64" t="s">
        <v>148</v>
      </c>
      <c r="Y13" s="1011">
        <f ca="1">N(OFFSET(тПН[[#This Row],[№]],-1,0))+1</f>
        <v>9</v>
      </c>
      <c r="Z13" s="1010" t="s">
        <v>227</v>
      </c>
      <c r="AA13" s="1011" t="s">
        <v>236</v>
      </c>
      <c r="AB13" s="1013"/>
      <c r="AF13" s="1020">
        <f ca="1">N(OFFSET(T_УчПрактики[[#This Row],[№]],-1,0))+1</f>
        <v>9</v>
      </c>
      <c r="AG13" s="1112" t="s">
        <v>1125</v>
      </c>
      <c r="AH13" s="351" t="s">
        <v>679</v>
      </c>
      <c r="AI13" s="352">
        <v>3</v>
      </c>
      <c r="AJ13" s="352"/>
      <c r="AK13" s="352">
        <v>1</v>
      </c>
      <c r="AL13" s="1020"/>
      <c r="AM13" s="352" t="str">
        <f>IF(T_УчПрактики[[#This Row],[Студенти]],"с","")&amp;IF(T_УчПрактики[[#This Row],[Група]],"г","")&amp;IF(T_УчПрактики[[#This Row],[Ден]],"д","")</f>
        <v>г</v>
      </c>
      <c r="AQ13" s="819">
        <f ca="1">N(OFFSET(тЗащСпециалности[[#This Row],[№]],-1,0))+1</f>
        <v>10</v>
      </c>
      <c r="AR13" s="819" t="s">
        <v>33</v>
      </c>
      <c r="AS13" s="818" t="s">
        <v>896</v>
      </c>
      <c r="AT13" s="817" t="s">
        <v>218</v>
      </c>
      <c r="AU13" s="817" t="s">
        <v>915</v>
      </c>
      <c r="AV13" s="817" t="s">
        <v>916</v>
      </c>
      <c r="AW13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Португалска филология,ПорФ(рб),ПорФ,Португ,(зс)</v>
      </c>
      <c r="AX13" s="817" t="s">
        <v>917</v>
      </c>
      <c r="AY13" s="817" t="s">
        <v>941</v>
      </c>
      <c r="AZ13" s="817" t="s">
        <v>988</v>
      </c>
      <c r="BA13" s="817" t="s">
        <v>2813</v>
      </c>
      <c r="BB13" s="818">
        <v>1</v>
      </c>
      <c r="BC13" s="818">
        <v>1</v>
      </c>
      <c r="BF13" s="614" t="s">
        <v>896</v>
      </c>
      <c r="BG13" s="64" t="s">
        <v>218</v>
      </c>
      <c r="BH13" s="64" t="s">
        <v>33</v>
      </c>
      <c r="BI13" s="64" t="s">
        <v>946</v>
      </c>
      <c r="BJ13" s="64" t="s">
        <v>946</v>
      </c>
      <c r="BK13" t="s">
        <v>946</v>
      </c>
      <c r="BL13" t="s">
        <v>946</v>
      </c>
      <c r="BQ13">
        <v>10100033</v>
      </c>
      <c r="BR13" s="15" t="s">
        <v>215</v>
      </c>
      <c r="BS13" t="s">
        <v>212</v>
      </c>
      <c r="BT13" t="s">
        <v>1154</v>
      </c>
      <c r="BU13" t="s">
        <v>682</v>
      </c>
      <c r="BV13" t="s">
        <v>680</v>
      </c>
    </row>
    <row r="14" spans="2:74" ht="16.5" x14ac:dyDescent="0.25">
      <c r="B14" s="614">
        <f ca="1">N(OFFSET(ТФакултет[[#This Row],[№]],-1,0))+1</f>
        <v>10</v>
      </c>
      <c r="C14" s="64" t="s">
        <v>25</v>
      </c>
      <c r="D14" s="614">
        <v>10</v>
      </c>
      <c r="E14" s="1001" t="s">
        <v>26</v>
      </c>
      <c r="F14" s="988"/>
      <c r="G14" s="988"/>
      <c r="H14" s="988"/>
      <c r="I14" s="988"/>
      <c r="J14" s="988"/>
      <c r="K14" s="988"/>
      <c r="N14" s="614">
        <f ca="1">N(OFFSET(ТобФакултет[[#This Row],[№]],-1,0))+1</f>
        <v>10</v>
      </c>
      <c r="O14" s="64" t="s">
        <v>33</v>
      </c>
      <c r="Y14" s="1011">
        <f ca="1">N(OFFSET(тПН[[#This Row],[№]],-1,0))+1</f>
        <v>10</v>
      </c>
      <c r="Z14" s="1010" t="s">
        <v>228</v>
      </c>
      <c r="AA14" s="1011" t="s">
        <v>237</v>
      </c>
      <c r="AB14" s="1013"/>
      <c r="AF14" s="1020">
        <f ca="1">N(OFFSET(T_УчПрактики[[#This Row],[№]],-1,0))+1</f>
        <v>10</v>
      </c>
      <c r="AG14" s="1112" t="s">
        <v>1126</v>
      </c>
      <c r="AH14" s="351" t="s">
        <v>556</v>
      </c>
      <c r="AI14" s="352">
        <v>4</v>
      </c>
      <c r="AJ14" s="352"/>
      <c r="AK14" s="352"/>
      <c r="AL14" s="1020">
        <v>1</v>
      </c>
      <c r="AM14" s="352" t="str">
        <f>IF(T_УчПрактики[[#This Row],[Студенти]],"с","")&amp;IF(T_УчПрактики[[#This Row],[Група]],"г","")&amp;IF(T_УчПрактики[[#This Row],[Ден]],"д","")</f>
        <v>д</v>
      </c>
      <c r="AQ14" s="819">
        <f ca="1">N(OFFSET(тЗащСпециалности[[#This Row],[№]],-1,0))+1</f>
        <v>11</v>
      </c>
      <c r="AR14" s="819" t="s">
        <v>33</v>
      </c>
      <c r="AS14" s="818" t="s">
        <v>896</v>
      </c>
      <c r="AT14" s="817" t="s">
        <v>218</v>
      </c>
      <c r="AU14" s="817" t="s">
        <v>918</v>
      </c>
      <c r="AV14" s="817" t="s">
        <v>919</v>
      </c>
      <c r="AW14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Румънска филология,РумФ(рб),РумФ,Румънска,(зс)</v>
      </c>
      <c r="AX14" s="817" t="s">
        <v>920</v>
      </c>
      <c r="AY14" s="817" t="s">
        <v>942</v>
      </c>
      <c r="AZ14" s="817" t="s">
        <v>989</v>
      </c>
      <c r="BA14" s="817" t="s">
        <v>2813</v>
      </c>
      <c r="BB14" s="818">
        <v>1</v>
      </c>
      <c r="BC14" s="818">
        <v>1</v>
      </c>
      <c r="BF14" s="614" t="s">
        <v>896</v>
      </c>
      <c r="BG14" s="64" t="s">
        <v>218</v>
      </c>
      <c r="BH14" s="64" t="s">
        <v>33</v>
      </c>
      <c r="BI14" s="64" t="s">
        <v>1062</v>
      </c>
      <c r="BJ14" s="64" t="s">
        <v>2813</v>
      </c>
      <c r="BK14" t="s">
        <v>2813</v>
      </c>
      <c r="BL14" t="s">
        <v>1092</v>
      </c>
      <c r="BQ14">
        <v>10100012</v>
      </c>
      <c r="BR14" s="15" t="s">
        <v>215</v>
      </c>
      <c r="BS14" t="s">
        <v>212</v>
      </c>
      <c r="BT14" t="s">
        <v>1155</v>
      </c>
      <c r="BU14" t="s">
        <v>681</v>
      </c>
      <c r="BV14" t="s">
        <v>680</v>
      </c>
    </row>
    <row r="15" spans="2:74" ht="16.5" x14ac:dyDescent="0.25">
      <c r="B15" s="614">
        <f ca="1">N(OFFSET(ТФакултет[[#This Row],[№]],-1,0))+1</f>
        <v>11</v>
      </c>
      <c r="C15" s="64" t="s">
        <v>295</v>
      </c>
      <c r="D15" s="614">
        <v>11</v>
      </c>
      <c r="E15" s="1001" t="s">
        <v>296</v>
      </c>
      <c r="F15" s="988"/>
      <c r="G15" s="988"/>
      <c r="H15" t="s">
        <v>573</v>
      </c>
      <c r="I15" t="s">
        <v>601</v>
      </c>
      <c r="J15" t="s">
        <v>602</v>
      </c>
      <c r="K15" s="988"/>
      <c r="N15" s="614">
        <f ca="1">N(OFFSET(ТобФакултет[[#This Row],[№]],-1,0))+1</f>
        <v>11</v>
      </c>
      <c r="O15" s="64" t="s">
        <v>26</v>
      </c>
      <c r="Y15" s="1011">
        <f ca="1">N(OFFSET(тПН[[#This Row],[№]],-1,0))+1</f>
        <v>11</v>
      </c>
      <c r="Z15" s="1010" t="s">
        <v>229</v>
      </c>
      <c r="AA15" s="1011" t="s">
        <v>238</v>
      </c>
      <c r="AB15" s="1013"/>
      <c r="AF15" s="1020">
        <f ca="1">N(OFFSET(T_УчПрактики[[#This Row],[№]],-1,0))+1</f>
        <v>11</v>
      </c>
      <c r="AG15" s="1112" t="s">
        <v>1127</v>
      </c>
      <c r="AH15" s="351" t="s">
        <v>557</v>
      </c>
      <c r="AI15" s="352">
        <v>4</v>
      </c>
      <c r="AJ15" s="352"/>
      <c r="AK15" s="352"/>
      <c r="AL15" s="1020">
        <v>1</v>
      </c>
      <c r="AM15" s="352" t="str">
        <f>IF(T_УчПрактики[[#This Row],[Студенти]],"с","")&amp;IF(T_УчПрактики[[#This Row],[Група]],"г","")&amp;IF(T_УчПрактики[[#This Row],[Ден]],"д","")</f>
        <v>д</v>
      </c>
      <c r="AQ15" s="819">
        <f ca="1">N(OFFSET(тЗащСпециалности[[#This Row],[№]],-1,0))+1</f>
        <v>12</v>
      </c>
      <c r="AR15" s="819" t="s">
        <v>33</v>
      </c>
      <c r="AS15" s="818" t="s">
        <v>896</v>
      </c>
      <c r="AT15" s="817" t="s">
        <v>218</v>
      </c>
      <c r="AU15" s="817" t="s">
        <v>921</v>
      </c>
      <c r="AV15" s="817" t="s">
        <v>922</v>
      </c>
      <c r="AW15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Унгарска филология,УнгФ(рб),УнгФ,Унгарска,(зс)</v>
      </c>
      <c r="AX15" s="817" t="s">
        <v>923</v>
      </c>
      <c r="AY15" s="817" t="s">
        <v>943</v>
      </c>
      <c r="AZ15" s="817" t="s">
        <v>990</v>
      </c>
      <c r="BA15" s="817" t="s">
        <v>2813</v>
      </c>
      <c r="BB15" s="818">
        <v>1</v>
      </c>
      <c r="BC15" s="818">
        <v>1</v>
      </c>
      <c r="BF15" s="614" t="s">
        <v>896</v>
      </c>
      <c r="BG15" s="64" t="s">
        <v>218</v>
      </c>
      <c r="BH15" s="64" t="s">
        <v>33</v>
      </c>
      <c r="BI15" s="64" t="s">
        <v>1062</v>
      </c>
      <c r="BJ15" s="64" t="s">
        <v>1063</v>
      </c>
      <c r="BK15" t="s">
        <v>1063</v>
      </c>
      <c r="BL15" t="s">
        <v>1092</v>
      </c>
      <c r="BQ15">
        <v>10100013</v>
      </c>
      <c r="BR15" s="15" t="s">
        <v>215</v>
      </c>
      <c r="BS15" t="s">
        <v>212</v>
      </c>
      <c r="BT15" t="s">
        <v>1155</v>
      </c>
      <c r="BU15" t="s">
        <v>682</v>
      </c>
      <c r="BV15" t="s">
        <v>680</v>
      </c>
    </row>
    <row r="16" spans="2:74" ht="16.5" x14ac:dyDescent="0.25">
      <c r="B16" s="614">
        <f ca="1">N(OFFSET(ТФакултет[[#This Row],[№]],-1,0))+1</f>
        <v>12</v>
      </c>
      <c r="C16" s="64" t="s">
        <v>38</v>
      </c>
      <c r="D16" s="614">
        <v>12</v>
      </c>
      <c r="E16" s="1001" t="s">
        <v>39</v>
      </c>
      <c r="F16" s="988"/>
      <c r="G16" s="988"/>
      <c r="H16" s="15">
        <v>1</v>
      </c>
      <c r="I16" t="s">
        <v>596</v>
      </c>
      <c r="J16" t="s">
        <v>603</v>
      </c>
      <c r="K16" s="988"/>
      <c r="N16" s="614">
        <f ca="1">N(OFFSET(ТобФакултет[[#This Row],[№]],-1,0))+1</f>
        <v>12</v>
      </c>
      <c r="O16" s="64" t="s">
        <v>296</v>
      </c>
      <c r="U16" t="s">
        <v>1082</v>
      </c>
      <c r="Y16" s="1011">
        <f ca="1">N(OFFSET(тПН[[#This Row],[№]],-1,0))+1</f>
        <v>12</v>
      </c>
      <c r="Z16" s="1010" t="s">
        <v>230</v>
      </c>
      <c r="AA16" s="1011" t="s">
        <v>239</v>
      </c>
      <c r="AB16" s="1013"/>
      <c r="AF16" s="1020">
        <f ca="1">N(OFFSET(T_УчПрактики[[#This Row],[№]],-1,0))+1</f>
        <v>12</v>
      </c>
      <c r="AG16" s="1112" t="s">
        <v>1128</v>
      </c>
      <c r="AH16" s="351" t="s">
        <v>558</v>
      </c>
      <c r="AI16" s="352">
        <v>4</v>
      </c>
      <c r="AJ16" s="352"/>
      <c r="AK16" s="352"/>
      <c r="AL16" s="1020">
        <v>1</v>
      </c>
      <c r="AM16" s="352" t="str">
        <f>IF(T_УчПрактики[[#This Row],[Студенти]],"с","")&amp;IF(T_УчПрактики[[#This Row],[Група]],"г","")&amp;IF(T_УчПрактики[[#This Row],[Ден]],"д","")</f>
        <v>д</v>
      </c>
      <c r="AQ16" s="819">
        <f ca="1">N(OFFSET(тЗащСпециалности[[#This Row],[№]],-1,0))+1</f>
        <v>13</v>
      </c>
      <c r="AR16" s="819" t="s">
        <v>33</v>
      </c>
      <c r="AS16" s="818" t="s">
        <v>896</v>
      </c>
      <c r="AT16" s="817" t="s">
        <v>218</v>
      </c>
      <c r="AU16" s="817" t="s">
        <v>928</v>
      </c>
      <c r="AV16" s="817" t="s">
        <v>929</v>
      </c>
      <c r="AW16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Японистика,Япо(рб),Япо,Япони,(зс)</v>
      </c>
      <c r="AX16" s="817" t="s">
        <v>930</v>
      </c>
      <c r="AY16" s="817" t="s">
        <v>945</v>
      </c>
      <c r="AZ16" s="817" t="s">
        <v>991</v>
      </c>
      <c r="BA16" s="817" t="s">
        <v>2813</v>
      </c>
      <c r="BB16" s="818">
        <v>1</v>
      </c>
      <c r="BC16" s="818">
        <v>1</v>
      </c>
      <c r="BF16" s="614" t="s">
        <v>896</v>
      </c>
      <c r="BG16" s="64" t="s">
        <v>218</v>
      </c>
      <c r="BH16" s="64" t="s">
        <v>33</v>
      </c>
      <c r="BI16" s="64" t="s">
        <v>1062</v>
      </c>
      <c r="BJ16" s="64" t="s">
        <v>1072</v>
      </c>
      <c r="BK16" t="s">
        <v>1072</v>
      </c>
      <c r="BL16" t="s">
        <v>1092</v>
      </c>
      <c r="BQ16">
        <v>1020012327</v>
      </c>
      <c r="BR16" s="15" t="s">
        <v>216</v>
      </c>
      <c r="BS16" t="s">
        <v>213</v>
      </c>
      <c r="BT16" t="s">
        <v>1156</v>
      </c>
      <c r="BU16" t="s">
        <v>682</v>
      </c>
      <c r="BV16" t="s">
        <v>1153</v>
      </c>
    </row>
    <row r="17" spans="2:74" ht="16.5" x14ac:dyDescent="0.25">
      <c r="B17" s="614">
        <f ca="1">N(OFFSET(ТФакултет[[#This Row],[№]],-1,0))+1</f>
        <v>13</v>
      </c>
      <c r="C17" s="64" t="s">
        <v>37</v>
      </c>
      <c r="D17" s="614">
        <v>13</v>
      </c>
      <c r="E17" s="1001" t="s">
        <v>647</v>
      </c>
      <c r="F17" s="988"/>
      <c r="G17" s="988"/>
      <c r="H17" s="15">
        <v>2</v>
      </c>
      <c r="I17" t="s">
        <v>597</v>
      </c>
      <c r="J17" t="s">
        <v>604</v>
      </c>
      <c r="K17" s="988"/>
      <c r="N17" s="614">
        <f ca="1">N(OFFSET(ТобФакултет[[#This Row],[№]],-1,0))+1</f>
        <v>13</v>
      </c>
      <c r="O17" s="64" t="s">
        <v>39</v>
      </c>
      <c r="T17" s="64" t="s">
        <v>573</v>
      </c>
      <c r="U17" s="1087" t="s">
        <v>133</v>
      </c>
      <c r="Y17" s="1011">
        <f ca="1">N(OFFSET(тПН[[#This Row],[№]],-1,0))+1</f>
        <v>13</v>
      </c>
      <c r="Z17" s="1010" t="s">
        <v>231</v>
      </c>
      <c r="AA17" s="1011" t="s">
        <v>240</v>
      </c>
      <c r="AB17" s="1013"/>
      <c r="AQ17" s="819">
        <f ca="1">N(OFFSET(тЗащСпециалности[[#This Row],[№]],-1,0))+1</f>
        <v>14</v>
      </c>
      <c r="AR17" s="819" t="s">
        <v>48</v>
      </c>
      <c r="AS17" s="818" t="s">
        <v>924</v>
      </c>
      <c r="AT17" s="817" t="s">
        <v>226</v>
      </c>
      <c r="AU17" s="817" t="s">
        <v>925</v>
      </c>
      <c r="AV17" s="817" t="s">
        <v>926</v>
      </c>
      <c r="AW17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Хебраистика,Хебра(рб),Хебра,Хебра,(зс)</v>
      </c>
      <c r="AX17" s="817" t="s">
        <v>927</v>
      </c>
      <c r="AY17" s="817" t="s">
        <v>944</v>
      </c>
      <c r="AZ17" s="817" t="s">
        <v>944</v>
      </c>
      <c r="BA17" s="817" t="s">
        <v>2813</v>
      </c>
      <c r="BB17" s="818">
        <v>1</v>
      </c>
      <c r="BC17" s="818">
        <v>1</v>
      </c>
      <c r="BF17" s="614" t="s">
        <v>896</v>
      </c>
      <c r="BG17" s="64" t="s">
        <v>218</v>
      </c>
      <c r="BH17" s="64" t="s">
        <v>33</v>
      </c>
      <c r="BI17" s="64" t="s">
        <v>1062</v>
      </c>
      <c r="BJ17" s="64" t="s">
        <v>1064</v>
      </c>
      <c r="BK17" t="s">
        <v>1064</v>
      </c>
      <c r="BL17" t="s">
        <v>1092</v>
      </c>
      <c r="BQ17">
        <v>1020012324</v>
      </c>
      <c r="BR17" s="15" t="s">
        <v>216</v>
      </c>
      <c r="BS17" t="s">
        <v>213</v>
      </c>
      <c r="BT17" t="s">
        <v>1157</v>
      </c>
      <c r="BU17" t="s">
        <v>682</v>
      </c>
      <c r="BV17" t="s">
        <v>680</v>
      </c>
    </row>
    <row r="18" spans="2:74" ht="16.5" x14ac:dyDescent="0.25">
      <c r="B18" s="614">
        <f ca="1">N(OFFSET(ТФакултет[[#This Row],[№]],-1,0))+1</f>
        <v>14</v>
      </c>
      <c r="C18" s="64" t="s">
        <v>34</v>
      </c>
      <c r="D18" s="614">
        <v>14</v>
      </c>
      <c r="E18" s="1001" t="s">
        <v>35</v>
      </c>
      <c r="F18" s="988"/>
      <c r="G18" s="988"/>
      <c r="H18" s="15">
        <v>3</v>
      </c>
      <c r="I18" t="s">
        <v>598</v>
      </c>
      <c r="J18" t="s">
        <v>605</v>
      </c>
      <c r="K18" s="988"/>
      <c r="N18" s="614">
        <f ca="1">N(OFFSET(ТобФакултет[[#This Row],[№]],-1,0))+1</f>
        <v>14</v>
      </c>
      <c r="O18" s="64" t="s">
        <v>647</v>
      </c>
      <c r="T18" s="15">
        <f ca="1">N(OFFSET(тОКС[[#This Row],[№]],-1,0))+1</f>
        <v>1</v>
      </c>
      <c r="U18" t="s">
        <v>138</v>
      </c>
      <c r="Y18" s="1011">
        <f ca="1">N(OFFSET(тПН[[#This Row],[№]],-1,0))+1</f>
        <v>14</v>
      </c>
      <c r="Z18" s="1010" t="s">
        <v>232</v>
      </c>
      <c r="AA18" s="1011" t="s">
        <v>241</v>
      </c>
      <c r="AB18" s="1013"/>
      <c r="AQ18" s="819">
        <f ca="1">N(OFFSET(тЗащСпециалности[[#This Row],[№]],-1,0))+1</f>
        <v>15</v>
      </c>
      <c r="AR18" s="819" t="s">
        <v>628</v>
      </c>
      <c r="AS18" s="818">
        <v>4.0999999999999996</v>
      </c>
      <c r="AT18" s="817" t="s">
        <v>244</v>
      </c>
      <c r="AU18" s="1221">
        <v>40100042</v>
      </c>
      <c r="AV18" s="817" t="s">
        <v>2162</v>
      </c>
      <c r="AW18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Ядрена техника и ядрена енергетика,ЯТиЕ(рб),ЯТиЕ,Ядрена,(зс)</v>
      </c>
      <c r="AX18" t="s">
        <v>2781</v>
      </c>
      <c r="AY18" t="s">
        <v>2784</v>
      </c>
      <c r="AZ18" s="817" t="s">
        <v>2786</v>
      </c>
      <c r="BA18" s="817" t="s">
        <v>2813</v>
      </c>
      <c r="BB18" s="818">
        <v>1</v>
      </c>
      <c r="BC18" s="818"/>
      <c r="BF18" s="614" t="s">
        <v>896</v>
      </c>
      <c r="BG18" s="64" t="s">
        <v>218</v>
      </c>
      <c r="BH18" s="64" t="s">
        <v>33</v>
      </c>
      <c r="BI18" s="64" t="s">
        <v>1062</v>
      </c>
      <c r="BJ18" s="64" t="s">
        <v>1062</v>
      </c>
      <c r="BK18" t="s">
        <v>1062</v>
      </c>
      <c r="BL18" t="s">
        <v>1092</v>
      </c>
      <c r="BQ18">
        <v>1020006301</v>
      </c>
      <c r="BR18" s="15" t="s">
        <v>216</v>
      </c>
      <c r="BS18" t="s">
        <v>213</v>
      </c>
      <c r="BT18" t="s">
        <v>1158</v>
      </c>
      <c r="BU18" t="s">
        <v>682</v>
      </c>
      <c r="BV18" t="s">
        <v>1149</v>
      </c>
    </row>
    <row r="19" spans="2:74" ht="16.5" x14ac:dyDescent="0.25">
      <c r="B19" s="614">
        <f ca="1">N(OFFSET(ТФакултет[[#This Row],[№]],-1,0))+1</f>
        <v>15</v>
      </c>
      <c r="C19" s="64" t="s">
        <v>28</v>
      </c>
      <c r="D19" s="614">
        <v>15</v>
      </c>
      <c r="E19" s="1001" t="s">
        <v>29</v>
      </c>
      <c r="F19" s="988"/>
      <c r="G19" s="988"/>
      <c r="H19" s="15">
        <v>4</v>
      </c>
      <c r="I19" t="s">
        <v>599</v>
      </c>
      <c r="J19" t="s">
        <v>606</v>
      </c>
      <c r="K19" s="988"/>
      <c r="N19" s="614">
        <f ca="1">N(OFFSET(ТобФакултет[[#This Row],[№]],-1,0))+1</f>
        <v>15</v>
      </c>
      <c r="O19" s="64" t="s">
        <v>35</v>
      </c>
      <c r="T19" s="15">
        <f ca="1">N(OFFSET(тОКС[[#This Row],[№]],-1,0))+1</f>
        <v>2</v>
      </c>
      <c r="U19" t="s">
        <v>139</v>
      </c>
      <c r="Y19" s="1011">
        <f ca="1">N(OFFSET(тПН[[#This Row],[№]],-1,0))+1</f>
        <v>15</v>
      </c>
      <c r="Z19" s="1010" t="s">
        <v>233</v>
      </c>
      <c r="AA19" s="1011" t="s">
        <v>242</v>
      </c>
      <c r="AB19" s="1013"/>
      <c r="AQ19" s="819">
        <f ca="1">N(OFFSET(тЗащСпециалности[[#This Row],[№]],-1,0))+1</f>
        <v>16</v>
      </c>
      <c r="AR19" s="819" t="s">
        <v>628</v>
      </c>
      <c r="AS19" s="818">
        <v>4.0999999999999996</v>
      </c>
      <c r="AT19" s="817" t="s">
        <v>244</v>
      </c>
      <c r="AU19" s="1221">
        <v>40100043</v>
      </c>
      <c r="AV19" s="817" t="s">
        <v>2162</v>
      </c>
      <c r="AW19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Ядрена техника и ядрена енергетика,ЯТЯЕ(рм),ЯТЯЕ,Ядрена,(зс)</v>
      </c>
      <c r="AX19" t="s">
        <v>2782</v>
      </c>
      <c r="AY19" t="s">
        <v>2785</v>
      </c>
      <c r="AZ19" s="817" t="s">
        <v>2786</v>
      </c>
      <c r="BA19" s="817" t="s">
        <v>2813</v>
      </c>
      <c r="BB19" s="818">
        <v>1</v>
      </c>
      <c r="BC19" s="818"/>
      <c r="BF19" s="614" t="s">
        <v>896</v>
      </c>
      <c r="BG19" s="64" t="s">
        <v>218</v>
      </c>
      <c r="BH19" s="64" t="s">
        <v>33</v>
      </c>
      <c r="BI19" s="64" t="s">
        <v>901</v>
      </c>
      <c r="BJ19" s="64" t="s">
        <v>2813</v>
      </c>
      <c r="BK19" t="s">
        <v>2813</v>
      </c>
      <c r="BL19" t="s">
        <v>2813</v>
      </c>
      <c r="BQ19">
        <v>1020006301</v>
      </c>
      <c r="BR19" s="15" t="s">
        <v>216</v>
      </c>
      <c r="BS19" t="s">
        <v>213</v>
      </c>
      <c r="BT19" t="s">
        <v>1158</v>
      </c>
      <c r="BU19" t="s">
        <v>682</v>
      </c>
      <c r="BV19" t="s">
        <v>1153</v>
      </c>
    </row>
    <row r="20" spans="2:74" ht="16.5" x14ac:dyDescent="0.25">
      <c r="B20" s="614">
        <f ca="1">N(OFFSET(ТФакултет[[#This Row],[№]],-1,0))+1</f>
        <v>16</v>
      </c>
      <c r="C20" s="64" t="s">
        <v>43</v>
      </c>
      <c r="D20" s="614">
        <v>16</v>
      </c>
      <c r="E20" s="1001" t="s">
        <v>44</v>
      </c>
      <c r="F20" s="988"/>
      <c r="G20" s="988"/>
      <c r="H20" s="15">
        <v>5</v>
      </c>
      <c r="I20" t="s">
        <v>608</v>
      </c>
      <c r="J20" t="s">
        <v>609</v>
      </c>
      <c r="K20" s="988"/>
      <c r="N20" s="614">
        <f ca="1">N(OFFSET(ТобФакултет[[#This Row],[№]],-1,0))+1</f>
        <v>16</v>
      </c>
      <c r="O20" s="64" t="s">
        <v>29</v>
      </c>
      <c r="T20" s="15">
        <f ca="1">N(OFFSET(тОКС[[#This Row],[№]],-1,0))+1</f>
        <v>3</v>
      </c>
      <c r="U20" t="s">
        <v>140</v>
      </c>
      <c r="Y20" s="1011">
        <f ca="1">N(OFFSET(тПН[[#This Row],[№]],-1,0))+1</f>
        <v>16</v>
      </c>
      <c r="Z20" s="1010" t="s">
        <v>234</v>
      </c>
      <c r="AA20" s="1011" t="s">
        <v>243</v>
      </c>
      <c r="AB20" s="1013"/>
      <c r="AQ20" s="819">
        <f ca="1">N(OFFSET(тЗащСпециалности[[#This Row],[№]],-1,0))+1</f>
        <v>17</v>
      </c>
      <c r="AR20" s="819" t="s">
        <v>628</v>
      </c>
      <c r="AS20" s="818">
        <v>4.0999999999999996</v>
      </c>
      <c r="AT20" s="817" t="s">
        <v>244</v>
      </c>
      <c r="AU20" s="1221">
        <v>40100042</v>
      </c>
      <c r="AV20" s="817" t="s">
        <v>2162</v>
      </c>
      <c r="AW20" s="817" t="str">
        <f>CONCATENATE(тЗащСпециалности[[#This Row],[нСпециалност]],",",тЗащСпециалности[[#This Row],[аСпец1]],",",тЗащСпециалности[[#This Row],[аСпец2]],",",тЗащСпециалности[[#This Row],[аСпец3]],",",тЗащСпециалности[[#This Row],[аСпец4]])</f>
        <v>Ядрена техника и ядрена енергетика,ЯТЯЕ(рб),ЯТЯЕ,Ядрена,(зс)</v>
      </c>
      <c r="AX20" t="s">
        <v>2783</v>
      </c>
      <c r="AY20" t="s">
        <v>2785</v>
      </c>
      <c r="AZ20" s="817" t="s">
        <v>2786</v>
      </c>
      <c r="BA20" s="817" t="s">
        <v>2813</v>
      </c>
      <c r="BB20" s="818">
        <v>1</v>
      </c>
      <c r="BC20" s="818"/>
      <c r="BF20" s="614" t="s">
        <v>896</v>
      </c>
      <c r="BG20" s="64" t="s">
        <v>218</v>
      </c>
      <c r="BH20" s="64" t="s">
        <v>33</v>
      </c>
      <c r="BI20" s="64" t="s">
        <v>901</v>
      </c>
      <c r="BJ20" s="64" t="s">
        <v>936</v>
      </c>
      <c r="BK20" t="s">
        <v>936</v>
      </c>
      <c r="BL20" t="s">
        <v>936</v>
      </c>
      <c r="BQ20">
        <v>1020012301</v>
      </c>
      <c r="BR20" s="15" t="s">
        <v>216</v>
      </c>
      <c r="BS20" t="s">
        <v>213</v>
      </c>
      <c r="BT20" t="s">
        <v>1159</v>
      </c>
      <c r="BU20" t="s">
        <v>682</v>
      </c>
      <c r="BV20" t="s">
        <v>1149</v>
      </c>
    </row>
    <row r="21" spans="2:74" ht="16.5" x14ac:dyDescent="0.25">
      <c r="B21" s="614">
        <f ca="1">N(OFFSET(ТФакултет[[#This Row],[№]],-1,0))+1</f>
        <v>17</v>
      </c>
      <c r="C21" s="64" t="s">
        <v>741</v>
      </c>
      <c r="D21" s="614">
        <v>17</v>
      </c>
      <c r="E21" s="1001" t="s">
        <v>627</v>
      </c>
      <c r="F21" s="988"/>
      <c r="G21" s="988"/>
      <c r="H21" s="15">
        <v>6</v>
      </c>
      <c r="I21" t="s">
        <v>600</v>
      </c>
      <c r="J21" t="s">
        <v>607</v>
      </c>
      <c r="K21" s="988"/>
      <c r="N21" s="614">
        <f ca="1">N(OFFSET(ТобФакултет[[#This Row],[№]],-1,0))+1</f>
        <v>17</v>
      </c>
      <c r="O21" s="64" t="s">
        <v>44</v>
      </c>
      <c r="Y21" s="1011">
        <f ca="1">N(OFFSET(тПН[[#This Row],[№]],-1,0))+1</f>
        <v>17</v>
      </c>
      <c r="Z21" s="1010" t="s">
        <v>244</v>
      </c>
      <c r="AA21" s="1011" t="s">
        <v>250</v>
      </c>
      <c r="AB21" s="1013"/>
      <c r="BF21" s="614" t="s">
        <v>896</v>
      </c>
      <c r="BG21" s="64" t="s">
        <v>218</v>
      </c>
      <c r="BH21" s="64" t="s">
        <v>33</v>
      </c>
      <c r="BI21" s="64" t="s">
        <v>901</v>
      </c>
      <c r="BJ21" s="64" t="s">
        <v>902</v>
      </c>
      <c r="BK21" t="s">
        <v>902</v>
      </c>
      <c r="BL21" t="s">
        <v>2770</v>
      </c>
      <c r="BQ21">
        <v>1020012301</v>
      </c>
      <c r="BR21" s="15" t="s">
        <v>216</v>
      </c>
      <c r="BS21" t="s">
        <v>213</v>
      </c>
      <c r="BT21" t="s">
        <v>1159</v>
      </c>
      <c r="BU21" t="s">
        <v>682</v>
      </c>
      <c r="BV21" t="s">
        <v>1153</v>
      </c>
    </row>
    <row r="22" spans="2:74" ht="16.5" x14ac:dyDescent="0.25">
      <c r="B22" s="614">
        <f ca="1">N(OFFSET(ТФакултет[[#This Row],[№]],-1,0))+1</f>
        <v>18</v>
      </c>
      <c r="C22" s="64" t="s">
        <v>1022</v>
      </c>
      <c r="D22" s="614">
        <v>18</v>
      </c>
      <c r="E22" s="1001" t="s">
        <v>52</v>
      </c>
      <c r="F22" s="988"/>
      <c r="G22" s="988"/>
      <c r="H22" s="15">
        <v>7</v>
      </c>
      <c r="I22" t="s">
        <v>788</v>
      </c>
      <c r="J22" t="s">
        <v>610</v>
      </c>
      <c r="K22" s="988"/>
      <c r="N22" s="614">
        <f ca="1">N(OFFSET(ТобФакултет[[#This Row],[№]],-1,0))+1</f>
        <v>18</v>
      </c>
      <c r="O22" s="64" t="s">
        <v>7822</v>
      </c>
      <c r="Y22" s="1011">
        <f ca="1">N(OFFSET(тПН[[#This Row],[№]],-1,0))+1</f>
        <v>18</v>
      </c>
      <c r="Z22" s="1010" t="s">
        <v>245</v>
      </c>
      <c r="AA22" s="1011" t="s">
        <v>251</v>
      </c>
      <c r="AB22" s="1013"/>
      <c r="BF22" s="614" t="s">
        <v>896</v>
      </c>
      <c r="BG22" s="64" t="s">
        <v>218</v>
      </c>
      <c r="BH22" s="64" t="s">
        <v>33</v>
      </c>
      <c r="BI22" s="64" t="s">
        <v>901</v>
      </c>
      <c r="BJ22" s="64" t="s">
        <v>949</v>
      </c>
      <c r="BK22" t="s">
        <v>949</v>
      </c>
      <c r="BL22" t="s">
        <v>949</v>
      </c>
      <c r="BP22">
        <v>12693</v>
      </c>
      <c r="BQ22">
        <v>1020012302</v>
      </c>
      <c r="BR22" s="15" t="s">
        <v>216</v>
      </c>
      <c r="BS22" t="s">
        <v>213</v>
      </c>
      <c r="BT22" t="s">
        <v>1160</v>
      </c>
      <c r="BU22" t="s">
        <v>682</v>
      </c>
      <c r="BV22" t="s">
        <v>1149</v>
      </c>
    </row>
    <row r="23" spans="2:74" ht="16.5" x14ac:dyDescent="0.25">
      <c r="B23" s="614">
        <f ca="1">N(OFFSET(ТФакултет[[#This Row],[№]],-1,0))+1</f>
        <v>19</v>
      </c>
      <c r="C23" s="64" t="s">
        <v>53</v>
      </c>
      <c r="D23" s="614">
        <v>19</v>
      </c>
      <c r="E23" s="1001" t="s">
        <v>54</v>
      </c>
      <c r="F23" s="988"/>
      <c r="G23" s="988"/>
      <c r="H23" s="15">
        <v>8</v>
      </c>
      <c r="I23" t="s">
        <v>789</v>
      </c>
      <c r="J23" t="s">
        <v>611</v>
      </c>
      <c r="K23" s="988"/>
      <c r="Y23" s="1011">
        <f ca="1">N(OFFSET(тПН[[#This Row],[№]],-1,0))+1</f>
        <v>19</v>
      </c>
      <c r="Z23" s="1010" t="s">
        <v>246</v>
      </c>
      <c r="AA23" s="1011" t="s">
        <v>252</v>
      </c>
      <c r="AB23" s="1013"/>
      <c r="BF23" s="614" t="s">
        <v>896</v>
      </c>
      <c r="BG23" s="64" t="s">
        <v>218</v>
      </c>
      <c r="BH23" s="64" t="s">
        <v>33</v>
      </c>
      <c r="BI23" s="64" t="s">
        <v>901</v>
      </c>
      <c r="BJ23" s="64" t="s">
        <v>901</v>
      </c>
      <c r="BK23" t="s">
        <v>901</v>
      </c>
      <c r="BL23" t="s">
        <v>901</v>
      </c>
      <c r="BP23">
        <v>12692</v>
      </c>
      <c r="BQ23">
        <v>1020012302</v>
      </c>
      <c r="BR23" s="15" t="s">
        <v>216</v>
      </c>
      <c r="BS23" t="s">
        <v>213</v>
      </c>
      <c r="BT23" t="s">
        <v>1160</v>
      </c>
      <c r="BU23" t="s">
        <v>682</v>
      </c>
      <c r="BV23" t="s">
        <v>1153</v>
      </c>
    </row>
    <row r="24" spans="2:74" ht="16.5" x14ac:dyDescent="0.25">
      <c r="B24" s="614">
        <f ca="1">N(OFFSET(ТФакултет[[#This Row],[№]],-1,0))+1</f>
        <v>20</v>
      </c>
      <c r="C24" s="64" t="s">
        <v>55</v>
      </c>
      <c r="D24" s="614">
        <v>20</v>
      </c>
      <c r="E24" s="1001" t="s">
        <v>56</v>
      </c>
      <c r="F24" s="988"/>
      <c r="G24" s="988"/>
      <c r="H24" s="15">
        <v>9</v>
      </c>
      <c r="I24" t="s">
        <v>790</v>
      </c>
      <c r="J24" t="s">
        <v>612</v>
      </c>
      <c r="K24" s="988"/>
      <c r="Y24" s="1011">
        <f ca="1">N(OFFSET(тПН[[#This Row],[№]],-1,0))+1</f>
        <v>20</v>
      </c>
      <c r="Z24" s="1010" t="s">
        <v>247</v>
      </c>
      <c r="AA24" s="1011" t="s">
        <v>253</v>
      </c>
      <c r="AB24" s="1013"/>
      <c r="BF24" s="614" t="s">
        <v>896</v>
      </c>
      <c r="BG24" s="64" t="s">
        <v>218</v>
      </c>
      <c r="BH24" s="64" t="s">
        <v>33</v>
      </c>
      <c r="BI24" s="64" t="s">
        <v>904</v>
      </c>
      <c r="BJ24" s="64" t="s">
        <v>2813</v>
      </c>
      <c r="BK24" t="s">
        <v>2813</v>
      </c>
      <c r="BL24" t="s">
        <v>2813</v>
      </c>
      <c r="BP24">
        <v>548104</v>
      </c>
      <c r="BQ24">
        <v>10202273</v>
      </c>
      <c r="BR24" s="15" t="s">
        <v>216</v>
      </c>
      <c r="BS24" t="s">
        <v>213</v>
      </c>
      <c r="BT24" t="s">
        <v>5152</v>
      </c>
      <c r="BU24" t="s">
        <v>682</v>
      </c>
      <c r="BV24" t="s">
        <v>1153</v>
      </c>
    </row>
    <row r="25" spans="2:74" ht="16.5" x14ac:dyDescent="0.25">
      <c r="H25" s="15">
        <v>10</v>
      </c>
      <c r="I25" t="s">
        <v>791</v>
      </c>
      <c r="J25" t="s">
        <v>613</v>
      </c>
      <c r="K25" s="988"/>
      <c r="Y25" s="1011">
        <f ca="1">N(OFFSET(тПН[[#This Row],[№]],-1,0))+1</f>
        <v>21</v>
      </c>
      <c r="Z25" s="1010" t="s">
        <v>248</v>
      </c>
      <c r="AA25" s="1011" t="s">
        <v>254</v>
      </c>
      <c r="AB25" s="1013"/>
      <c r="BF25" s="614" t="s">
        <v>896</v>
      </c>
      <c r="BG25" s="64" t="s">
        <v>218</v>
      </c>
      <c r="BH25" s="64" t="s">
        <v>33</v>
      </c>
      <c r="BI25" s="64" t="s">
        <v>904</v>
      </c>
      <c r="BJ25" s="64" t="s">
        <v>950</v>
      </c>
      <c r="BK25" t="s">
        <v>950</v>
      </c>
      <c r="BL25" t="s">
        <v>950</v>
      </c>
      <c r="BP25">
        <v>548679</v>
      </c>
      <c r="BQ25">
        <v>10202273</v>
      </c>
      <c r="BR25" s="15" t="s">
        <v>216</v>
      </c>
      <c r="BS25" t="s">
        <v>213</v>
      </c>
      <c r="BT25" t="s">
        <v>5152</v>
      </c>
      <c r="BU25" t="s">
        <v>682</v>
      </c>
      <c r="BV25" t="s">
        <v>1149</v>
      </c>
    </row>
    <row r="26" spans="2:74" ht="16.5" x14ac:dyDescent="0.25">
      <c r="N26" s="1003" t="s">
        <v>573</v>
      </c>
      <c r="O26" s="1007" t="s">
        <v>981</v>
      </c>
      <c r="Y26" s="1011">
        <f ca="1">N(OFFSET(тПН[[#This Row],[№]],-1,0))+1</f>
        <v>22</v>
      </c>
      <c r="Z26" s="1010" t="s">
        <v>249</v>
      </c>
      <c r="AA26" s="1011" t="s">
        <v>255</v>
      </c>
      <c r="AB26" s="1013"/>
      <c r="BF26" s="614" t="s">
        <v>896</v>
      </c>
      <c r="BG26" s="64" t="s">
        <v>218</v>
      </c>
      <c r="BH26" s="64" t="s">
        <v>33</v>
      </c>
      <c r="BI26" s="64" t="s">
        <v>904</v>
      </c>
      <c r="BJ26" s="64" t="s">
        <v>904</v>
      </c>
      <c r="BK26" t="s">
        <v>904</v>
      </c>
      <c r="BL26" t="s">
        <v>904</v>
      </c>
      <c r="BP26">
        <v>548106</v>
      </c>
      <c r="BQ26">
        <v>10202273</v>
      </c>
      <c r="BR26" s="15" t="s">
        <v>216</v>
      </c>
      <c r="BS26" t="s">
        <v>213</v>
      </c>
      <c r="BT26" t="s">
        <v>5152</v>
      </c>
      <c r="BU26" t="s">
        <v>682</v>
      </c>
      <c r="BV26" t="s">
        <v>1149</v>
      </c>
    </row>
    <row r="27" spans="2:74" ht="16.5" x14ac:dyDescent="0.25">
      <c r="N27" s="15">
        <f ca="1">N(OFFSET(ТвидДисц[[#This Row],[№]],-1,0))+1</f>
        <v>1</v>
      </c>
      <c r="O27" s="1002" t="s">
        <v>79</v>
      </c>
      <c r="Y27" s="1011">
        <f ca="1">N(OFFSET(тПН[[#This Row],[№]],-1,0))+1</f>
        <v>23</v>
      </c>
      <c r="Z27" s="1014" t="s">
        <v>288</v>
      </c>
      <c r="AA27" s="1015" t="s">
        <v>289</v>
      </c>
      <c r="AB27" s="1013" t="s">
        <v>290</v>
      </c>
      <c r="BF27" s="614" t="s">
        <v>896</v>
      </c>
      <c r="BG27" s="64" t="s">
        <v>218</v>
      </c>
      <c r="BH27" s="64" t="s">
        <v>33</v>
      </c>
      <c r="BI27" s="64" t="s">
        <v>904</v>
      </c>
      <c r="BJ27" s="64" t="s">
        <v>937</v>
      </c>
      <c r="BK27" t="s">
        <v>937</v>
      </c>
      <c r="BL27" t="s">
        <v>937</v>
      </c>
      <c r="BQ27">
        <v>1020006302</v>
      </c>
      <c r="BR27" s="15" t="s">
        <v>216</v>
      </c>
      <c r="BS27" t="s">
        <v>213</v>
      </c>
      <c r="BT27" t="s">
        <v>1161</v>
      </c>
      <c r="BU27" t="s">
        <v>682</v>
      </c>
      <c r="BV27" t="s">
        <v>1149</v>
      </c>
    </row>
    <row r="28" spans="2:74" ht="16.5" x14ac:dyDescent="0.25">
      <c r="H28" t="s">
        <v>573</v>
      </c>
      <c r="I28" t="s">
        <v>601</v>
      </c>
      <c r="J28" t="s">
        <v>602</v>
      </c>
      <c r="N28" s="15">
        <f ca="1">N(OFFSET(ТвидДисц[[#This Row],[№]],-1,0))+1</f>
        <v>2</v>
      </c>
      <c r="O28" s="1002" t="s">
        <v>80</v>
      </c>
      <c r="Y28" s="1011">
        <f ca="1">N(OFFSET(тПН[[#This Row],[№]],-1,0))+1</f>
        <v>24</v>
      </c>
      <c r="Z28" s="1010" t="s">
        <v>256</v>
      </c>
      <c r="AA28" s="1011" t="s">
        <v>265</v>
      </c>
      <c r="AB28" s="1013"/>
      <c r="AQ28" s="1022">
        <v>13</v>
      </c>
      <c r="AR28" s="1022" t="s">
        <v>29</v>
      </c>
      <c r="AS28" s="1023">
        <v>4.2</v>
      </c>
      <c r="AT28" s="1024" t="s">
        <v>245</v>
      </c>
      <c r="AU28" s="1024"/>
      <c r="AV28" s="1024" t="s">
        <v>957</v>
      </c>
      <c r="AW28" s="1024"/>
      <c r="AX28" s="1024" t="s">
        <v>958</v>
      </c>
      <c r="AY28" s="1024" t="s">
        <v>959</v>
      </c>
      <c r="AZ28" s="12" t="s">
        <v>960</v>
      </c>
      <c r="BF28" s="614" t="s">
        <v>896</v>
      </c>
      <c r="BG28" s="64" t="s">
        <v>218</v>
      </c>
      <c r="BH28" s="64" t="s">
        <v>33</v>
      </c>
      <c r="BI28" s="64" t="s">
        <v>904</v>
      </c>
      <c r="BJ28" s="64" t="s">
        <v>905</v>
      </c>
      <c r="BK28" t="s">
        <v>905</v>
      </c>
      <c r="BL28" t="s">
        <v>2771</v>
      </c>
      <c r="BQ28">
        <v>1020006302</v>
      </c>
      <c r="BR28" s="15" t="s">
        <v>216</v>
      </c>
      <c r="BS28" t="s">
        <v>213</v>
      </c>
      <c r="BT28" t="s">
        <v>1161</v>
      </c>
      <c r="BU28" t="s">
        <v>682</v>
      </c>
      <c r="BV28" t="s">
        <v>1153</v>
      </c>
    </row>
    <row r="29" spans="2:74" ht="16.5" x14ac:dyDescent="0.25">
      <c r="H29" s="15">
        <v>1</v>
      </c>
      <c r="I29" t="s">
        <v>2803</v>
      </c>
      <c r="J29" t="s">
        <v>2807</v>
      </c>
      <c r="N29" s="15">
        <f ca="1">N(OFFSET(ТвидДисц[[#This Row],[№]],-1,0))+1</f>
        <v>3</v>
      </c>
      <c r="O29" s="1002" t="s">
        <v>81</v>
      </c>
      <c r="Y29" s="1011">
        <f ca="1">N(OFFSET(тПН[[#This Row],[№]],-1,0))+1</f>
        <v>25</v>
      </c>
      <c r="Z29" s="1010" t="s">
        <v>257</v>
      </c>
      <c r="AA29" s="1016" t="s">
        <v>266</v>
      </c>
      <c r="AB29" s="1013"/>
      <c r="BF29" s="614" t="s">
        <v>896</v>
      </c>
      <c r="BG29" s="64" t="s">
        <v>218</v>
      </c>
      <c r="BH29" s="64" t="s">
        <v>33</v>
      </c>
      <c r="BI29" s="64" t="s">
        <v>907</v>
      </c>
      <c r="BJ29" s="64" t="s">
        <v>2813</v>
      </c>
      <c r="BK29" t="s">
        <v>2813</v>
      </c>
      <c r="BL29" t="s">
        <v>2813</v>
      </c>
      <c r="BQ29">
        <v>1020012317</v>
      </c>
      <c r="BR29" s="15" t="s">
        <v>216</v>
      </c>
      <c r="BS29" t="s">
        <v>213</v>
      </c>
      <c r="BT29" t="s">
        <v>1162</v>
      </c>
      <c r="BU29" t="s">
        <v>682</v>
      </c>
      <c r="BV29" t="s">
        <v>680</v>
      </c>
    </row>
    <row r="30" spans="2:74" ht="16.5" x14ac:dyDescent="0.25">
      <c r="H30" s="15">
        <v>2</v>
      </c>
      <c r="I30" t="s">
        <v>2810</v>
      </c>
      <c r="J30" t="s">
        <v>2804</v>
      </c>
      <c r="Y30" s="1011">
        <f ca="1">N(OFFSET(тПН[[#This Row],[№]],-1,0))+1</f>
        <v>26</v>
      </c>
      <c r="Z30" s="1010" t="s">
        <v>258</v>
      </c>
      <c r="AA30" s="1016" t="s">
        <v>267</v>
      </c>
      <c r="AB30" s="1013"/>
      <c r="BF30" s="614" t="s">
        <v>896</v>
      </c>
      <c r="BG30" s="64" t="s">
        <v>218</v>
      </c>
      <c r="BH30" s="64" t="s">
        <v>33</v>
      </c>
      <c r="BI30" s="64" t="s">
        <v>907</v>
      </c>
      <c r="BJ30" s="64" t="s">
        <v>938</v>
      </c>
      <c r="BK30" t="s">
        <v>938</v>
      </c>
      <c r="BL30" t="s">
        <v>938</v>
      </c>
      <c r="BQ30">
        <v>1020012318</v>
      </c>
      <c r="BR30" s="15" t="s">
        <v>216</v>
      </c>
      <c r="BS30" t="s">
        <v>213</v>
      </c>
      <c r="BT30" t="s">
        <v>1162</v>
      </c>
      <c r="BU30" t="s">
        <v>682</v>
      </c>
      <c r="BV30" t="s">
        <v>1149</v>
      </c>
    </row>
    <row r="31" spans="2:74" ht="16.5" x14ac:dyDescent="0.25">
      <c r="F31" s="991"/>
      <c r="G31" s="991"/>
      <c r="H31" s="15">
        <v>3</v>
      </c>
      <c r="I31" t="s">
        <v>2805</v>
      </c>
      <c r="J31" t="s">
        <v>2809</v>
      </c>
      <c r="Y31" s="1011">
        <f ca="1">N(OFFSET(тПН[[#This Row],[№]],-1,0))+1</f>
        <v>27</v>
      </c>
      <c r="Z31" s="1010" t="s">
        <v>259</v>
      </c>
      <c r="AA31" s="1016" t="s">
        <v>268</v>
      </c>
      <c r="AB31" s="1013"/>
      <c r="BF31" s="614" t="s">
        <v>896</v>
      </c>
      <c r="BG31" s="64" t="s">
        <v>218</v>
      </c>
      <c r="BH31" s="64" t="s">
        <v>33</v>
      </c>
      <c r="BI31" s="64" t="s">
        <v>907</v>
      </c>
      <c r="BJ31" s="64" t="s">
        <v>908</v>
      </c>
      <c r="BK31" t="s">
        <v>908</v>
      </c>
      <c r="BL31" t="s">
        <v>2772</v>
      </c>
      <c r="BQ31">
        <v>1020012318</v>
      </c>
      <c r="BR31" s="15" t="s">
        <v>216</v>
      </c>
      <c r="BS31" t="s">
        <v>213</v>
      </c>
      <c r="BT31" t="s">
        <v>1162</v>
      </c>
      <c r="BU31" t="s">
        <v>682</v>
      </c>
      <c r="BV31" t="s">
        <v>1153</v>
      </c>
    </row>
    <row r="32" spans="2:74" ht="16.5" x14ac:dyDescent="0.25">
      <c r="F32" s="992"/>
      <c r="G32" s="992"/>
      <c r="H32" s="15">
        <v>4</v>
      </c>
      <c r="I32" t="s">
        <v>2806</v>
      </c>
      <c r="J32" t="s">
        <v>2808</v>
      </c>
      <c r="K32" s="991"/>
      <c r="Y32" s="1011">
        <f ca="1">N(OFFSET(тПН[[#This Row],[№]],-1,0))+1</f>
        <v>28</v>
      </c>
      <c r="Z32" s="1010" t="s">
        <v>260</v>
      </c>
      <c r="AA32" s="1011" t="s">
        <v>269</v>
      </c>
      <c r="AB32" s="1013"/>
      <c r="BF32" s="614" t="s">
        <v>896</v>
      </c>
      <c r="BG32" s="64" t="s">
        <v>218</v>
      </c>
      <c r="BH32" s="64" t="s">
        <v>33</v>
      </c>
      <c r="BI32" s="64" t="s">
        <v>907</v>
      </c>
      <c r="BJ32" s="64" t="s">
        <v>985</v>
      </c>
      <c r="BK32" t="s">
        <v>985</v>
      </c>
      <c r="BL32" t="s">
        <v>985</v>
      </c>
      <c r="BP32">
        <v>12705</v>
      </c>
      <c r="BQ32">
        <v>1020012325</v>
      </c>
      <c r="BR32" s="15" t="s">
        <v>216</v>
      </c>
      <c r="BS32" t="s">
        <v>213</v>
      </c>
      <c r="BT32" t="s">
        <v>1163</v>
      </c>
      <c r="BU32" t="s">
        <v>682</v>
      </c>
      <c r="BV32" t="s">
        <v>1149</v>
      </c>
    </row>
    <row r="33" spans="6:74" ht="16.5" x14ac:dyDescent="0.25">
      <c r="F33" s="992"/>
      <c r="G33" s="992"/>
      <c r="H33" s="992"/>
      <c r="I33" s="992"/>
      <c r="J33" s="992"/>
      <c r="K33" s="992"/>
      <c r="N33" t="s">
        <v>573</v>
      </c>
      <c r="O33" s="718" t="s">
        <v>975</v>
      </c>
      <c r="Y33" s="1011">
        <f ca="1">N(OFFSET(тПН[[#This Row],[№]],-1,0))+1</f>
        <v>29</v>
      </c>
      <c r="Z33" s="1010" t="s">
        <v>261</v>
      </c>
      <c r="AA33" s="1011" t="s">
        <v>270</v>
      </c>
      <c r="AB33" s="1013"/>
      <c r="BF33" s="614" t="s">
        <v>896</v>
      </c>
      <c r="BG33" s="64" t="s">
        <v>218</v>
      </c>
      <c r="BH33" s="64" t="s">
        <v>33</v>
      </c>
      <c r="BI33" s="64" t="s">
        <v>907</v>
      </c>
      <c r="BJ33" s="64" t="s">
        <v>907</v>
      </c>
      <c r="BK33" t="s">
        <v>907</v>
      </c>
      <c r="BL33" t="s">
        <v>907</v>
      </c>
      <c r="BP33">
        <v>12703</v>
      </c>
      <c r="BQ33">
        <v>1020012325</v>
      </c>
      <c r="BR33" s="15" t="s">
        <v>216</v>
      </c>
      <c r="BS33" t="s">
        <v>213</v>
      </c>
      <c r="BT33" t="s">
        <v>1163</v>
      </c>
      <c r="BU33" t="s">
        <v>682</v>
      </c>
      <c r="BV33" t="s">
        <v>1153</v>
      </c>
    </row>
    <row r="34" spans="6:74" ht="16.5" x14ac:dyDescent="0.25">
      <c r="F34" s="992"/>
      <c r="G34" s="992"/>
      <c r="K34" s="992"/>
      <c r="N34" s="15">
        <f ca="1">N(OFFSET(ТобФорма[[#This Row],[№]],-1,0))+1</f>
        <v>1</v>
      </c>
      <c r="O34" s="614" t="s">
        <v>76</v>
      </c>
      <c r="Y34" s="1011">
        <f ca="1">N(OFFSET(тПН[[#This Row],[№]],-1,0))+1</f>
        <v>30</v>
      </c>
      <c r="Z34" s="1010" t="s">
        <v>262</v>
      </c>
      <c r="AA34" s="1011" t="s">
        <v>271</v>
      </c>
      <c r="AB34" s="1013"/>
      <c r="BF34" s="614" t="s">
        <v>896</v>
      </c>
      <c r="BG34" s="64" t="s">
        <v>218</v>
      </c>
      <c r="BH34" s="64" t="s">
        <v>33</v>
      </c>
      <c r="BI34" s="64" t="s">
        <v>1065</v>
      </c>
      <c r="BJ34" s="64" t="s">
        <v>2813</v>
      </c>
      <c r="BK34" t="s">
        <v>2813</v>
      </c>
      <c r="BL34" t="s">
        <v>1092</v>
      </c>
      <c r="BP34">
        <v>12707</v>
      </c>
      <c r="BQ34">
        <v>1020012329</v>
      </c>
      <c r="BR34" s="15" t="s">
        <v>216</v>
      </c>
      <c r="BS34" t="s">
        <v>213</v>
      </c>
      <c r="BT34" t="s">
        <v>1164</v>
      </c>
      <c r="BU34" t="s">
        <v>682</v>
      </c>
      <c r="BV34" t="s">
        <v>1153</v>
      </c>
    </row>
    <row r="35" spans="6:74" ht="16.5" x14ac:dyDescent="0.25">
      <c r="F35" s="992"/>
      <c r="G35" s="992"/>
      <c r="H35" t="s">
        <v>46</v>
      </c>
      <c r="K35" s="992"/>
      <c r="N35" s="15">
        <f ca="1">N(OFFSET(ТобФорма[[#This Row],[№]],-1,0))+1</f>
        <v>2</v>
      </c>
      <c r="O35" s="614" t="s">
        <v>77</v>
      </c>
      <c r="Y35" s="1011">
        <f ca="1">N(OFFSET(тПН[[#This Row],[№]],-1,0))+1</f>
        <v>31</v>
      </c>
      <c r="Z35" s="1010" t="s">
        <v>263</v>
      </c>
      <c r="AA35" s="1011" t="s">
        <v>272</v>
      </c>
      <c r="AB35" s="1013"/>
      <c r="BF35" s="614" t="s">
        <v>896</v>
      </c>
      <c r="BG35" s="64" t="s">
        <v>218</v>
      </c>
      <c r="BH35" s="64" t="s">
        <v>33</v>
      </c>
      <c r="BI35" s="64" t="s">
        <v>1065</v>
      </c>
      <c r="BJ35" s="64" t="s">
        <v>1070</v>
      </c>
      <c r="BK35" t="s">
        <v>1070</v>
      </c>
      <c r="BL35" t="s">
        <v>1092</v>
      </c>
      <c r="BP35">
        <v>12708</v>
      </c>
      <c r="BQ35">
        <v>1020012329</v>
      </c>
      <c r="BR35" s="15" t="s">
        <v>216</v>
      </c>
      <c r="BS35" t="s">
        <v>213</v>
      </c>
      <c r="BT35" t="s">
        <v>1164</v>
      </c>
      <c r="BU35" t="s">
        <v>682</v>
      </c>
      <c r="BV35" t="s">
        <v>1149</v>
      </c>
    </row>
    <row r="36" spans="6:74" ht="16.5" x14ac:dyDescent="0.25">
      <c r="F36" s="993"/>
      <c r="G36" s="993"/>
      <c r="H36" t="s">
        <v>573</v>
      </c>
      <c r="I36" t="s">
        <v>601</v>
      </c>
      <c r="J36" t="s">
        <v>602</v>
      </c>
      <c r="K36" s="992"/>
      <c r="N36" s="15">
        <f ca="1">N(OFFSET(ТобФорма[[#This Row],[№]],-1,0))+1</f>
        <v>3</v>
      </c>
      <c r="O36" s="614" t="s">
        <v>78</v>
      </c>
      <c r="Y36" s="1011">
        <f ca="1">N(OFFSET(тПН[[#This Row],[№]],-1,0))+1</f>
        <v>32</v>
      </c>
      <c r="Z36" s="1010" t="s">
        <v>264</v>
      </c>
      <c r="AA36" s="1011" t="s">
        <v>273</v>
      </c>
      <c r="AB36" s="1013"/>
      <c r="BF36" s="614" t="s">
        <v>896</v>
      </c>
      <c r="BG36" s="64" t="s">
        <v>218</v>
      </c>
      <c r="BH36" s="64" t="s">
        <v>33</v>
      </c>
      <c r="BI36" s="64" t="s">
        <v>1065</v>
      </c>
      <c r="BJ36" s="64" t="s">
        <v>1069</v>
      </c>
      <c r="BK36" t="s">
        <v>1069</v>
      </c>
      <c r="BL36" t="s">
        <v>1092</v>
      </c>
      <c r="BP36">
        <v>278414</v>
      </c>
      <c r="BQ36">
        <v>10202133</v>
      </c>
      <c r="BR36" s="15" t="s">
        <v>216</v>
      </c>
      <c r="BS36" t="s">
        <v>213</v>
      </c>
      <c r="BT36" t="s">
        <v>1165</v>
      </c>
      <c r="BU36" t="s">
        <v>682</v>
      </c>
      <c r="BV36" t="s">
        <v>1153</v>
      </c>
    </row>
    <row r="37" spans="6:74" ht="16.5" x14ac:dyDescent="0.25">
      <c r="F37" s="992"/>
      <c r="G37" s="992"/>
      <c r="H37" s="15">
        <f ca="1">N(OFFSET(T_АкадДлъжХ_МФ[[#This Row],[№]],-1,0))+1</f>
        <v>1</v>
      </c>
      <c r="I37" t="s">
        <v>596</v>
      </c>
      <c r="J37" t="s">
        <v>603</v>
      </c>
      <c r="K37" s="993"/>
      <c r="N37" s="15">
        <f ca="1">N(OFFSET(ТобФорма[[#This Row],[№]],-1,0))+1</f>
        <v>4</v>
      </c>
      <c r="O37" s="614" t="s">
        <v>82</v>
      </c>
      <c r="Y37" s="1011">
        <f ca="1">N(OFFSET(тПН[[#This Row],[№]],-1,0))+1</f>
        <v>33</v>
      </c>
      <c r="Z37" s="1010" t="s">
        <v>274</v>
      </c>
      <c r="AA37" s="1011" t="s">
        <v>279</v>
      </c>
      <c r="AB37" s="1013"/>
      <c r="BF37" s="614" t="s">
        <v>896</v>
      </c>
      <c r="BG37" s="64" t="s">
        <v>218</v>
      </c>
      <c r="BH37" s="64" t="s">
        <v>33</v>
      </c>
      <c r="BI37" s="64" t="s">
        <v>1065</v>
      </c>
      <c r="BJ37" s="64" t="s">
        <v>1071</v>
      </c>
      <c r="BK37" t="s">
        <v>1071</v>
      </c>
      <c r="BL37" t="s">
        <v>1092</v>
      </c>
      <c r="BQ37">
        <v>10202283</v>
      </c>
      <c r="BR37" s="15" t="s">
        <v>216</v>
      </c>
      <c r="BS37" t="s">
        <v>213</v>
      </c>
      <c r="BT37" t="s">
        <v>9542</v>
      </c>
      <c r="BU37" t="s">
        <v>682</v>
      </c>
      <c r="BV37" t="s">
        <v>1153</v>
      </c>
    </row>
    <row r="38" spans="6:74" ht="16.5" x14ac:dyDescent="0.25">
      <c r="F38" s="992"/>
      <c r="G38" s="992"/>
      <c r="H38" s="15">
        <f ca="1">N(OFFSET(T_АкадДлъжХ_МФ[[#This Row],[№]],-1,0))+1</f>
        <v>2</v>
      </c>
      <c r="I38" t="s">
        <v>597</v>
      </c>
      <c r="J38" t="s">
        <v>604</v>
      </c>
      <c r="K38" s="992"/>
      <c r="Y38" s="1011">
        <f ca="1">N(OFFSET(тПН[[#This Row],[№]],-1,0))+1</f>
        <v>34</v>
      </c>
      <c r="Z38" s="1010" t="s">
        <v>275</v>
      </c>
      <c r="AA38" s="1011" t="s">
        <v>280</v>
      </c>
      <c r="AB38" s="1013"/>
      <c r="BF38" s="614" t="s">
        <v>896</v>
      </c>
      <c r="BG38" s="64" t="s">
        <v>218</v>
      </c>
      <c r="BH38" s="64" t="s">
        <v>33</v>
      </c>
      <c r="BI38" s="64" t="s">
        <v>1065</v>
      </c>
      <c r="BJ38" s="64" t="s">
        <v>1065</v>
      </c>
      <c r="BK38" t="s">
        <v>1065</v>
      </c>
      <c r="BL38" t="s">
        <v>1092</v>
      </c>
      <c r="BP38">
        <v>11272</v>
      </c>
      <c r="BQ38">
        <v>1020005319</v>
      </c>
      <c r="BR38" s="15" t="s">
        <v>216</v>
      </c>
      <c r="BS38" t="s">
        <v>213</v>
      </c>
      <c r="BT38" t="s">
        <v>1166</v>
      </c>
      <c r="BU38" t="s">
        <v>682</v>
      </c>
      <c r="BV38" t="s">
        <v>1167</v>
      </c>
    </row>
    <row r="39" spans="6:74" ht="16.5" x14ac:dyDescent="0.25">
      <c r="H39" s="15">
        <f ca="1">N(OFFSET(T_АкадДлъжХ_МФ[[#This Row],[№]],-1,0))+1</f>
        <v>3</v>
      </c>
      <c r="I39" t="s">
        <v>598</v>
      </c>
      <c r="J39" t="s">
        <v>605</v>
      </c>
      <c r="K39" s="992"/>
      <c r="Y39" s="1011">
        <f ca="1">N(OFFSET(тПН[[#This Row],[№]],-1,0))+1</f>
        <v>35</v>
      </c>
      <c r="Z39" s="1010" t="s">
        <v>276</v>
      </c>
      <c r="AA39" s="1011" t="s">
        <v>281</v>
      </c>
      <c r="AB39" s="1013"/>
      <c r="BF39" s="614" t="s">
        <v>896</v>
      </c>
      <c r="BG39" s="64" t="s">
        <v>218</v>
      </c>
      <c r="BH39" s="64" t="s">
        <v>33</v>
      </c>
      <c r="BI39" s="64" t="s">
        <v>910</v>
      </c>
      <c r="BJ39" s="64" t="s">
        <v>2813</v>
      </c>
      <c r="BK39" t="s">
        <v>2813</v>
      </c>
      <c r="BL39" t="s">
        <v>2813</v>
      </c>
      <c r="BQ39">
        <v>1020006303</v>
      </c>
      <c r="BR39" s="15" t="s">
        <v>216</v>
      </c>
      <c r="BS39" t="s">
        <v>213</v>
      </c>
      <c r="BT39" t="s">
        <v>1168</v>
      </c>
      <c r="BU39" t="s">
        <v>682</v>
      </c>
      <c r="BV39" t="s">
        <v>1149</v>
      </c>
    </row>
    <row r="40" spans="6:74" ht="16.5" x14ac:dyDescent="0.25">
      <c r="H40" s="15">
        <f ca="1">N(OFFSET(T_АкадДлъжХ_МФ[[#This Row],[№]],-1,0))+1</f>
        <v>4</v>
      </c>
      <c r="I40" t="s">
        <v>599</v>
      </c>
      <c r="J40" t="s">
        <v>606</v>
      </c>
      <c r="Y40" s="1011">
        <f ca="1">N(OFFSET(тПН[[#This Row],[№]],-1,0))+1</f>
        <v>36</v>
      </c>
      <c r="Z40" s="1010" t="s">
        <v>277</v>
      </c>
      <c r="AA40" s="1011" t="s">
        <v>282</v>
      </c>
      <c r="AB40" s="1013"/>
      <c r="BF40" s="614" t="s">
        <v>896</v>
      </c>
      <c r="BG40" s="64" t="s">
        <v>218</v>
      </c>
      <c r="BH40" s="64" t="s">
        <v>33</v>
      </c>
      <c r="BI40" s="64" t="s">
        <v>910</v>
      </c>
      <c r="BJ40" s="64" t="s">
        <v>939</v>
      </c>
      <c r="BK40" t="s">
        <v>939</v>
      </c>
      <c r="BL40" t="s">
        <v>939</v>
      </c>
      <c r="BQ40">
        <v>1020006303</v>
      </c>
      <c r="BR40" s="15" t="s">
        <v>216</v>
      </c>
      <c r="BS40" t="s">
        <v>213</v>
      </c>
      <c r="BT40" t="s">
        <v>1168</v>
      </c>
      <c r="BU40" t="s">
        <v>682</v>
      </c>
      <c r="BV40" t="s">
        <v>1153</v>
      </c>
    </row>
    <row r="41" spans="6:74" ht="16.5" x14ac:dyDescent="0.25">
      <c r="H41" s="15">
        <f ca="1">N(OFFSET(T_АкадДлъжХ_МФ[[#This Row],[№]],-1,0))+1</f>
        <v>5</v>
      </c>
      <c r="I41" t="s">
        <v>2803</v>
      </c>
      <c r="J41" t="s">
        <v>2807</v>
      </c>
      <c r="N41" s="718" t="s">
        <v>573</v>
      </c>
      <c r="O41" s="989" t="s">
        <v>973</v>
      </c>
      <c r="P41" s="1009" t="s">
        <v>95</v>
      </c>
      <c r="Y41" s="1011">
        <f ca="1">N(OFFSET(тПН[[#This Row],[№]],-1,0))+1</f>
        <v>37</v>
      </c>
      <c r="Z41" s="1010" t="s">
        <v>278</v>
      </c>
      <c r="AA41" s="1011" t="s">
        <v>283</v>
      </c>
      <c r="AB41" s="1013"/>
      <c r="BF41" s="614" t="s">
        <v>896</v>
      </c>
      <c r="BG41" s="64" t="s">
        <v>218</v>
      </c>
      <c r="BH41" s="64" t="s">
        <v>33</v>
      </c>
      <c r="BI41" s="64" t="s">
        <v>910</v>
      </c>
      <c r="BJ41" s="64" t="s">
        <v>911</v>
      </c>
      <c r="BK41" t="s">
        <v>911</v>
      </c>
      <c r="BL41" t="s">
        <v>2773</v>
      </c>
      <c r="BQ41">
        <v>1020006304</v>
      </c>
      <c r="BR41" s="15" t="s">
        <v>216</v>
      </c>
      <c r="BS41" t="s">
        <v>213</v>
      </c>
      <c r="BT41" t="s">
        <v>1169</v>
      </c>
      <c r="BU41" t="s">
        <v>682</v>
      </c>
      <c r="BV41" t="s">
        <v>1153</v>
      </c>
    </row>
    <row r="42" spans="6:74" ht="16.5" x14ac:dyDescent="0.25">
      <c r="H42" s="15">
        <f ca="1">N(OFFSET(T_АкадДлъжХ_МФ[[#This Row],[№]],-1,0))+1</f>
        <v>6</v>
      </c>
      <c r="I42" t="s">
        <v>2810</v>
      </c>
      <c r="J42" t="s">
        <v>2804</v>
      </c>
      <c r="N42" s="15">
        <f ca="1">N(OFFSET(ТкСтуденти[[#This Row],[№]],-1,0))+1</f>
        <v>1</v>
      </c>
      <c r="O42" s="15">
        <v>0</v>
      </c>
      <c r="P42" s="614">
        <v>0</v>
      </c>
      <c r="Y42" s="1011">
        <f ca="1">N(OFFSET(тПН[[#This Row],[№]],-1,0))+1</f>
        <v>38</v>
      </c>
      <c r="Z42" s="1010" t="s">
        <v>284</v>
      </c>
      <c r="AA42" s="1011" t="s">
        <v>286</v>
      </c>
      <c r="AB42" s="1013"/>
      <c r="BF42" s="614" t="s">
        <v>896</v>
      </c>
      <c r="BG42" s="64" t="s">
        <v>218</v>
      </c>
      <c r="BH42" s="64" t="s">
        <v>33</v>
      </c>
      <c r="BI42" s="64" t="s">
        <v>910</v>
      </c>
      <c r="BJ42" s="64" t="s">
        <v>986</v>
      </c>
      <c r="BK42" t="s">
        <v>986</v>
      </c>
      <c r="BL42" t="s">
        <v>986</v>
      </c>
      <c r="BQ42">
        <v>1020006319</v>
      </c>
      <c r="BR42" s="15" t="s">
        <v>216</v>
      </c>
      <c r="BS42" t="s">
        <v>213</v>
      </c>
      <c r="BT42" t="s">
        <v>1170</v>
      </c>
      <c r="BU42" t="s">
        <v>682</v>
      </c>
      <c r="BV42" t="s">
        <v>680</v>
      </c>
    </row>
    <row r="43" spans="6:74" ht="16.5" x14ac:dyDescent="0.25">
      <c r="H43" s="15">
        <f ca="1">N(OFFSET(T_АкадДлъжХ_МФ[[#This Row],[№]],-1,0))+1</f>
        <v>7</v>
      </c>
      <c r="I43" t="s">
        <v>2805</v>
      </c>
      <c r="J43" t="s">
        <v>2809</v>
      </c>
      <c r="N43" s="15">
        <f ca="1">N(OFFSET(ТкСтуденти[[#This Row],[№]],-1,0))+1</f>
        <v>2</v>
      </c>
      <c r="O43" s="15">
        <v>1</v>
      </c>
      <c r="P43" s="614">
        <v>0.2</v>
      </c>
      <c r="Y43" s="1011">
        <f ca="1">N(OFFSET(тПН[[#This Row],[№]],-1,0))+1</f>
        <v>39</v>
      </c>
      <c r="Z43" s="1010" t="s">
        <v>285</v>
      </c>
      <c r="AA43" s="1011" t="s">
        <v>287</v>
      </c>
      <c r="AB43" s="1013"/>
      <c r="BF43" s="614" t="s">
        <v>896</v>
      </c>
      <c r="BG43" s="64" t="s">
        <v>218</v>
      </c>
      <c r="BH43" s="64" t="s">
        <v>33</v>
      </c>
      <c r="BI43" s="64" t="s">
        <v>910</v>
      </c>
      <c r="BJ43" s="64" t="s">
        <v>910</v>
      </c>
      <c r="BK43" t="s">
        <v>910</v>
      </c>
      <c r="BL43" t="s">
        <v>910</v>
      </c>
      <c r="BQ43">
        <v>1020006320</v>
      </c>
      <c r="BR43" s="15" t="s">
        <v>216</v>
      </c>
      <c r="BS43" t="s">
        <v>213</v>
      </c>
      <c r="BT43" t="s">
        <v>1170</v>
      </c>
      <c r="BU43" t="s">
        <v>682</v>
      </c>
      <c r="BV43" t="s">
        <v>1149</v>
      </c>
    </row>
    <row r="44" spans="6:74" x14ac:dyDescent="0.25">
      <c r="H44" s="15">
        <f ca="1">N(OFFSET(T_АкадДлъжХ_МФ[[#This Row],[№]],-1,0))+1</f>
        <v>8</v>
      </c>
      <c r="I44" t="s">
        <v>2806</v>
      </c>
      <c r="J44" t="s">
        <v>2808</v>
      </c>
      <c r="N44" s="15">
        <f ca="1">N(OFFSET(ТкСтуденти[[#This Row],[№]],-1,0))+1</f>
        <v>3</v>
      </c>
      <c r="O44" s="15">
        <v>2</v>
      </c>
      <c r="P44" s="614">
        <v>0.3</v>
      </c>
      <c r="BF44" s="614" t="s">
        <v>896</v>
      </c>
      <c r="BG44" s="64" t="s">
        <v>218</v>
      </c>
      <c r="BH44" s="64" t="s">
        <v>33</v>
      </c>
      <c r="BI44" s="64" t="s">
        <v>913</v>
      </c>
      <c r="BJ44" s="64" t="s">
        <v>2813</v>
      </c>
      <c r="BK44" t="s">
        <v>2813</v>
      </c>
      <c r="BL44" t="s">
        <v>2813</v>
      </c>
      <c r="BP44">
        <v>11265</v>
      </c>
      <c r="BQ44">
        <v>1020005315</v>
      </c>
      <c r="BR44" s="15" t="s">
        <v>216</v>
      </c>
      <c r="BS44" t="s">
        <v>213</v>
      </c>
      <c r="BT44" t="s">
        <v>1171</v>
      </c>
      <c r="BU44" t="s">
        <v>682</v>
      </c>
      <c r="BV44" t="s">
        <v>1149</v>
      </c>
    </row>
    <row r="45" spans="6:74" x14ac:dyDescent="0.25">
      <c r="N45" s="15">
        <f ca="1">N(OFFSET(ТкСтуденти[[#This Row],[№]],-1,0))+1</f>
        <v>4</v>
      </c>
      <c r="O45" s="15">
        <v>3</v>
      </c>
      <c r="P45" s="614">
        <v>0.5</v>
      </c>
      <c r="BF45" s="614" t="s">
        <v>896</v>
      </c>
      <c r="BG45" s="64" t="s">
        <v>218</v>
      </c>
      <c r="BH45" s="64" t="s">
        <v>33</v>
      </c>
      <c r="BI45" s="64" t="s">
        <v>913</v>
      </c>
      <c r="BJ45" s="64" t="s">
        <v>940</v>
      </c>
      <c r="BK45" t="s">
        <v>940</v>
      </c>
      <c r="BL45" t="s">
        <v>940</v>
      </c>
      <c r="BP45">
        <v>11264</v>
      </c>
      <c r="BQ45">
        <v>1020005315</v>
      </c>
      <c r="BR45" s="15" t="s">
        <v>216</v>
      </c>
      <c r="BS45" t="s">
        <v>213</v>
      </c>
      <c r="BT45" t="s">
        <v>1171</v>
      </c>
      <c r="BU45" t="s">
        <v>682</v>
      </c>
      <c r="BV45" t="s">
        <v>1153</v>
      </c>
    </row>
    <row r="46" spans="6:74" x14ac:dyDescent="0.25">
      <c r="N46" s="15">
        <f ca="1">N(OFFSET(ТкСтуденти[[#This Row],[№]],-1,0))+1</f>
        <v>5</v>
      </c>
      <c r="O46" s="15">
        <v>4</v>
      </c>
      <c r="P46" s="614">
        <v>0.6</v>
      </c>
      <c r="BF46" s="614" t="s">
        <v>896</v>
      </c>
      <c r="BG46" s="64" t="s">
        <v>218</v>
      </c>
      <c r="BH46" s="64" t="s">
        <v>33</v>
      </c>
      <c r="BI46" s="64" t="s">
        <v>913</v>
      </c>
      <c r="BJ46" s="64" t="s">
        <v>914</v>
      </c>
      <c r="BK46" t="s">
        <v>914</v>
      </c>
      <c r="BL46" t="s">
        <v>2774</v>
      </c>
      <c r="BP46">
        <v>11267</v>
      </c>
      <c r="BQ46">
        <v>1020005317</v>
      </c>
      <c r="BR46" s="15" t="s">
        <v>216</v>
      </c>
      <c r="BS46" t="s">
        <v>213</v>
      </c>
      <c r="BT46" t="s">
        <v>1172</v>
      </c>
      <c r="BU46" t="s">
        <v>682</v>
      </c>
      <c r="BV46" t="s">
        <v>1153</v>
      </c>
    </row>
    <row r="47" spans="6:74" x14ac:dyDescent="0.25">
      <c r="N47" s="15">
        <f ca="1">N(OFFSET(ТкСтуденти[[#This Row],[№]],-1,0))+1</f>
        <v>6</v>
      </c>
      <c r="O47" s="15">
        <v>5</v>
      </c>
      <c r="P47" s="614">
        <v>0.8</v>
      </c>
      <c r="BF47" s="614" t="s">
        <v>896</v>
      </c>
      <c r="BG47" s="64" t="s">
        <v>218</v>
      </c>
      <c r="BH47" s="64" t="s">
        <v>33</v>
      </c>
      <c r="BI47" s="64" t="s">
        <v>913</v>
      </c>
      <c r="BJ47" s="64" t="s">
        <v>987</v>
      </c>
      <c r="BK47" t="s">
        <v>987</v>
      </c>
      <c r="BL47" t="s">
        <v>987</v>
      </c>
      <c r="BP47">
        <v>11269</v>
      </c>
      <c r="BQ47">
        <v>1020005317</v>
      </c>
      <c r="BR47" s="15" t="s">
        <v>216</v>
      </c>
      <c r="BS47" t="s">
        <v>213</v>
      </c>
      <c r="BT47" t="s">
        <v>1172</v>
      </c>
      <c r="BU47" t="s">
        <v>682</v>
      </c>
      <c r="BV47" t="s">
        <v>1149</v>
      </c>
    </row>
    <row r="48" spans="6:74" x14ac:dyDescent="0.25">
      <c r="N48" s="15">
        <f ca="1">N(OFFSET(ТкСтуденти[[#This Row],[№]],-1,0))+1</f>
        <v>7</v>
      </c>
      <c r="O48" s="15">
        <v>6</v>
      </c>
      <c r="P48" s="614">
        <v>1</v>
      </c>
      <c r="BF48" s="614" t="s">
        <v>896</v>
      </c>
      <c r="BG48" s="64" t="s">
        <v>218</v>
      </c>
      <c r="BH48" s="64" t="s">
        <v>33</v>
      </c>
      <c r="BI48" s="64" t="s">
        <v>913</v>
      </c>
      <c r="BJ48" s="64" t="s">
        <v>913</v>
      </c>
      <c r="BK48" t="s">
        <v>913</v>
      </c>
      <c r="BL48" t="s">
        <v>913</v>
      </c>
      <c r="BQ48">
        <v>1020006321</v>
      </c>
      <c r="BR48" s="15" t="s">
        <v>216</v>
      </c>
      <c r="BS48" t="s">
        <v>213</v>
      </c>
      <c r="BT48" t="s">
        <v>1173</v>
      </c>
      <c r="BU48" t="s">
        <v>682</v>
      </c>
      <c r="BV48" t="s">
        <v>1149</v>
      </c>
    </row>
    <row r="49" spans="3:74" x14ac:dyDescent="0.25">
      <c r="BF49" s="614" t="s">
        <v>896</v>
      </c>
      <c r="BG49" s="64" t="s">
        <v>218</v>
      </c>
      <c r="BH49" s="64" t="s">
        <v>33</v>
      </c>
      <c r="BI49" s="64" t="s">
        <v>916</v>
      </c>
      <c r="BJ49" s="64" t="s">
        <v>2813</v>
      </c>
      <c r="BK49" t="s">
        <v>2813</v>
      </c>
      <c r="BL49" t="s">
        <v>2813</v>
      </c>
      <c r="BP49">
        <v>11282</v>
      </c>
      <c r="BQ49">
        <v>1020077303</v>
      </c>
      <c r="BR49" s="15" t="s">
        <v>216</v>
      </c>
      <c r="BS49" t="s">
        <v>213</v>
      </c>
      <c r="BT49" t="s">
        <v>1174</v>
      </c>
      <c r="BU49" t="s">
        <v>682</v>
      </c>
      <c r="BV49" t="s">
        <v>1149</v>
      </c>
    </row>
    <row r="50" spans="3:74" x14ac:dyDescent="0.25">
      <c r="BF50" s="614" t="s">
        <v>896</v>
      </c>
      <c r="BG50" s="64" t="s">
        <v>218</v>
      </c>
      <c r="BH50" s="64" t="s">
        <v>33</v>
      </c>
      <c r="BI50" s="64" t="s">
        <v>916</v>
      </c>
      <c r="BJ50" s="64" t="s">
        <v>941</v>
      </c>
      <c r="BK50" t="s">
        <v>941</v>
      </c>
      <c r="BL50" t="s">
        <v>941</v>
      </c>
      <c r="BQ50">
        <v>1020005312</v>
      </c>
      <c r="BR50" s="15" t="s">
        <v>216</v>
      </c>
      <c r="BS50" t="s">
        <v>213</v>
      </c>
      <c r="BT50" t="s">
        <v>1175</v>
      </c>
      <c r="BU50" t="s">
        <v>682</v>
      </c>
      <c r="BV50" t="s">
        <v>1149</v>
      </c>
    </row>
    <row r="51" spans="3:74" x14ac:dyDescent="0.25">
      <c r="BF51" s="614" t="s">
        <v>896</v>
      </c>
      <c r="BG51" s="64" t="s">
        <v>218</v>
      </c>
      <c r="BH51" s="64" t="s">
        <v>33</v>
      </c>
      <c r="BI51" s="64" t="s">
        <v>916</v>
      </c>
      <c r="BJ51" s="64" t="s">
        <v>917</v>
      </c>
      <c r="BK51" t="s">
        <v>917</v>
      </c>
      <c r="BL51" t="s">
        <v>2775</v>
      </c>
      <c r="BQ51">
        <v>1020005313</v>
      </c>
      <c r="BR51" s="15" t="s">
        <v>216</v>
      </c>
      <c r="BS51" t="s">
        <v>213</v>
      </c>
      <c r="BT51" t="s">
        <v>1176</v>
      </c>
      <c r="BU51" t="s">
        <v>682</v>
      </c>
      <c r="BV51" t="s">
        <v>1149</v>
      </c>
    </row>
    <row r="52" spans="3:74" x14ac:dyDescent="0.25">
      <c r="N52" s="1004" t="s">
        <v>573</v>
      </c>
      <c r="O52" s="1006" t="s">
        <v>980</v>
      </c>
      <c r="P52" s="1005" t="s">
        <v>95</v>
      </c>
      <c r="BF52" s="614" t="s">
        <v>896</v>
      </c>
      <c r="BG52" s="64" t="s">
        <v>218</v>
      </c>
      <c r="BH52" s="64" t="s">
        <v>33</v>
      </c>
      <c r="BI52" s="64" t="s">
        <v>916</v>
      </c>
      <c r="BJ52" s="64" t="s">
        <v>988</v>
      </c>
      <c r="BK52" t="s">
        <v>988</v>
      </c>
      <c r="BL52" t="s">
        <v>988</v>
      </c>
      <c r="BQ52">
        <v>1020010309</v>
      </c>
      <c r="BR52" s="15" t="s">
        <v>216</v>
      </c>
      <c r="BS52" t="s">
        <v>213</v>
      </c>
      <c r="BT52" t="s">
        <v>1177</v>
      </c>
      <c r="BU52" t="s">
        <v>682</v>
      </c>
      <c r="BV52" t="s">
        <v>680</v>
      </c>
    </row>
    <row r="53" spans="3:74" x14ac:dyDescent="0.25">
      <c r="N53" s="614">
        <f ca="1">N(OFFSET(ТобЕзик[[#This Row],[№]],-1,0))+1</f>
        <v>1</v>
      </c>
      <c r="O53" s="64" t="s">
        <v>84</v>
      </c>
      <c r="P53" s="614">
        <v>1</v>
      </c>
      <c r="Y53" s="989" t="s">
        <v>573</v>
      </c>
      <c r="Z53" t="s">
        <v>998</v>
      </c>
      <c r="AA53" t="s">
        <v>999</v>
      </c>
      <c r="BF53" s="614" t="s">
        <v>896</v>
      </c>
      <c r="BG53" s="64" t="s">
        <v>218</v>
      </c>
      <c r="BH53" s="64" t="s">
        <v>33</v>
      </c>
      <c r="BI53" s="64" t="s">
        <v>916</v>
      </c>
      <c r="BJ53" s="64" t="s">
        <v>916</v>
      </c>
      <c r="BK53" t="s">
        <v>916</v>
      </c>
      <c r="BL53" t="s">
        <v>916</v>
      </c>
      <c r="BP53">
        <v>12700</v>
      </c>
      <c r="BQ53">
        <v>1020012322</v>
      </c>
      <c r="BR53" s="15" t="s">
        <v>216</v>
      </c>
      <c r="BS53" t="s">
        <v>213</v>
      </c>
      <c r="BT53" t="s">
        <v>1178</v>
      </c>
      <c r="BU53" t="s">
        <v>682</v>
      </c>
      <c r="BV53" t="s">
        <v>1149</v>
      </c>
    </row>
    <row r="54" spans="3:74" x14ac:dyDescent="0.25">
      <c r="N54" s="614">
        <f ca="1">N(OFFSET(ТобЕзик[[#This Row],[№]],-1,0))+1</f>
        <v>2</v>
      </c>
      <c r="O54" s="64" t="s">
        <v>83</v>
      </c>
      <c r="P54" s="614">
        <v>1.5</v>
      </c>
      <c r="Y54" s="15">
        <f ca="1">N(OFFSET(ТкрДРрецДИ[[#This Row],[№]],-1,0))+1</f>
        <v>1</v>
      </c>
      <c r="Z54" t="s">
        <v>97</v>
      </c>
      <c r="AA54">
        <v>5</v>
      </c>
      <c r="BF54" s="614" t="s">
        <v>896</v>
      </c>
      <c r="BG54" s="64" t="s">
        <v>218</v>
      </c>
      <c r="BH54" s="64" t="s">
        <v>33</v>
      </c>
      <c r="BI54" s="64" t="s">
        <v>919</v>
      </c>
      <c r="BJ54" s="64" t="s">
        <v>2813</v>
      </c>
      <c r="BK54" t="s">
        <v>2813</v>
      </c>
      <c r="BL54" t="s">
        <v>2813</v>
      </c>
      <c r="BP54">
        <v>12699</v>
      </c>
      <c r="BQ54">
        <v>1020012322</v>
      </c>
      <c r="BR54" s="15" t="s">
        <v>216</v>
      </c>
      <c r="BS54" t="s">
        <v>213</v>
      </c>
      <c r="BT54" t="s">
        <v>1178</v>
      </c>
      <c r="BU54" t="s">
        <v>682</v>
      </c>
      <c r="BV54" t="s">
        <v>1153</v>
      </c>
    </row>
    <row r="55" spans="3:74" x14ac:dyDescent="0.25">
      <c r="N55" s="614">
        <f ca="1">N(OFFSET(ТобЕзик[[#This Row],[№]],-1,0))+1</f>
        <v>3</v>
      </c>
      <c r="O55" s="64" t="s">
        <v>203</v>
      </c>
      <c r="P55" s="614">
        <v>1</v>
      </c>
      <c r="Y55" s="15">
        <f ca="1">N(OFFSET(ТкрДРрецДИ[[#This Row],[№]],-1,0))+1</f>
        <v>2</v>
      </c>
      <c r="Z55" t="s">
        <v>98</v>
      </c>
      <c r="AA55">
        <v>30</v>
      </c>
      <c r="BF55" s="614" t="s">
        <v>896</v>
      </c>
      <c r="BG55" s="64" t="s">
        <v>218</v>
      </c>
      <c r="BH55" s="64" t="s">
        <v>33</v>
      </c>
      <c r="BI55" s="64" t="s">
        <v>919</v>
      </c>
      <c r="BJ55" s="64" t="s">
        <v>942</v>
      </c>
      <c r="BK55" t="s">
        <v>942</v>
      </c>
      <c r="BL55" t="s">
        <v>942</v>
      </c>
      <c r="BP55">
        <v>12702</v>
      </c>
      <c r="BQ55">
        <v>1020012323</v>
      </c>
      <c r="BR55" s="15" t="s">
        <v>216</v>
      </c>
      <c r="BS55" t="s">
        <v>213</v>
      </c>
      <c r="BT55" t="s">
        <v>1178</v>
      </c>
      <c r="BU55" t="s">
        <v>682</v>
      </c>
      <c r="BV55" t="s">
        <v>1149</v>
      </c>
    </row>
    <row r="56" spans="3:74" x14ac:dyDescent="0.25">
      <c r="Y56" s="15">
        <f ca="1">N(OFFSET(ТкрДРрецДИ[[#This Row],[№]],-1,0))+1</f>
        <v>3</v>
      </c>
      <c r="Z56" t="s">
        <v>105</v>
      </c>
      <c r="AA56">
        <v>5</v>
      </c>
      <c r="BF56" s="614" t="s">
        <v>896</v>
      </c>
      <c r="BG56" s="64" t="s">
        <v>218</v>
      </c>
      <c r="BH56" s="64" t="s">
        <v>33</v>
      </c>
      <c r="BI56" s="64" t="s">
        <v>919</v>
      </c>
      <c r="BJ56" s="64" t="s">
        <v>920</v>
      </c>
      <c r="BK56" t="s">
        <v>920</v>
      </c>
      <c r="BL56" t="s">
        <v>2776</v>
      </c>
      <c r="BP56">
        <v>12701</v>
      </c>
      <c r="BQ56">
        <v>1020012323</v>
      </c>
      <c r="BR56" s="15" t="s">
        <v>216</v>
      </c>
      <c r="BS56" t="s">
        <v>213</v>
      </c>
      <c r="BT56" t="s">
        <v>1178</v>
      </c>
      <c r="BU56" t="s">
        <v>682</v>
      </c>
      <c r="BV56" t="s">
        <v>1153</v>
      </c>
    </row>
    <row r="57" spans="3:74" x14ac:dyDescent="0.25">
      <c r="C57" s="23" t="s">
        <v>100</v>
      </c>
      <c r="D57" s="24"/>
      <c r="Y57" s="15">
        <f ca="1">N(OFFSET(ТкрДРрецДИ[[#This Row],[№]],-1,0))+1</f>
        <v>4</v>
      </c>
      <c r="Z57" t="s">
        <v>99</v>
      </c>
      <c r="AA57">
        <v>0.8</v>
      </c>
      <c r="BF57" s="614" t="s">
        <v>896</v>
      </c>
      <c r="BG57" s="64" t="s">
        <v>218</v>
      </c>
      <c r="BH57" s="64" t="s">
        <v>33</v>
      </c>
      <c r="BI57" s="64" t="s">
        <v>919</v>
      </c>
      <c r="BJ57" s="64" t="s">
        <v>989</v>
      </c>
      <c r="BK57" t="s">
        <v>989</v>
      </c>
      <c r="BL57" t="s">
        <v>989</v>
      </c>
      <c r="BP57">
        <v>12689</v>
      </c>
      <c r="BQ57">
        <v>1020010311</v>
      </c>
      <c r="BR57" s="15" t="s">
        <v>216</v>
      </c>
      <c r="BS57" t="s">
        <v>213</v>
      </c>
      <c r="BT57" t="s">
        <v>1179</v>
      </c>
      <c r="BU57" t="s">
        <v>682</v>
      </c>
      <c r="BV57" t="s">
        <v>1153</v>
      </c>
    </row>
    <row r="58" spans="3:74" x14ac:dyDescent="0.25">
      <c r="C58" s="12" t="s">
        <v>184</v>
      </c>
      <c r="D58" s="12">
        <v>1</v>
      </c>
      <c r="BF58" s="614" t="s">
        <v>896</v>
      </c>
      <c r="BG58" s="64" t="s">
        <v>218</v>
      </c>
      <c r="BH58" s="64" t="s">
        <v>33</v>
      </c>
      <c r="BI58" s="64" t="s">
        <v>919</v>
      </c>
      <c r="BJ58" s="64" t="s">
        <v>919</v>
      </c>
      <c r="BK58" t="s">
        <v>919</v>
      </c>
      <c r="BL58" t="s">
        <v>919</v>
      </c>
      <c r="BP58">
        <v>12691</v>
      </c>
      <c r="BQ58">
        <v>1020010312</v>
      </c>
      <c r="BR58" s="15" t="s">
        <v>216</v>
      </c>
      <c r="BS58" t="s">
        <v>213</v>
      </c>
      <c r="BT58" t="s">
        <v>1180</v>
      </c>
      <c r="BU58" t="s">
        <v>682</v>
      </c>
      <c r="BV58" t="s">
        <v>1149</v>
      </c>
    </row>
    <row r="59" spans="3:74" x14ac:dyDescent="0.25">
      <c r="C59" s="12" t="s">
        <v>185</v>
      </c>
      <c r="D59" s="12">
        <v>2</v>
      </c>
      <c r="N59" s="718" t="s">
        <v>573</v>
      </c>
      <c r="O59" s="1008" t="s">
        <v>982</v>
      </c>
      <c r="BF59" s="614" t="s">
        <v>896</v>
      </c>
      <c r="BG59" s="64" t="s">
        <v>218</v>
      </c>
      <c r="BH59" s="64" t="s">
        <v>33</v>
      </c>
      <c r="BI59" s="64" t="s">
        <v>922</v>
      </c>
      <c r="BJ59" s="64" t="s">
        <v>2813</v>
      </c>
      <c r="BK59" t="s">
        <v>2813</v>
      </c>
      <c r="BL59" t="s">
        <v>2813</v>
      </c>
      <c r="BQ59">
        <v>10200013</v>
      </c>
      <c r="BR59" s="15" t="s">
        <v>216</v>
      </c>
      <c r="BS59" t="s">
        <v>213</v>
      </c>
      <c r="BT59" t="s">
        <v>1181</v>
      </c>
      <c r="BU59" t="s">
        <v>682</v>
      </c>
      <c r="BV59" t="s">
        <v>680</v>
      </c>
    </row>
    <row r="60" spans="3:74" ht="15.75" thickBot="1" x14ac:dyDescent="0.3">
      <c r="C60" s="1212" t="s">
        <v>181</v>
      </c>
      <c r="D60" s="1212">
        <v>1.5</v>
      </c>
      <c r="N60" s="15">
        <f ca="1">N(OFFSET(ТоцФорма[[#This Row],[№]],-1,0))+1</f>
        <v>1</v>
      </c>
      <c r="O60" t="s">
        <v>85</v>
      </c>
      <c r="BF60" s="614" t="s">
        <v>896</v>
      </c>
      <c r="BG60" s="64" t="s">
        <v>218</v>
      </c>
      <c r="BH60" s="64" t="s">
        <v>33</v>
      </c>
      <c r="BI60" s="64" t="s">
        <v>922</v>
      </c>
      <c r="BJ60" s="64" t="s">
        <v>943</v>
      </c>
      <c r="BK60" t="s">
        <v>943</v>
      </c>
      <c r="BL60" t="s">
        <v>943</v>
      </c>
      <c r="BP60">
        <v>12564</v>
      </c>
      <c r="BQ60">
        <v>10200022</v>
      </c>
      <c r="BR60" s="15" t="s">
        <v>216</v>
      </c>
      <c r="BS60" t="s">
        <v>213</v>
      </c>
      <c r="BT60" t="s">
        <v>1182</v>
      </c>
      <c r="BU60" t="s">
        <v>681</v>
      </c>
      <c r="BV60" t="s">
        <v>1153</v>
      </c>
    </row>
    <row r="61" spans="3:74" x14ac:dyDescent="0.25">
      <c r="C61" s="1206" t="s">
        <v>96</v>
      </c>
      <c r="D61" s="1207">
        <v>0.6</v>
      </c>
      <c r="N61" s="15">
        <f ca="1">N(OFFSET(ТоцФорма[[#This Row],[№]],-1,0))+1</f>
        <v>2</v>
      </c>
      <c r="O61" t="s">
        <v>86</v>
      </c>
      <c r="BF61" s="614" t="s">
        <v>896</v>
      </c>
      <c r="BG61" s="64" t="s">
        <v>218</v>
      </c>
      <c r="BH61" s="64" t="s">
        <v>33</v>
      </c>
      <c r="BI61" s="64" t="s">
        <v>922</v>
      </c>
      <c r="BJ61" s="64" t="s">
        <v>923</v>
      </c>
      <c r="BK61" t="s">
        <v>923</v>
      </c>
      <c r="BL61" t="s">
        <v>2777</v>
      </c>
      <c r="BQ61">
        <v>10200023</v>
      </c>
      <c r="BR61" s="15" t="s">
        <v>216</v>
      </c>
      <c r="BS61" t="s">
        <v>213</v>
      </c>
      <c r="BT61" t="s">
        <v>1182</v>
      </c>
      <c r="BU61" t="s">
        <v>682</v>
      </c>
      <c r="BV61" t="s">
        <v>1153</v>
      </c>
    </row>
    <row r="62" spans="3:74" x14ac:dyDescent="0.25">
      <c r="C62" s="1208" t="s">
        <v>180</v>
      </c>
      <c r="D62" s="1209">
        <v>0.3</v>
      </c>
      <c r="N62" s="15">
        <f ca="1">N(OFFSET(ТоцФорма[[#This Row],[№]],-1,0))+1</f>
        <v>3</v>
      </c>
      <c r="O62" t="s">
        <v>87</v>
      </c>
      <c r="BF62" s="614" t="s">
        <v>896</v>
      </c>
      <c r="BG62" s="64" t="s">
        <v>218</v>
      </c>
      <c r="BH62" s="64" t="s">
        <v>33</v>
      </c>
      <c r="BI62" s="64" t="s">
        <v>922</v>
      </c>
      <c r="BJ62" s="64" t="s">
        <v>990</v>
      </c>
      <c r="BK62" t="s">
        <v>990</v>
      </c>
      <c r="BL62" t="s">
        <v>990</v>
      </c>
      <c r="BP62">
        <v>12658</v>
      </c>
      <c r="BQ62">
        <v>1020002301</v>
      </c>
      <c r="BR62" s="15" t="s">
        <v>216</v>
      </c>
      <c r="BS62" t="s">
        <v>213</v>
      </c>
      <c r="BT62" t="s">
        <v>1182</v>
      </c>
      <c r="BU62" t="s">
        <v>682</v>
      </c>
      <c r="BV62" t="s">
        <v>1153</v>
      </c>
    </row>
    <row r="63" spans="3:74" x14ac:dyDescent="0.25">
      <c r="C63" s="1208" t="s">
        <v>189</v>
      </c>
      <c r="D63" s="1209">
        <v>0.9</v>
      </c>
      <c r="N63" s="15">
        <f ca="1">N(OFFSET(ТоцФорма[[#This Row],[№]],-1,0))+1</f>
        <v>4</v>
      </c>
      <c r="O63" t="s">
        <v>89</v>
      </c>
      <c r="BF63" s="614" t="s">
        <v>896</v>
      </c>
      <c r="BG63" s="64" t="s">
        <v>218</v>
      </c>
      <c r="BH63" s="64" t="s">
        <v>33</v>
      </c>
      <c r="BI63" s="64" t="s">
        <v>922</v>
      </c>
      <c r="BJ63" s="64" t="s">
        <v>922</v>
      </c>
      <c r="BK63" t="s">
        <v>922</v>
      </c>
      <c r="BL63" t="s">
        <v>922</v>
      </c>
      <c r="BQ63">
        <v>1020012303</v>
      </c>
      <c r="BR63" s="15" t="s">
        <v>216</v>
      </c>
      <c r="BS63" t="s">
        <v>213</v>
      </c>
      <c r="BT63" t="s">
        <v>1182</v>
      </c>
      <c r="BU63" t="s">
        <v>682</v>
      </c>
      <c r="BV63" t="s">
        <v>680</v>
      </c>
    </row>
    <row r="64" spans="3:74" x14ac:dyDescent="0.25">
      <c r="C64" s="1208" t="s">
        <v>128</v>
      </c>
      <c r="D64" s="1209">
        <v>0.5</v>
      </c>
      <c r="BF64" s="614" t="s">
        <v>896</v>
      </c>
      <c r="BG64" s="64" t="s">
        <v>218</v>
      </c>
      <c r="BH64" s="64" t="s">
        <v>33</v>
      </c>
      <c r="BI64" s="64" t="s">
        <v>929</v>
      </c>
      <c r="BJ64" s="64" t="s">
        <v>2813</v>
      </c>
      <c r="BK64" t="s">
        <v>2813</v>
      </c>
      <c r="BL64" t="s">
        <v>2813</v>
      </c>
      <c r="BP64">
        <v>12660</v>
      </c>
      <c r="BQ64">
        <v>1020002302</v>
      </c>
      <c r="BR64" s="15" t="s">
        <v>216</v>
      </c>
      <c r="BS64" t="s">
        <v>213</v>
      </c>
      <c r="BT64" t="s">
        <v>1183</v>
      </c>
      <c r="BU64" t="s">
        <v>682</v>
      </c>
      <c r="BV64" t="s">
        <v>1153</v>
      </c>
    </row>
    <row r="65" spans="3:74" ht="15.75" thickBot="1" x14ac:dyDescent="0.3">
      <c r="C65" s="1210" t="s">
        <v>129</v>
      </c>
      <c r="D65" s="1211">
        <v>0.5</v>
      </c>
      <c r="P65"/>
      <c r="BF65" s="614" t="s">
        <v>896</v>
      </c>
      <c r="BG65" s="64" t="s">
        <v>218</v>
      </c>
      <c r="BH65" s="64" t="s">
        <v>33</v>
      </c>
      <c r="BI65" s="64" t="s">
        <v>929</v>
      </c>
      <c r="BJ65" s="64" t="s">
        <v>945</v>
      </c>
      <c r="BK65" t="s">
        <v>945</v>
      </c>
      <c r="BL65" t="s">
        <v>945</v>
      </c>
      <c r="BP65">
        <v>12662</v>
      </c>
      <c r="BQ65">
        <v>1020002302</v>
      </c>
      <c r="BR65" s="15" t="s">
        <v>216</v>
      </c>
      <c r="BS65" t="s">
        <v>213</v>
      </c>
      <c r="BT65" t="s">
        <v>1183</v>
      </c>
      <c r="BU65" t="s">
        <v>682</v>
      </c>
      <c r="BV65" t="s">
        <v>1149</v>
      </c>
    </row>
    <row r="66" spans="3:74" x14ac:dyDescent="0.25">
      <c r="C66" s="1206" t="s">
        <v>97</v>
      </c>
      <c r="D66" s="1207">
        <v>5</v>
      </c>
      <c r="N66" t="s">
        <v>573</v>
      </c>
      <c r="O66" t="s">
        <v>974</v>
      </c>
      <c r="P66" s="989" t="s">
        <v>95</v>
      </c>
      <c r="BF66" s="614" t="s">
        <v>896</v>
      </c>
      <c r="BG66" s="64" t="s">
        <v>218</v>
      </c>
      <c r="BH66" s="64" t="s">
        <v>33</v>
      </c>
      <c r="BI66" s="64" t="s">
        <v>929</v>
      </c>
      <c r="BJ66" s="64" t="s">
        <v>930</v>
      </c>
      <c r="BK66" t="s">
        <v>930</v>
      </c>
      <c r="BL66" t="s">
        <v>2778</v>
      </c>
      <c r="BP66">
        <v>12664</v>
      </c>
      <c r="BQ66">
        <v>1020002303</v>
      </c>
      <c r="BR66" s="15" t="s">
        <v>216</v>
      </c>
      <c r="BS66" t="s">
        <v>213</v>
      </c>
      <c r="BT66" t="s">
        <v>1184</v>
      </c>
      <c r="BU66" t="s">
        <v>682</v>
      </c>
      <c r="BV66" t="s">
        <v>1153</v>
      </c>
    </row>
    <row r="67" spans="3:74" x14ac:dyDescent="0.25">
      <c r="C67" s="1208" t="s">
        <v>98</v>
      </c>
      <c r="D67" s="1209">
        <v>30</v>
      </c>
      <c r="N67" s="614">
        <f ca="1">N(OFFSET(ТвидИзпитващ[[#This Row],[№]],-1,0))+1</f>
        <v>1</v>
      </c>
      <c r="O67" s="64" t="s">
        <v>88</v>
      </c>
      <c r="P67" s="614">
        <v>0.6</v>
      </c>
      <c r="BF67" s="614" t="s">
        <v>896</v>
      </c>
      <c r="BG67" s="64" t="s">
        <v>218</v>
      </c>
      <c r="BH67" s="64" t="s">
        <v>33</v>
      </c>
      <c r="BI67" s="64" t="s">
        <v>929</v>
      </c>
      <c r="BJ67" s="64" t="s">
        <v>991</v>
      </c>
      <c r="BK67" t="s">
        <v>991</v>
      </c>
      <c r="BL67" t="s">
        <v>991</v>
      </c>
      <c r="BP67">
        <v>12665</v>
      </c>
      <c r="BQ67">
        <v>1020002303</v>
      </c>
      <c r="BR67" s="15" t="s">
        <v>216</v>
      </c>
      <c r="BS67" t="s">
        <v>213</v>
      </c>
      <c r="BT67" t="s">
        <v>1184</v>
      </c>
      <c r="BU67" t="s">
        <v>682</v>
      </c>
      <c r="BV67" t="s">
        <v>1149</v>
      </c>
    </row>
    <row r="68" spans="3:74" x14ac:dyDescent="0.25">
      <c r="C68" s="1208" t="s">
        <v>105</v>
      </c>
      <c r="D68" s="1209">
        <v>5</v>
      </c>
      <c r="N68" s="614">
        <f ca="1">N(OFFSET(ТвидИзпитващ[[#This Row],[№]],-1,0))+1</f>
        <v>2</v>
      </c>
      <c r="O68" s="64" t="s">
        <v>178</v>
      </c>
      <c r="P68" s="614">
        <v>0.3</v>
      </c>
      <c r="BF68" s="614" t="s">
        <v>896</v>
      </c>
      <c r="BG68" s="64" t="s">
        <v>218</v>
      </c>
      <c r="BH68" s="64" t="s">
        <v>33</v>
      </c>
      <c r="BI68" s="64" t="s">
        <v>929</v>
      </c>
      <c r="BJ68" s="64" t="s">
        <v>929</v>
      </c>
      <c r="BK68" t="s">
        <v>929</v>
      </c>
      <c r="BL68" t="s">
        <v>929</v>
      </c>
      <c r="BQ68">
        <v>10200032</v>
      </c>
      <c r="BR68" s="15" t="s">
        <v>216</v>
      </c>
      <c r="BS68" t="s">
        <v>213</v>
      </c>
      <c r="BT68" t="s">
        <v>1185</v>
      </c>
      <c r="BU68" t="s">
        <v>681</v>
      </c>
      <c r="BV68" t="s">
        <v>680</v>
      </c>
    </row>
    <row r="69" spans="3:74" ht="15.75" thickBot="1" x14ac:dyDescent="0.3">
      <c r="C69" s="1210" t="s">
        <v>99</v>
      </c>
      <c r="D69" s="1211">
        <v>0.8</v>
      </c>
      <c r="BF69" s="614" t="s">
        <v>924</v>
      </c>
      <c r="BG69" s="64" t="s">
        <v>226</v>
      </c>
      <c r="BH69" s="64" t="s">
        <v>48</v>
      </c>
      <c r="BI69" s="64" t="s">
        <v>926</v>
      </c>
      <c r="BJ69" s="64" t="s">
        <v>2813</v>
      </c>
      <c r="BK69" t="s">
        <v>2813</v>
      </c>
      <c r="BL69" t="s">
        <v>2813</v>
      </c>
      <c r="BQ69">
        <v>1020012316</v>
      </c>
      <c r="BR69" s="15" t="s">
        <v>216</v>
      </c>
      <c r="BS69" t="s">
        <v>213</v>
      </c>
      <c r="BT69" t="s">
        <v>1186</v>
      </c>
      <c r="BU69" t="s">
        <v>682</v>
      </c>
      <c r="BV69" t="s">
        <v>1149</v>
      </c>
    </row>
    <row r="70" spans="3:74" x14ac:dyDescent="0.25">
      <c r="C70" s="1205" t="s">
        <v>101</v>
      </c>
      <c r="D70" s="1205">
        <v>0.8</v>
      </c>
      <c r="BF70" s="614" t="s">
        <v>924</v>
      </c>
      <c r="BG70" s="64" t="s">
        <v>226</v>
      </c>
      <c r="BH70" s="64" t="s">
        <v>48</v>
      </c>
      <c r="BI70" s="64" t="s">
        <v>926</v>
      </c>
      <c r="BJ70" s="64" t="s">
        <v>944</v>
      </c>
      <c r="BK70" t="s">
        <v>944</v>
      </c>
      <c r="BL70" t="s">
        <v>944</v>
      </c>
      <c r="BQ70">
        <v>1020012316</v>
      </c>
      <c r="BR70" s="15" t="s">
        <v>216</v>
      </c>
      <c r="BS70" t="s">
        <v>213</v>
      </c>
      <c r="BT70" t="s">
        <v>1186</v>
      </c>
      <c r="BU70" t="s">
        <v>682</v>
      </c>
      <c r="BV70" t="s">
        <v>1153</v>
      </c>
    </row>
    <row r="71" spans="3:74" x14ac:dyDescent="0.25">
      <c r="C71" s="50" t="s">
        <v>102</v>
      </c>
      <c r="D71" s="50">
        <v>0.5</v>
      </c>
      <c r="O71" t="s">
        <v>328</v>
      </c>
      <c r="BF71" s="614" t="s">
        <v>924</v>
      </c>
      <c r="BG71" s="64" t="s">
        <v>226</v>
      </c>
      <c r="BH71" s="64" t="s">
        <v>48</v>
      </c>
      <c r="BI71" s="64" t="s">
        <v>926</v>
      </c>
      <c r="BJ71" s="64" t="s">
        <v>944</v>
      </c>
      <c r="BK71" t="s">
        <v>944</v>
      </c>
      <c r="BL71" t="s">
        <v>944</v>
      </c>
      <c r="BQ71">
        <v>1020012304</v>
      </c>
      <c r="BR71" s="15" t="s">
        <v>216</v>
      </c>
      <c r="BS71" t="s">
        <v>213</v>
      </c>
      <c r="BT71" t="s">
        <v>1187</v>
      </c>
      <c r="BU71" t="s">
        <v>682</v>
      </c>
      <c r="BV71" t="s">
        <v>1149</v>
      </c>
    </row>
    <row r="72" spans="3:74" x14ac:dyDescent="0.25">
      <c r="C72" s="50" t="s">
        <v>103</v>
      </c>
      <c r="D72" s="50">
        <v>0.3</v>
      </c>
      <c r="N72" t="s">
        <v>573</v>
      </c>
      <c r="O72" t="s">
        <v>975</v>
      </c>
      <c r="P72" s="989" t="s">
        <v>95</v>
      </c>
      <c r="BF72" s="614" t="s">
        <v>924</v>
      </c>
      <c r="BG72" s="64" t="s">
        <v>226</v>
      </c>
      <c r="BH72" s="64" t="s">
        <v>48</v>
      </c>
      <c r="BI72" s="64" t="s">
        <v>926</v>
      </c>
      <c r="BJ72" s="64" t="s">
        <v>927</v>
      </c>
      <c r="BK72" t="s">
        <v>927</v>
      </c>
      <c r="BL72" t="s">
        <v>2779</v>
      </c>
      <c r="BQ72">
        <v>1020012304</v>
      </c>
      <c r="BR72" s="15" t="s">
        <v>216</v>
      </c>
      <c r="BS72" t="s">
        <v>213</v>
      </c>
      <c r="BT72" t="s">
        <v>1187</v>
      </c>
      <c r="BU72" t="s">
        <v>682</v>
      </c>
      <c r="BV72" t="s">
        <v>1153</v>
      </c>
    </row>
    <row r="73" spans="3:74" x14ac:dyDescent="0.25">
      <c r="C73" s="50" t="s">
        <v>104</v>
      </c>
      <c r="D73" s="50">
        <v>0.2</v>
      </c>
      <c r="N73" s="15">
        <f ca="1">N(OFFSET(тТО[[#This Row],[№]],-1,0))+1</f>
        <v>1</v>
      </c>
      <c r="O73" t="s">
        <v>76</v>
      </c>
      <c r="P73">
        <v>0.5</v>
      </c>
      <c r="BF73" s="614" t="s">
        <v>924</v>
      </c>
      <c r="BG73" s="64" t="s">
        <v>226</v>
      </c>
      <c r="BH73" s="64" t="s">
        <v>48</v>
      </c>
      <c r="BI73" s="64" t="s">
        <v>926</v>
      </c>
      <c r="BJ73" s="64" t="s">
        <v>926</v>
      </c>
      <c r="BK73" t="s">
        <v>926</v>
      </c>
      <c r="BL73" t="s">
        <v>926</v>
      </c>
      <c r="BQ73">
        <v>1020012305</v>
      </c>
      <c r="BR73" s="15" t="s">
        <v>216</v>
      </c>
      <c r="BS73" t="s">
        <v>213</v>
      </c>
      <c r="BT73" t="s">
        <v>1188</v>
      </c>
      <c r="BU73" t="s">
        <v>682</v>
      </c>
      <c r="BV73" t="s">
        <v>1149</v>
      </c>
    </row>
    <row r="74" spans="3:74" x14ac:dyDescent="0.25">
      <c r="C74" s="12" t="s">
        <v>125</v>
      </c>
      <c r="D74" s="32">
        <v>1</v>
      </c>
      <c r="N74" s="15">
        <f ca="1">N(OFFSET(тТО[[#This Row],[№]],-1,0))+1</f>
        <v>2</v>
      </c>
      <c r="O74" t="s">
        <v>77</v>
      </c>
      <c r="P74">
        <v>0.5</v>
      </c>
      <c r="BF74" s="614" t="s">
        <v>2780</v>
      </c>
      <c r="BG74" s="64" t="s">
        <v>244</v>
      </c>
      <c r="BH74" s="64" t="s">
        <v>628</v>
      </c>
      <c r="BI74" s="64" t="s">
        <v>2162</v>
      </c>
      <c r="BJ74" s="64" t="s">
        <v>2813</v>
      </c>
      <c r="BK74" t="s">
        <v>2813</v>
      </c>
      <c r="BL74" t="s">
        <v>1092</v>
      </c>
      <c r="BQ74">
        <v>1020012305</v>
      </c>
      <c r="BR74" s="15" t="s">
        <v>216</v>
      </c>
      <c r="BS74" t="s">
        <v>213</v>
      </c>
      <c r="BT74" t="s">
        <v>1188</v>
      </c>
      <c r="BU74" t="s">
        <v>682</v>
      </c>
      <c r="BV74" t="s">
        <v>1153</v>
      </c>
    </row>
    <row r="75" spans="3:74" x14ac:dyDescent="0.25">
      <c r="C75" s="12" t="s">
        <v>126</v>
      </c>
      <c r="D75" s="32">
        <v>2</v>
      </c>
      <c r="N75" s="15">
        <f ca="1">N(OFFSET(тТО[[#This Row],[№]],-1,0))+1</f>
        <v>3</v>
      </c>
      <c r="O75" t="s">
        <v>78</v>
      </c>
      <c r="P75">
        <v>0.5</v>
      </c>
      <c r="BF75" s="614" t="s">
        <v>2780</v>
      </c>
      <c r="BG75" s="64" t="s">
        <v>244</v>
      </c>
      <c r="BH75" s="64" t="s">
        <v>628</v>
      </c>
      <c r="BI75" s="64" t="s">
        <v>2162</v>
      </c>
      <c r="BJ75" s="64" t="s">
        <v>2813</v>
      </c>
      <c r="BK75" t="s">
        <v>2813</v>
      </c>
      <c r="BL75" t="s">
        <v>1092</v>
      </c>
      <c r="BQ75">
        <v>1020012319</v>
      </c>
      <c r="BR75" s="15" t="s">
        <v>216</v>
      </c>
      <c r="BS75" t="s">
        <v>213</v>
      </c>
      <c r="BT75" t="s">
        <v>1189</v>
      </c>
      <c r="BU75" t="s">
        <v>682</v>
      </c>
      <c r="BV75" t="s">
        <v>1153</v>
      </c>
    </row>
    <row r="76" spans="3:74" x14ac:dyDescent="0.25">
      <c r="C76" s="12" t="s">
        <v>164</v>
      </c>
      <c r="D76" s="12">
        <v>120</v>
      </c>
      <c r="N76" s="15">
        <f ca="1">N(OFFSET(тТО[[#This Row],[№]],-1,0))+1</f>
        <v>4</v>
      </c>
      <c r="O76" t="s">
        <v>82</v>
      </c>
      <c r="P76">
        <v>0.5</v>
      </c>
      <c r="BF76" s="614" t="s">
        <v>2780</v>
      </c>
      <c r="BG76" s="64" t="s">
        <v>244</v>
      </c>
      <c r="BH76" s="64" t="s">
        <v>628</v>
      </c>
      <c r="BI76" s="64" t="s">
        <v>2162</v>
      </c>
      <c r="BJ76" s="64" t="s">
        <v>2813</v>
      </c>
      <c r="BK76" t="s">
        <v>2813</v>
      </c>
      <c r="BL76" t="s">
        <v>1092</v>
      </c>
      <c r="BP76">
        <v>12625</v>
      </c>
      <c r="BQ76">
        <v>10201922</v>
      </c>
      <c r="BR76" s="15" t="s">
        <v>216</v>
      </c>
      <c r="BS76" t="s">
        <v>213</v>
      </c>
      <c r="BT76" t="s">
        <v>1190</v>
      </c>
      <c r="BU76" t="s">
        <v>681</v>
      </c>
      <c r="BV76" t="s">
        <v>1153</v>
      </c>
    </row>
    <row r="77" spans="3:74" x14ac:dyDescent="0.25">
      <c r="C77" s="12" t="s">
        <v>165</v>
      </c>
      <c r="D77" s="12">
        <v>90</v>
      </c>
      <c r="BF77" s="614" t="s">
        <v>2780</v>
      </c>
      <c r="BG77" s="64" t="s">
        <v>244</v>
      </c>
      <c r="BH77" s="64" t="s">
        <v>628</v>
      </c>
      <c r="BI77" s="64" t="s">
        <v>2162</v>
      </c>
      <c r="BJ77" s="64" t="s">
        <v>2785</v>
      </c>
      <c r="BK77" t="s">
        <v>2785</v>
      </c>
      <c r="BL77" t="s">
        <v>1092</v>
      </c>
      <c r="BQ77">
        <v>1020006318</v>
      </c>
      <c r="BR77" s="15" t="s">
        <v>216</v>
      </c>
      <c r="BS77" t="s">
        <v>213</v>
      </c>
      <c r="BT77" t="s">
        <v>1191</v>
      </c>
      <c r="BU77" t="s">
        <v>682</v>
      </c>
      <c r="BV77" t="s">
        <v>680</v>
      </c>
    </row>
    <row r="78" spans="3:74" x14ac:dyDescent="0.25">
      <c r="C78" s="12" t="s">
        <v>166</v>
      </c>
      <c r="D78" s="12">
        <v>60</v>
      </c>
      <c r="P78"/>
      <c r="BF78" s="614" t="s">
        <v>2780</v>
      </c>
      <c r="BG78" s="64" t="s">
        <v>244</v>
      </c>
      <c r="BH78" s="64" t="s">
        <v>628</v>
      </c>
      <c r="BI78" s="64" t="s">
        <v>2162</v>
      </c>
      <c r="BJ78" s="64" t="s">
        <v>2785</v>
      </c>
      <c r="BK78" t="s">
        <v>2785</v>
      </c>
      <c r="BL78" t="s">
        <v>1092</v>
      </c>
      <c r="BQ78">
        <v>1020010310</v>
      </c>
      <c r="BR78" s="15" t="s">
        <v>216</v>
      </c>
      <c r="BS78" t="s">
        <v>213</v>
      </c>
      <c r="BT78" t="s">
        <v>1191</v>
      </c>
      <c r="BU78" t="s">
        <v>682</v>
      </c>
      <c r="BV78" t="s">
        <v>680</v>
      </c>
    </row>
    <row r="79" spans="3:74" x14ac:dyDescent="0.25">
      <c r="C79" s="12" t="s">
        <v>141</v>
      </c>
      <c r="D79" s="12">
        <v>2</v>
      </c>
      <c r="P79"/>
      <c r="BF79" s="614" t="s">
        <v>2780</v>
      </c>
      <c r="BG79" s="64" t="s">
        <v>244</v>
      </c>
      <c r="BH79" s="64" t="s">
        <v>628</v>
      </c>
      <c r="BI79" s="64" t="s">
        <v>2162</v>
      </c>
      <c r="BJ79" s="64" t="s">
        <v>2783</v>
      </c>
      <c r="BK79" t="s">
        <v>2783</v>
      </c>
      <c r="BL79" t="s">
        <v>1092</v>
      </c>
      <c r="BP79">
        <v>12678</v>
      </c>
      <c r="BQ79">
        <v>1020006325</v>
      </c>
      <c r="BR79" s="15" t="s">
        <v>216</v>
      </c>
      <c r="BS79" t="s">
        <v>213</v>
      </c>
      <c r="BT79" t="s">
        <v>1192</v>
      </c>
      <c r="BU79" t="s">
        <v>682</v>
      </c>
      <c r="BV79" t="s">
        <v>1149</v>
      </c>
    </row>
    <row r="80" spans="3:74" x14ac:dyDescent="0.25">
      <c r="C80" s="12" t="s">
        <v>142</v>
      </c>
      <c r="D80" s="12">
        <v>2</v>
      </c>
      <c r="P80"/>
      <c r="BF80" s="614" t="s">
        <v>2780</v>
      </c>
      <c r="BG80" s="64" t="s">
        <v>244</v>
      </c>
      <c r="BH80" s="64" t="s">
        <v>628</v>
      </c>
      <c r="BI80" s="64" t="s">
        <v>2162</v>
      </c>
      <c r="BJ80" s="64" t="s">
        <v>2782</v>
      </c>
      <c r="BK80" t="s">
        <v>2783</v>
      </c>
      <c r="BL80" t="s">
        <v>1092</v>
      </c>
      <c r="BQ80">
        <v>1020010313</v>
      </c>
      <c r="BR80" s="15" t="s">
        <v>216</v>
      </c>
      <c r="BS80" t="s">
        <v>213</v>
      </c>
      <c r="BT80" t="s">
        <v>1193</v>
      </c>
      <c r="BU80" t="s">
        <v>682</v>
      </c>
      <c r="BV80" t="s">
        <v>680</v>
      </c>
    </row>
    <row r="81" spans="3:74" x14ac:dyDescent="0.25">
      <c r="C81" s="12" t="s">
        <v>143</v>
      </c>
      <c r="D81" s="12">
        <v>3</v>
      </c>
      <c r="P81"/>
      <c r="BF81" s="614" t="s">
        <v>2780</v>
      </c>
      <c r="BG81" s="64" t="s">
        <v>244</v>
      </c>
      <c r="BH81" s="64" t="s">
        <v>628</v>
      </c>
      <c r="BI81" s="64" t="s">
        <v>2162</v>
      </c>
      <c r="BJ81" s="64" t="s">
        <v>2784</v>
      </c>
      <c r="BK81" t="s">
        <v>2784</v>
      </c>
      <c r="BL81" t="s">
        <v>1092</v>
      </c>
      <c r="BQ81">
        <v>1020006326</v>
      </c>
      <c r="BR81" s="15" t="s">
        <v>216</v>
      </c>
      <c r="BS81" t="s">
        <v>213</v>
      </c>
      <c r="BT81" t="s">
        <v>1194</v>
      </c>
      <c r="BU81" t="s">
        <v>682</v>
      </c>
      <c r="BV81" t="s">
        <v>1153</v>
      </c>
    </row>
    <row r="82" spans="3:74" x14ac:dyDescent="0.25">
      <c r="C82" s="12" t="s">
        <v>144</v>
      </c>
      <c r="D82" s="12">
        <v>4</v>
      </c>
      <c r="P82"/>
      <c r="BF82" s="614" t="s">
        <v>2780</v>
      </c>
      <c r="BG82" s="64" t="s">
        <v>244</v>
      </c>
      <c r="BH82" s="64" t="s">
        <v>628</v>
      </c>
      <c r="BI82" s="64" t="s">
        <v>2162</v>
      </c>
      <c r="BJ82" s="64" t="s">
        <v>2781</v>
      </c>
      <c r="BK82" t="s">
        <v>2781</v>
      </c>
      <c r="BL82" t="s">
        <v>1092</v>
      </c>
      <c r="BQ82">
        <v>1020005310</v>
      </c>
      <c r="BR82" s="15" t="s">
        <v>216</v>
      </c>
      <c r="BS82" t="s">
        <v>213</v>
      </c>
      <c r="BT82" t="s">
        <v>1195</v>
      </c>
      <c r="BU82" t="s">
        <v>682</v>
      </c>
      <c r="BV82" t="s">
        <v>1149</v>
      </c>
    </row>
    <row r="83" spans="3:74" x14ac:dyDescent="0.25">
      <c r="C83" s="12" t="s">
        <v>145</v>
      </c>
      <c r="D83" s="12">
        <v>2</v>
      </c>
      <c r="P83"/>
      <c r="BF83" s="614" t="s">
        <v>2780</v>
      </c>
      <c r="BG83" s="64" t="s">
        <v>244</v>
      </c>
      <c r="BH83" s="64" t="s">
        <v>628</v>
      </c>
      <c r="BI83" s="64" t="s">
        <v>2162</v>
      </c>
      <c r="BJ83" s="64" t="s">
        <v>2786</v>
      </c>
      <c r="BK83" t="s">
        <v>2786</v>
      </c>
      <c r="BL83" t="s">
        <v>1092</v>
      </c>
      <c r="BQ83">
        <v>1020005310</v>
      </c>
      <c r="BR83" s="15" t="s">
        <v>216</v>
      </c>
      <c r="BS83" t="s">
        <v>213</v>
      </c>
      <c r="BT83" t="s">
        <v>1195</v>
      </c>
      <c r="BU83" t="s">
        <v>682</v>
      </c>
      <c r="BV83" t="s">
        <v>1153</v>
      </c>
    </row>
    <row r="84" spans="3:74" x14ac:dyDescent="0.25">
      <c r="C84" s="29" t="s">
        <v>124</v>
      </c>
      <c r="D84" s="30" t="s">
        <v>95</v>
      </c>
      <c r="BF84" s="614" t="s">
        <v>2780</v>
      </c>
      <c r="BG84" s="64" t="s">
        <v>244</v>
      </c>
      <c r="BH84" s="64" t="s">
        <v>628</v>
      </c>
      <c r="BI84" s="64" t="s">
        <v>2162</v>
      </c>
      <c r="BJ84" s="64" t="s">
        <v>2786</v>
      </c>
      <c r="BK84" t="s">
        <v>2786</v>
      </c>
      <c r="BL84" t="s">
        <v>1092</v>
      </c>
      <c r="BP84">
        <v>11258</v>
      </c>
      <c r="BQ84">
        <v>1020005311</v>
      </c>
      <c r="BR84" s="15" t="s">
        <v>216</v>
      </c>
      <c r="BS84" t="s">
        <v>213</v>
      </c>
      <c r="BT84" t="s">
        <v>1195</v>
      </c>
      <c r="BU84" t="s">
        <v>682</v>
      </c>
      <c r="BV84" t="s">
        <v>1153</v>
      </c>
    </row>
    <row r="85" spans="3:74" x14ac:dyDescent="0.25">
      <c r="C85" s="6">
        <v>2</v>
      </c>
      <c r="D85" s="8">
        <v>0.8</v>
      </c>
      <c r="BF85" s="614" t="s">
        <v>2780</v>
      </c>
      <c r="BG85" s="64" t="s">
        <v>244</v>
      </c>
      <c r="BH85" s="64" t="s">
        <v>628</v>
      </c>
      <c r="BI85" s="64" t="s">
        <v>2162</v>
      </c>
      <c r="BJ85" s="64" t="s">
        <v>2786</v>
      </c>
      <c r="BK85" t="s">
        <v>2786</v>
      </c>
      <c r="BL85" t="s">
        <v>1092</v>
      </c>
      <c r="BP85">
        <v>11259</v>
      </c>
      <c r="BQ85">
        <v>1020005311</v>
      </c>
      <c r="BR85" s="15" t="s">
        <v>216</v>
      </c>
      <c r="BS85" t="s">
        <v>213</v>
      </c>
      <c r="BT85" t="s">
        <v>1195</v>
      </c>
      <c r="BU85" t="s">
        <v>682</v>
      </c>
      <c r="BV85" t="s">
        <v>1149</v>
      </c>
    </row>
    <row r="86" spans="3:74" x14ac:dyDescent="0.25">
      <c r="C86" s="9">
        <v>1</v>
      </c>
      <c r="D86" s="11">
        <v>0.6</v>
      </c>
      <c r="BF86" s="614" t="s">
        <v>2780</v>
      </c>
      <c r="BG86" s="64" t="s">
        <v>244</v>
      </c>
      <c r="BH86" s="64" t="s">
        <v>628</v>
      </c>
      <c r="BI86" s="64" t="s">
        <v>2162</v>
      </c>
      <c r="BJ86" s="64" t="s">
        <v>2162</v>
      </c>
      <c r="BK86" t="s">
        <v>2162</v>
      </c>
      <c r="BL86" t="s">
        <v>1092</v>
      </c>
      <c r="BQ86">
        <v>1020010301</v>
      </c>
      <c r="BR86" s="15" t="s">
        <v>216</v>
      </c>
      <c r="BS86" t="s">
        <v>213</v>
      </c>
      <c r="BT86" t="s">
        <v>1196</v>
      </c>
      <c r="BU86" t="s">
        <v>682</v>
      </c>
      <c r="BV86" t="s">
        <v>1149</v>
      </c>
    </row>
    <row r="87" spans="3:74" x14ac:dyDescent="0.25">
      <c r="C87" s="9">
        <v>0</v>
      </c>
      <c r="D87" s="11">
        <v>0</v>
      </c>
      <c r="BF87" s="614" t="s">
        <v>2780</v>
      </c>
      <c r="BG87" s="64" t="s">
        <v>244</v>
      </c>
      <c r="BH87" s="64" t="s">
        <v>628</v>
      </c>
      <c r="BI87" s="64" t="s">
        <v>2162</v>
      </c>
      <c r="BJ87" s="64" t="s">
        <v>2162</v>
      </c>
      <c r="BK87" t="s">
        <v>2162</v>
      </c>
      <c r="BL87" t="s">
        <v>1092</v>
      </c>
      <c r="BQ87">
        <v>1020010301</v>
      </c>
      <c r="BR87" s="15" t="s">
        <v>216</v>
      </c>
      <c r="BS87" t="s">
        <v>213</v>
      </c>
      <c r="BT87" t="s">
        <v>1196</v>
      </c>
      <c r="BU87" t="s">
        <v>682</v>
      </c>
      <c r="BV87" t="s">
        <v>1153</v>
      </c>
    </row>
    <row r="88" spans="3:74" x14ac:dyDescent="0.25">
      <c r="BF88" s="614" t="s">
        <v>2780</v>
      </c>
      <c r="BG88" s="64" t="s">
        <v>244</v>
      </c>
      <c r="BH88" s="64" t="s">
        <v>628</v>
      </c>
      <c r="BI88" s="64" t="s">
        <v>2162</v>
      </c>
      <c r="BJ88" s="64" t="s">
        <v>2162</v>
      </c>
      <c r="BK88" t="s">
        <v>2162</v>
      </c>
      <c r="BL88" t="s">
        <v>1092</v>
      </c>
      <c r="BQ88">
        <v>10200253</v>
      </c>
      <c r="BR88" s="15" t="s">
        <v>216</v>
      </c>
      <c r="BS88" t="s">
        <v>213</v>
      </c>
      <c r="BT88" t="s">
        <v>1197</v>
      </c>
      <c r="BU88" t="s">
        <v>682</v>
      </c>
      <c r="BV88" t="s">
        <v>680</v>
      </c>
    </row>
    <row r="89" spans="3:74" x14ac:dyDescent="0.25">
      <c r="BP89">
        <v>12683</v>
      </c>
      <c r="BQ89">
        <v>1020010302</v>
      </c>
      <c r="BR89" s="15" t="s">
        <v>216</v>
      </c>
      <c r="BS89" t="s">
        <v>213</v>
      </c>
      <c r="BT89" t="s">
        <v>1198</v>
      </c>
      <c r="BU89" t="s">
        <v>682</v>
      </c>
      <c r="BV89" t="s">
        <v>1153</v>
      </c>
    </row>
    <row r="90" spans="3:74" x14ac:dyDescent="0.25">
      <c r="BP90">
        <v>12685</v>
      </c>
      <c r="BQ90">
        <v>1020010303</v>
      </c>
      <c r="BR90" s="15" t="s">
        <v>216</v>
      </c>
      <c r="BS90" t="s">
        <v>213</v>
      </c>
      <c r="BT90" t="s">
        <v>1198</v>
      </c>
      <c r="BU90" t="s">
        <v>682</v>
      </c>
      <c r="BV90" t="s">
        <v>1153</v>
      </c>
    </row>
    <row r="91" spans="3:74" x14ac:dyDescent="0.25">
      <c r="BP91">
        <v>12686</v>
      </c>
      <c r="BQ91">
        <v>1020010303</v>
      </c>
      <c r="BR91" s="15" t="s">
        <v>216</v>
      </c>
      <c r="BS91" t="s">
        <v>213</v>
      </c>
      <c r="BT91" t="s">
        <v>1198</v>
      </c>
      <c r="BU91" t="s">
        <v>682</v>
      </c>
      <c r="BV91" t="s">
        <v>1149</v>
      </c>
    </row>
    <row r="92" spans="3:74" x14ac:dyDescent="0.25">
      <c r="BP92">
        <v>11281</v>
      </c>
      <c r="BQ92">
        <v>1020077302</v>
      </c>
      <c r="BR92" s="15" t="s">
        <v>216</v>
      </c>
      <c r="BS92" t="s">
        <v>213</v>
      </c>
      <c r="BT92" t="s">
        <v>1199</v>
      </c>
      <c r="BU92" t="s">
        <v>682</v>
      </c>
      <c r="BV92" t="s">
        <v>1149</v>
      </c>
    </row>
    <row r="93" spans="3:74" x14ac:dyDescent="0.25">
      <c r="BP93">
        <v>11280</v>
      </c>
      <c r="BQ93">
        <v>1020077301</v>
      </c>
      <c r="BR93" s="15" t="s">
        <v>216</v>
      </c>
      <c r="BS93" t="s">
        <v>213</v>
      </c>
      <c r="BT93" t="s">
        <v>1200</v>
      </c>
      <c r="BU93" t="s">
        <v>682</v>
      </c>
      <c r="BV93" t="s">
        <v>1149</v>
      </c>
    </row>
    <row r="94" spans="3:74" x14ac:dyDescent="0.25">
      <c r="BP94">
        <v>278413</v>
      </c>
      <c r="BQ94">
        <v>10202163</v>
      </c>
      <c r="BR94" s="15" t="s">
        <v>216</v>
      </c>
      <c r="BS94" t="s">
        <v>213</v>
      </c>
      <c r="BT94" t="s">
        <v>1201</v>
      </c>
      <c r="BU94" t="s">
        <v>682</v>
      </c>
      <c r="BV94" t="s">
        <v>1149</v>
      </c>
    </row>
    <row r="95" spans="3:74" x14ac:dyDescent="0.25">
      <c r="BQ95">
        <v>1020006305</v>
      </c>
      <c r="BR95" s="15" t="s">
        <v>216</v>
      </c>
      <c r="BS95" t="s">
        <v>213</v>
      </c>
      <c r="BT95" t="s">
        <v>1202</v>
      </c>
      <c r="BU95" t="s">
        <v>682</v>
      </c>
      <c r="BV95" t="s">
        <v>1149</v>
      </c>
    </row>
    <row r="96" spans="3:74" x14ac:dyDescent="0.25">
      <c r="BQ96">
        <v>1020006305</v>
      </c>
      <c r="BR96" s="15" t="s">
        <v>216</v>
      </c>
      <c r="BS96" t="s">
        <v>213</v>
      </c>
      <c r="BT96" t="s">
        <v>1202</v>
      </c>
      <c r="BU96" t="s">
        <v>682</v>
      </c>
      <c r="BV96" t="s">
        <v>1153</v>
      </c>
    </row>
    <row r="97" spans="68:74" x14ac:dyDescent="0.25">
      <c r="BP97">
        <v>12668</v>
      </c>
      <c r="BQ97">
        <v>1020006307</v>
      </c>
      <c r="BR97" s="15" t="s">
        <v>216</v>
      </c>
      <c r="BS97" t="s">
        <v>213</v>
      </c>
      <c r="BT97" t="s">
        <v>1202</v>
      </c>
      <c r="BU97" t="s">
        <v>682</v>
      </c>
      <c r="BV97" t="s">
        <v>1153</v>
      </c>
    </row>
    <row r="98" spans="68:74" x14ac:dyDescent="0.25">
      <c r="BP98">
        <v>12669</v>
      </c>
      <c r="BQ98">
        <v>1020006307</v>
      </c>
      <c r="BR98" s="15" t="s">
        <v>216</v>
      </c>
      <c r="BS98" t="s">
        <v>213</v>
      </c>
      <c r="BT98" t="s">
        <v>1202</v>
      </c>
      <c r="BU98" t="s">
        <v>682</v>
      </c>
      <c r="BV98" t="s">
        <v>1149</v>
      </c>
    </row>
    <row r="99" spans="68:74" x14ac:dyDescent="0.25">
      <c r="BP99">
        <v>12666</v>
      </c>
      <c r="BQ99">
        <v>1020006306</v>
      </c>
      <c r="BR99" s="15" t="s">
        <v>216</v>
      </c>
      <c r="BS99" t="s">
        <v>213</v>
      </c>
      <c r="BT99" t="s">
        <v>1203</v>
      </c>
      <c r="BU99" t="s">
        <v>682</v>
      </c>
      <c r="BV99" t="s">
        <v>1149</v>
      </c>
    </row>
    <row r="100" spans="68:74" x14ac:dyDescent="0.25">
      <c r="BQ100">
        <v>10200162</v>
      </c>
      <c r="BR100" s="15" t="s">
        <v>216</v>
      </c>
      <c r="BS100" t="s">
        <v>213</v>
      </c>
      <c r="BT100" t="s">
        <v>1204</v>
      </c>
      <c r="BU100" t="s">
        <v>681</v>
      </c>
      <c r="BV100" t="s">
        <v>680</v>
      </c>
    </row>
    <row r="101" spans="68:74" x14ac:dyDescent="0.25">
      <c r="BQ101">
        <v>10200172</v>
      </c>
      <c r="BR101" s="15" t="s">
        <v>216</v>
      </c>
      <c r="BS101" t="s">
        <v>213</v>
      </c>
      <c r="BT101" t="s">
        <v>1205</v>
      </c>
      <c r="BU101" t="s">
        <v>681</v>
      </c>
      <c r="BV101" t="s">
        <v>680</v>
      </c>
    </row>
    <row r="102" spans="68:74" x14ac:dyDescent="0.25">
      <c r="BP102">
        <v>12567</v>
      </c>
      <c r="BQ102">
        <v>10200042</v>
      </c>
      <c r="BR102" s="15" t="s">
        <v>216</v>
      </c>
      <c r="BS102" t="s">
        <v>213</v>
      </c>
      <c r="BT102" t="s">
        <v>1206</v>
      </c>
      <c r="BU102" t="s">
        <v>681</v>
      </c>
      <c r="BV102" t="s">
        <v>1153</v>
      </c>
    </row>
    <row r="103" spans="68:74" x14ac:dyDescent="0.25">
      <c r="BP103">
        <v>11211</v>
      </c>
      <c r="BQ103">
        <v>10200772</v>
      </c>
      <c r="BR103" s="15" t="s">
        <v>216</v>
      </c>
      <c r="BS103" t="s">
        <v>213</v>
      </c>
      <c r="BT103" t="s">
        <v>1207</v>
      </c>
      <c r="BU103" t="s">
        <v>681</v>
      </c>
      <c r="BV103" t="s">
        <v>1153</v>
      </c>
    </row>
    <row r="104" spans="68:74" x14ac:dyDescent="0.25">
      <c r="BP104">
        <v>11213</v>
      </c>
      <c r="BQ104">
        <v>10200772</v>
      </c>
      <c r="BR104" s="15" t="s">
        <v>216</v>
      </c>
      <c r="BS104" t="s">
        <v>213</v>
      </c>
      <c r="BT104" t="s">
        <v>1207</v>
      </c>
      <c r="BU104" t="s">
        <v>681</v>
      </c>
      <c r="BV104" t="s">
        <v>1149</v>
      </c>
    </row>
    <row r="105" spans="68:74" x14ac:dyDescent="0.25">
      <c r="BP105">
        <v>11247</v>
      </c>
      <c r="BQ105">
        <v>1020005301</v>
      </c>
      <c r="BR105" s="15" t="s">
        <v>216</v>
      </c>
      <c r="BS105" t="s">
        <v>213</v>
      </c>
      <c r="BT105" t="s">
        <v>1151</v>
      </c>
      <c r="BU105" t="s">
        <v>682</v>
      </c>
      <c r="BV105" t="s">
        <v>1149</v>
      </c>
    </row>
    <row r="106" spans="68:74" x14ac:dyDescent="0.25">
      <c r="BP106">
        <v>11246</v>
      </c>
      <c r="BQ106">
        <v>1020005301</v>
      </c>
      <c r="BR106" s="15" t="s">
        <v>216</v>
      </c>
      <c r="BS106" t="s">
        <v>213</v>
      </c>
      <c r="BT106" t="s">
        <v>1151</v>
      </c>
      <c r="BU106" t="s">
        <v>682</v>
      </c>
      <c r="BV106" t="s">
        <v>1153</v>
      </c>
    </row>
    <row r="107" spans="68:74" x14ac:dyDescent="0.25">
      <c r="BP107">
        <v>11257</v>
      </c>
      <c r="BQ107">
        <v>1020005309</v>
      </c>
      <c r="BR107" s="15" t="s">
        <v>216</v>
      </c>
      <c r="BS107" t="s">
        <v>213</v>
      </c>
      <c r="BT107" t="s">
        <v>1151</v>
      </c>
      <c r="BU107" t="s">
        <v>682</v>
      </c>
      <c r="BV107" t="s">
        <v>1149</v>
      </c>
    </row>
    <row r="108" spans="68:74" x14ac:dyDescent="0.25">
      <c r="BP108">
        <v>11256</v>
      </c>
      <c r="BQ108">
        <v>1020005309</v>
      </c>
      <c r="BR108" s="15" t="s">
        <v>216</v>
      </c>
      <c r="BS108" t="s">
        <v>213</v>
      </c>
      <c r="BT108" t="s">
        <v>1151</v>
      </c>
      <c r="BU108" t="s">
        <v>682</v>
      </c>
      <c r="BV108" t="s">
        <v>1153</v>
      </c>
    </row>
    <row r="109" spans="68:74" x14ac:dyDescent="0.25">
      <c r="BP109">
        <v>11270</v>
      </c>
      <c r="BQ109">
        <v>1020005318</v>
      </c>
      <c r="BR109" s="15" t="s">
        <v>216</v>
      </c>
      <c r="BS109" t="s">
        <v>213</v>
      </c>
      <c r="BT109" t="s">
        <v>1208</v>
      </c>
      <c r="BU109" t="s">
        <v>682</v>
      </c>
      <c r="BV109" t="s">
        <v>1153</v>
      </c>
    </row>
    <row r="110" spans="68:74" x14ac:dyDescent="0.25">
      <c r="BP110">
        <v>11271</v>
      </c>
      <c r="BQ110">
        <v>1020005318</v>
      </c>
      <c r="BR110" s="15" t="s">
        <v>216</v>
      </c>
      <c r="BS110" t="s">
        <v>213</v>
      </c>
      <c r="BT110" t="s">
        <v>1208</v>
      </c>
      <c r="BU110" t="s">
        <v>682</v>
      </c>
      <c r="BV110" t="s">
        <v>1149</v>
      </c>
    </row>
    <row r="111" spans="68:74" x14ac:dyDescent="0.25">
      <c r="BP111">
        <v>12679</v>
      </c>
      <c r="BQ111">
        <v>1020006327</v>
      </c>
      <c r="BR111" s="15" t="s">
        <v>216</v>
      </c>
      <c r="BS111" t="s">
        <v>213</v>
      </c>
      <c r="BT111" t="s">
        <v>1209</v>
      </c>
      <c r="BU111" t="s">
        <v>682</v>
      </c>
      <c r="BV111" t="s">
        <v>1153</v>
      </c>
    </row>
    <row r="112" spans="68:74" x14ac:dyDescent="0.25">
      <c r="BQ112">
        <v>1020012306</v>
      </c>
      <c r="BR112" s="15" t="s">
        <v>216</v>
      </c>
      <c r="BS112" t="s">
        <v>213</v>
      </c>
      <c r="BT112" t="s">
        <v>1210</v>
      </c>
      <c r="BU112" t="s">
        <v>682</v>
      </c>
      <c r="BV112" t="s">
        <v>1149</v>
      </c>
    </row>
    <row r="113" spans="68:74" x14ac:dyDescent="0.25">
      <c r="BQ113">
        <v>1020012306</v>
      </c>
      <c r="BR113" s="15" t="s">
        <v>216</v>
      </c>
      <c r="BS113" t="s">
        <v>213</v>
      </c>
      <c r="BT113" t="s">
        <v>1210</v>
      </c>
      <c r="BU113" t="s">
        <v>682</v>
      </c>
      <c r="BV113" t="s">
        <v>1153</v>
      </c>
    </row>
    <row r="114" spans="68:74" x14ac:dyDescent="0.25">
      <c r="BQ114">
        <v>1020012320</v>
      </c>
      <c r="BR114" s="15" t="s">
        <v>216</v>
      </c>
      <c r="BS114" t="s">
        <v>213</v>
      </c>
      <c r="BT114" t="s">
        <v>1210</v>
      </c>
      <c r="BU114" t="s">
        <v>682</v>
      </c>
      <c r="BV114" t="s">
        <v>1153</v>
      </c>
    </row>
    <row r="115" spans="68:74" x14ac:dyDescent="0.25">
      <c r="BQ115">
        <v>1020012326</v>
      </c>
      <c r="BR115" s="15" t="s">
        <v>216</v>
      </c>
      <c r="BS115" t="s">
        <v>213</v>
      </c>
      <c r="BT115" t="s">
        <v>1211</v>
      </c>
      <c r="BU115" t="s">
        <v>682</v>
      </c>
      <c r="BV115" t="s">
        <v>1149</v>
      </c>
    </row>
    <row r="116" spans="68:74" x14ac:dyDescent="0.25">
      <c r="BQ116">
        <v>1020012326</v>
      </c>
      <c r="BR116" s="15" t="s">
        <v>216</v>
      </c>
      <c r="BS116" t="s">
        <v>213</v>
      </c>
      <c r="BT116" t="s">
        <v>1211</v>
      </c>
      <c r="BU116" t="s">
        <v>682</v>
      </c>
      <c r="BV116" t="s">
        <v>1153</v>
      </c>
    </row>
    <row r="117" spans="68:74" x14ac:dyDescent="0.25">
      <c r="BQ117">
        <v>10200183</v>
      </c>
      <c r="BR117" s="15" t="s">
        <v>216</v>
      </c>
      <c r="BS117" t="s">
        <v>213</v>
      </c>
      <c r="BT117" t="s">
        <v>1154</v>
      </c>
      <c r="BU117" t="s">
        <v>682</v>
      </c>
      <c r="BV117" t="s">
        <v>680</v>
      </c>
    </row>
    <row r="118" spans="68:74" x14ac:dyDescent="0.25">
      <c r="BP118">
        <v>11209</v>
      </c>
      <c r="BQ118">
        <v>10200052</v>
      </c>
      <c r="BR118" s="15" t="s">
        <v>216</v>
      </c>
      <c r="BS118" t="s">
        <v>213</v>
      </c>
      <c r="BT118" t="s">
        <v>213</v>
      </c>
      <c r="BU118" t="s">
        <v>681</v>
      </c>
      <c r="BV118" t="s">
        <v>1149</v>
      </c>
    </row>
    <row r="119" spans="68:74" x14ac:dyDescent="0.25">
      <c r="BP119">
        <v>11207</v>
      </c>
      <c r="BQ119">
        <v>10200052</v>
      </c>
      <c r="BR119" s="15" t="s">
        <v>216</v>
      </c>
      <c r="BS119" t="s">
        <v>213</v>
      </c>
      <c r="BT119" t="s">
        <v>213</v>
      </c>
      <c r="BU119" t="s">
        <v>681</v>
      </c>
      <c r="BV119" t="s">
        <v>1153</v>
      </c>
    </row>
    <row r="120" spans="68:74" x14ac:dyDescent="0.25">
      <c r="BQ120">
        <v>10200053</v>
      </c>
      <c r="BR120" s="15" t="s">
        <v>216</v>
      </c>
      <c r="BS120" t="s">
        <v>213</v>
      </c>
      <c r="BT120" t="s">
        <v>213</v>
      </c>
      <c r="BU120" t="s">
        <v>682</v>
      </c>
      <c r="BV120" t="s">
        <v>680</v>
      </c>
    </row>
    <row r="121" spans="68:74" x14ac:dyDescent="0.25">
      <c r="BQ121">
        <v>10201213</v>
      </c>
      <c r="BR121" s="15" t="s">
        <v>216</v>
      </c>
      <c r="BS121" t="s">
        <v>213</v>
      </c>
      <c r="BT121" t="s">
        <v>1212</v>
      </c>
      <c r="BU121" t="s">
        <v>682</v>
      </c>
      <c r="BV121" t="s">
        <v>1153</v>
      </c>
    </row>
    <row r="122" spans="68:74" x14ac:dyDescent="0.25">
      <c r="BP122">
        <v>590470</v>
      </c>
      <c r="BQ122">
        <v>10201213</v>
      </c>
      <c r="BR122" s="15" t="s">
        <v>216</v>
      </c>
      <c r="BS122" t="s">
        <v>213</v>
      </c>
      <c r="BT122" t="s">
        <v>1212</v>
      </c>
      <c r="BU122" t="s">
        <v>682</v>
      </c>
      <c r="BV122" t="s">
        <v>1149</v>
      </c>
    </row>
    <row r="123" spans="68:74" x14ac:dyDescent="0.25">
      <c r="BP123">
        <v>11250</v>
      </c>
      <c r="BQ123">
        <v>1020005302</v>
      </c>
      <c r="BR123" s="15" t="s">
        <v>216</v>
      </c>
      <c r="BS123" t="s">
        <v>213</v>
      </c>
      <c r="BT123" t="s">
        <v>1213</v>
      </c>
      <c r="BU123" t="s">
        <v>682</v>
      </c>
      <c r="BV123" t="s">
        <v>1149</v>
      </c>
    </row>
    <row r="124" spans="68:74" x14ac:dyDescent="0.25">
      <c r="BP124">
        <v>11248</v>
      </c>
      <c r="BQ124">
        <v>1020005302</v>
      </c>
      <c r="BR124" s="15" t="s">
        <v>216</v>
      </c>
      <c r="BS124" t="s">
        <v>213</v>
      </c>
      <c r="BT124" t="s">
        <v>1213</v>
      </c>
      <c r="BU124" t="s">
        <v>682</v>
      </c>
      <c r="BV124" t="s">
        <v>1153</v>
      </c>
    </row>
    <row r="125" spans="68:74" x14ac:dyDescent="0.25">
      <c r="BP125">
        <v>11254</v>
      </c>
      <c r="BQ125">
        <v>1020005303</v>
      </c>
      <c r="BR125" s="15" t="s">
        <v>216</v>
      </c>
      <c r="BS125" t="s">
        <v>213</v>
      </c>
      <c r="BT125" t="s">
        <v>1213</v>
      </c>
      <c r="BU125" t="s">
        <v>682</v>
      </c>
      <c r="BV125" t="s">
        <v>1149</v>
      </c>
    </row>
    <row r="126" spans="68:74" x14ac:dyDescent="0.25">
      <c r="BP126">
        <v>11252</v>
      </c>
      <c r="BQ126">
        <v>1020005303</v>
      </c>
      <c r="BR126" s="15" t="s">
        <v>216</v>
      </c>
      <c r="BS126" t="s">
        <v>213</v>
      </c>
      <c r="BT126" t="s">
        <v>1213</v>
      </c>
      <c r="BU126" t="s">
        <v>682</v>
      </c>
      <c r="BV126" t="s">
        <v>1153</v>
      </c>
    </row>
    <row r="127" spans="68:74" x14ac:dyDescent="0.25">
      <c r="BP127">
        <v>278415</v>
      </c>
      <c r="BQ127">
        <v>10202193</v>
      </c>
      <c r="BR127" s="15" t="s">
        <v>216</v>
      </c>
      <c r="BS127" t="s">
        <v>213</v>
      </c>
      <c r="BT127" t="s">
        <v>1214</v>
      </c>
      <c r="BU127" t="s">
        <v>682</v>
      </c>
      <c r="BV127" t="s">
        <v>1153</v>
      </c>
    </row>
    <row r="128" spans="68:74" x14ac:dyDescent="0.25">
      <c r="BQ128">
        <v>1020012307</v>
      </c>
      <c r="BR128" s="15" t="s">
        <v>216</v>
      </c>
      <c r="BS128" t="s">
        <v>213</v>
      </c>
      <c r="BT128" t="s">
        <v>1215</v>
      </c>
      <c r="BU128" t="s">
        <v>682</v>
      </c>
      <c r="BV128" t="s">
        <v>1149</v>
      </c>
    </row>
    <row r="129" spans="68:74" x14ac:dyDescent="0.25">
      <c r="BQ129">
        <v>1020012307</v>
      </c>
      <c r="BR129" s="15" t="s">
        <v>216</v>
      </c>
      <c r="BS129" t="s">
        <v>213</v>
      </c>
      <c r="BT129" t="s">
        <v>1215</v>
      </c>
      <c r="BU129" t="s">
        <v>682</v>
      </c>
      <c r="BV129" t="s">
        <v>1153</v>
      </c>
    </row>
    <row r="130" spans="68:74" x14ac:dyDescent="0.25">
      <c r="BQ130">
        <v>1020012308</v>
      </c>
      <c r="BR130" s="15" t="s">
        <v>216</v>
      </c>
      <c r="BS130" t="s">
        <v>213</v>
      </c>
      <c r="BT130" t="s">
        <v>1216</v>
      </c>
      <c r="BU130" t="s">
        <v>682</v>
      </c>
      <c r="BV130" t="s">
        <v>1153</v>
      </c>
    </row>
    <row r="131" spans="68:74" x14ac:dyDescent="0.25">
      <c r="BQ131">
        <v>1020012309</v>
      </c>
      <c r="BR131" s="15" t="s">
        <v>216</v>
      </c>
      <c r="BS131" t="s">
        <v>213</v>
      </c>
      <c r="BT131" t="s">
        <v>1216</v>
      </c>
      <c r="BU131" t="s">
        <v>682</v>
      </c>
      <c r="BV131" t="s">
        <v>1153</v>
      </c>
    </row>
    <row r="132" spans="68:74" x14ac:dyDescent="0.25">
      <c r="BQ132">
        <v>10200273</v>
      </c>
      <c r="BR132" s="15" t="s">
        <v>216</v>
      </c>
      <c r="BS132" t="s">
        <v>213</v>
      </c>
      <c r="BT132" t="s">
        <v>1217</v>
      </c>
      <c r="BU132" t="s">
        <v>682</v>
      </c>
      <c r="BV132" t="s">
        <v>680</v>
      </c>
    </row>
    <row r="133" spans="68:74" x14ac:dyDescent="0.25">
      <c r="BP133">
        <v>583248</v>
      </c>
      <c r="BQ133">
        <v>1020012310</v>
      </c>
      <c r="BR133" s="15" t="s">
        <v>216</v>
      </c>
      <c r="BS133" t="s">
        <v>213</v>
      </c>
      <c r="BT133" t="s">
        <v>1218</v>
      </c>
      <c r="BU133" t="s">
        <v>682</v>
      </c>
      <c r="BV133" t="s">
        <v>1149</v>
      </c>
    </row>
    <row r="134" spans="68:74" x14ac:dyDescent="0.25">
      <c r="BQ134">
        <v>1020012310</v>
      </c>
      <c r="BR134" s="15" t="s">
        <v>216</v>
      </c>
      <c r="BS134" t="s">
        <v>213</v>
      </c>
      <c r="BT134" t="s">
        <v>1218</v>
      </c>
      <c r="BU134" t="s">
        <v>682</v>
      </c>
      <c r="BV134" t="s">
        <v>1153</v>
      </c>
    </row>
    <row r="135" spans="68:74" x14ac:dyDescent="0.25">
      <c r="BP135">
        <v>12695</v>
      </c>
      <c r="BQ135">
        <v>1020012311</v>
      </c>
      <c r="BR135" s="15" t="s">
        <v>216</v>
      </c>
      <c r="BS135" t="s">
        <v>213</v>
      </c>
      <c r="BT135" t="s">
        <v>1218</v>
      </c>
      <c r="BU135" t="s">
        <v>682</v>
      </c>
      <c r="BV135" t="s">
        <v>1149</v>
      </c>
    </row>
    <row r="136" spans="68:74" x14ac:dyDescent="0.25">
      <c r="BP136">
        <v>12694</v>
      </c>
      <c r="BQ136">
        <v>1020012311</v>
      </c>
      <c r="BR136" s="15" t="s">
        <v>216</v>
      </c>
      <c r="BS136" t="s">
        <v>213</v>
      </c>
      <c r="BT136" t="s">
        <v>1218</v>
      </c>
      <c r="BU136" t="s">
        <v>682</v>
      </c>
      <c r="BV136" t="s">
        <v>1153</v>
      </c>
    </row>
    <row r="137" spans="68:74" x14ac:dyDescent="0.25">
      <c r="BP137">
        <v>12619</v>
      </c>
      <c r="BQ137">
        <v>10201753</v>
      </c>
      <c r="BR137" s="15" t="s">
        <v>216</v>
      </c>
      <c r="BS137" t="s">
        <v>213</v>
      </c>
      <c r="BT137" t="s">
        <v>1219</v>
      </c>
      <c r="BU137" t="s">
        <v>682</v>
      </c>
      <c r="BV137" t="s">
        <v>1149</v>
      </c>
    </row>
    <row r="138" spans="68:74" x14ac:dyDescent="0.25">
      <c r="BP138">
        <v>12592</v>
      </c>
      <c r="BQ138">
        <v>10200672</v>
      </c>
      <c r="BR138" s="15" t="s">
        <v>216</v>
      </c>
      <c r="BS138" t="s">
        <v>213</v>
      </c>
      <c r="BT138" t="s">
        <v>1220</v>
      </c>
      <c r="BU138" t="s">
        <v>681</v>
      </c>
      <c r="BV138" t="s">
        <v>1153</v>
      </c>
    </row>
    <row r="139" spans="68:74" x14ac:dyDescent="0.25">
      <c r="BP139">
        <v>12672</v>
      </c>
      <c r="BQ139">
        <v>1020006308</v>
      </c>
      <c r="BR139" s="15" t="s">
        <v>216</v>
      </c>
      <c r="BS139" t="s">
        <v>213</v>
      </c>
      <c r="BT139" t="s">
        <v>1220</v>
      </c>
      <c r="BU139" t="s">
        <v>682</v>
      </c>
      <c r="BV139" t="s">
        <v>1149</v>
      </c>
    </row>
    <row r="140" spans="68:74" x14ac:dyDescent="0.25">
      <c r="BP140">
        <v>12671</v>
      </c>
      <c r="BQ140">
        <v>1020006308</v>
      </c>
      <c r="BR140" s="15" t="s">
        <v>216</v>
      </c>
      <c r="BS140" t="s">
        <v>213</v>
      </c>
      <c r="BT140" t="s">
        <v>1220</v>
      </c>
      <c r="BU140" t="s">
        <v>682</v>
      </c>
      <c r="BV140" t="s">
        <v>1153</v>
      </c>
    </row>
    <row r="141" spans="68:74" x14ac:dyDescent="0.25">
      <c r="BP141">
        <v>12627</v>
      </c>
      <c r="BQ141">
        <v>10201972</v>
      </c>
      <c r="BR141" s="15" t="s">
        <v>216</v>
      </c>
      <c r="BS141" t="s">
        <v>213</v>
      </c>
      <c r="BT141" t="s">
        <v>1221</v>
      </c>
      <c r="BU141" t="s">
        <v>681</v>
      </c>
      <c r="BV141" t="s">
        <v>1153</v>
      </c>
    </row>
    <row r="142" spans="68:74" x14ac:dyDescent="0.25">
      <c r="BQ142">
        <v>1020006309</v>
      </c>
      <c r="BR142" s="15" t="s">
        <v>216</v>
      </c>
      <c r="BS142" t="s">
        <v>213</v>
      </c>
      <c r="BT142" t="s">
        <v>1222</v>
      </c>
      <c r="BU142" t="s">
        <v>682</v>
      </c>
      <c r="BV142" t="s">
        <v>1149</v>
      </c>
    </row>
    <row r="143" spans="68:74" x14ac:dyDescent="0.25">
      <c r="BQ143">
        <v>1020006309</v>
      </c>
      <c r="BR143" s="15" t="s">
        <v>216</v>
      </c>
      <c r="BS143" t="s">
        <v>213</v>
      </c>
      <c r="BT143" t="s">
        <v>1222</v>
      </c>
      <c r="BU143" t="s">
        <v>682</v>
      </c>
      <c r="BV143" t="s">
        <v>1153</v>
      </c>
    </row>
    <row r="144" spans="68:74" x14ac:dyDescent="0.25">
      <c r="BQ144">
        <v>1020010304</v>
      </c>
      <c r="BR144" s="15" t="s">
        <v>216</v>
      </c>
      <c r="BS144" t="s">
        <v>213</v>
      </c>
      <c r="BT144" t="s">
        <v>1223</v>
      </c>
      <c r="BU144" t="s">
        <v>682</v>
      </c>
      <c r="BV144" t="s">
        <v>1149</v>
      </c>
    </row>
    <row r="145" spans="68:74" x14ac:dyDescent="0.25">
      <c r="BQ145">
        <v>1020010304</v>
      </c>
      <c r="BR145" s="15" t="s">
        <v>216</v>
      </c>
      <c r="BS145" t="s">
        <v>213</v>
      </c>
      <c r="BT145" t="s">
        <v>1223</v>
      </c>
      <c r="BU145" t="s">
        <v>682</v>
      </c>
      <c r="BV145" t="s">
        <v>1153</v>
      </c>
    </row>
    <row r="146" spans="68:74" x14ac:dyDescent="0.25">
      <c r="BP146">
        <v>284317</v>
      </c>
      <c r="BQ146">
        <v>10202143</v>
      </c>
      <c r="BR146" s="15" t="s">
        <v>216</v>
      </c>
      <c r="BS146" t="s">
        <v>213</v>
      </c>
      <c r="BT146" t="s">
        <v>1224</v>
      </c>
      <c r="BU146" t="s">
        <v>682</v>
      </c>
      <c r="BV146" t="s">
        <v>1149</v>
      </c>
    </row>
    <row r="147" spans="68:74" x14ac:dyDescent="0.25">
      <c r="BQ147">
        <v>1020006310</v>
      </c>
      <c r="BR147" s="15" t="s">
        <v>216</v>
      </c>
      <c r="BS147" t="s">
        <v>213</v>
      </c>
      <c r="BT147" t="s">
        <v>1225</v>
      </c>
      <c r="BU147" t="s">
        <v>682</v>
      </c>
      <c r="BV147" t="s">
        <v>1149</v>
      </c>
    </row>
    <row r="148" spans="68:74" x14ac:dyDescent="0.25">
      <c r="BQ148">
        <v>1020006310</v>
      </c>
      <c r="BR148" s="15" t="s">
        <v>216</v>
      </c>
      <c r="BS148" t="s">
        <v>213</v>
      </c>
      <c r="BT148" t="s">
        <v>1225</v>
      </c>
      <c r="BU148" t="s">
        <v>682</v>
      </c>
      <c r="BV148" t="s">
        <v>1153</v>
      </c>
    </row>
    <row r="149" spans="68:74" x14ac:dyDescent="0.25">
      <c r="BQ149">
        <v>1020006311</v>
      </c>
      <c r="BR149" s="15" t="s">
        <v>216</v>
      </c>
      <c r="BS149" t="s">
        <v>213</v>
      </c>
      <c r="BT149" t="s">
        <v>1226</v>
      </c>
      <c r="BU149" t="s">
        <v>682</v>
      </c>
      <c r="BV149" t="s">
        <v>1149</v>
      </c>
    </row>
    <row r="150" spans="68:74" x14ac:dyDescent="0.25">
      <c r="BP150">
        <v>583168</v>
      </c>
      <c r="BQ150">
        <v>1020012312</v>
      </c>
      <c r="BR150" s="15" t="s">
        <v>216</v>
      </c>
      <c r="BS150" t="s">
        <v>213</v>
      </c>
      <c r="BT150" t="s">
        <v>1227</v>
      </c>
      <c r="BU150" t="s">
        <v>682</v>
      </c>
      <c r="BV150" t="s">
        <v>1153</v>
      </c>
    </row>
    <row r="151" spans="68:74" x14ac:dyDescent="0.25">
      <c r="BP151">
        <v>583177</v>
      </c>
      <c r="BQ151">
        <v>1020012312</v>
      </c>
      <c r="BR151" s="15" t="s">
        <v>216</v>
      </c>
      <c r="BS151" t="s">
        <v>213</v>
      </c>
      <c r="BT151" t="s">
        <v>1227</v>
      </c>
      <c r="BU151" t="s">
        <v>682</v>
      </c>
      <c r="BV151" t="s">
        <v>1149</v>
      </c>
    </row>
    <row r="152" spans="68:74" x14ac:dyDescent="0.25">
      <c r="BQ152">
        <v>10200062</v>
      </c>
      <c r="BR152" s="15" t="s">
        <v>216</v>
      </c>
      <c r="BS152" t="s">
        <v>213</v>
      </c>
      <c r="BT152" t="s">
        <v>1228</v>
      </c>
      <c r="BU152" t="s">
        <v>681</v>
      </c>
      <c r="BV152" t="s">
        <v>1149</v>
      </c>
    </row>
    <row r="153" spans="68:74" x14ac:dyDescent="0.25">
      <c r="BP153">
        <v>12571</v>
      </c>
      <c r="BQ153">
        <v>10200062</v>
      </c>
      <c r="BR153" s="15" t="s">
        <v>216</v>
      </c>
      <c r="BS153" t="s">
        <v>213</v>
      </c>
      <c r="BT153" t="s">
        <v>1228</v>
      </c>
      <c r="BU153" t="s">
        <v>681</v>
      </c>
      <c r="BV153" t="s">
        <v>1149</v>
      </c>
    </row>
    <row r="154" spans="68:74" x14ac:dyDescent="0.25">
      <c r="BP154">
        <v>12569</v>
      </c>
      <c r="BQ154">
        <v>10200062</v>
      </c>
      <c r="BR154" s="15" t="s">
        <v>216</v>
      </c>
      <c r="BS154" t="s">
        <v>213</v>
      </c>
      <c r="BT154" t="s">
        <v>1228</v>
      </c>
      <c r="BU154" t="s">
        <v>681</v>
      </c>
      <c r="BV154" t="s">
        <v>1153</v>
      </c>
    </row>
    <row r="155" spans="68:74" x14ac:dyDescent="0.25">
      <c r="BQ155">
        <v>10200063</v>
      </c>
      <c r="BR155" s="15" t="s">
        <v>216</v>
      </c>
      <c r="BS155" t="s">
        <v>213</v>
      </c>
      <c r="BT155" t="s">
        <v>1228</v>
      </c>
      <c r="BU155" t="s">
        <v>682</v>
      </c>
      <c r="BV155" t="s">
        <v>680</v>
      </c>
    </row>
    <row r="156" spans="68:74" x14ac:dyDescent="0.25">
      <c r="BQ156">
        <v>1020006312</v>
      </c>
      <c r="BR156" s="15" t="s">
        <v>216</v>
      </c>
      <c r="BS156" t="s">
        <v>213</v>
      </c>
      <c r="BT156" t="s">
        <v>1228</v>
      </c>
      <c r="BU156" t="s">
        <v>682</v>
      </c>
      <c r="BV156" t="s">
        <v>1153</v>
      </c>
    </row>
    <row r="157" spans="68:74" x14ac:dyDescent="0.25">
      <c r="BP157">
        <v>12673</v>
      </c>
      <c r="BQ157">
        <v>1020006322</v>
      </c>
      <c r="BR157" s="15" t="s">
        <v>216</v>
      </c>
      <c r="BS157" t="s">
        <v>213</v>
      </c>
      <c r="BT157" t="s">
        <v>1228</v>
      </c>
      <c r="BU157" t="s">
        <v>682</v>
      </c>
      <c r="BV157" t="s">
        <v>1153</v>
      </c>
    </row>
    <row r="158" spans="68:74" x14ac:dyDescent="0.25">
      <c r="BP158">
        <v>12674</v>
      </c>
      <c r="BQ158">
        <v>1020006322</v>
      </c>
      <c r="BR158" s="15" t="s">
        <v>216</v>
      </c>
      <c r="BS158" t="s">
        <v>213</v>
      </c>
      <c r="BT158" t="s">
        <v>1228</v>
      </c>
      <c r="BU158" t="s">
        <v>682</v>
      </c>
      <c r="BV158" t="s">
        <v>1149</v>
      </c>
    </row>
    <row r="159" spans="68:74" x14ac:dyDescent="0.25">
      <c r="BP159">
        <v>12608</v>
      </c>
      <c r="BQ159">
        <v>10201642</v>
      </c>
      <c r="BR159" s="15" t="s">
        <v>216</v>
      </c>
      <c r="BS159" t="s">
        <v>213</v>
      </c>
      <c r="BT159" t="s">
        <v>1229</v>
      </c>
      <c r="BU159" t="s">
        <v>681</v>
      </c>
      <c r="BV159" t="s">
        <v>1149</v>
      </c>
    </row>
    <row r="160" spans="68:74" x14ac:dyDescent="0.25">
      <c r="BP160">
        <v>583176</v>
      </c>
      <c r="BQ160">
        <v>10200222</v>
      </c>
      <c r="BR160" s="15" t="s">
        <v>216</v>
      </c>
      <c r="BS160" t="s">
        <v>213</v>
      </c>
      <c r="BT160" t="s">
        <v>1230</v>
      </c>
      <c r="BU160" t="s">
        <v>681</v>
      </c>
      <c r="BV160" t="s">
        <v>1149</v>
      </c>
    </row>
    <row r="161" spans="68:74" x14ac:dyDescent="0.25">
      <c r="BQ161">
        <v>1020006313</v>
      </c>
      <c r="BR161" s="15" t="s">
        <v>216</v>
      </c>
      <c r="BS161" t="s">
        <v>213</v>
      </c>
      <c r="BT161" t="s">
        <v>1231</v>
      </c>
      <c r="BU161" t="s">
        <v>682</v>
      </c>
      <c r="BV161" t="s">
        <v>1149</v>
      </c>
    </row>
    <row r="162" spans="68:74" x14ac:dyDescent="0.25">
      <c r="BQ162">
        <v>1020006313</v>
      </c>
      <c r="BR162" s="15" t="s">
        <v>216</v>
      </c>
      <c r="BS162" t="s">
        <v>213</v>
      </c>
      <c r="BT162" t="s">
        <v>1231</v>
      </c>
      <c r="BU162" t="s">
        <v>682</v>
      </c>
      <c r="BV162" t="s">
        <v>1153</v>
      </c>
    </row>
    <row r="163" spans="68:74" x14ac:dyDescent="0.25">
      <c r="BP163">
        <v>12681</v>
      </c>
      <c r="BQ163">
        <v>1020006328</v>
      </c>
      <c r="BR163" s="15" t="s">
        <v>216</v>
      </c>
      <c r="BS163" t="s">
        <v>213</v>
      </c>
      <c r="BT163" t="s">
        <v>1232</v>
      </c>
      <c r="BU163" t="s">
        <v>682</v>
      </c>
      <c r="BV163" t="s">
        <v>1149</v>
      </c>
    </row>
    <row r="164" spans="68:74" x14ac:dyDescent="0.25">
      <c r="BP164">
        <v>12676</v>
      </c>
      <c r="BQ164">
        <v>1020006324</v>
      </c>
      <c r="BR164" s="15" t="s">
        <v>216</v>
      </c>
      <c r="BS164" t="s">
        <v>213</v>
      </c>
      <c r="BT164" t="s">
        <v>1233</v>
      </c>
      <c r="BU164" t="s">
        <v>682</v>
      </c>
      <c r="BV164" t="s">
        <v>1149</v>
      </c>
    </row>
    <row r="165" spans="68:74" x14ac:dyDescent="0.25">
      <c r="BP165">
        <v>12621</v>
      </c>
      <c r="BQ165">
        <v>10201763</v>
      </c>
      <c r="BR165" s="15" t="s">
        <v>216</v>
      </c>
      <c r="BS165" t="s">
        <v>213</v>
      </c>
      <c r="BT165" t="s">
        <v>1234</v>
      </c>
      <c r="BU165" t="s">
        <v>682</v>
      </c>
      <c r="BV165" t="s">
        <v>1149</v>
      </c>
    </row>
    <row r="166" spans="68:74" x14ac:dyDescent="0.25">
      <c r="BP166">
        <v>12572</v>
      </c>
      <c r="BQ166">
        <v>10200072</v>
      </c>
      <c r="BR166" s="15" t="s">
        <v>216</v>
      </c>
      <c r="BS166" t="s">
        <v>213</v>
      </c>
      <c r="BT166" t="s">
        <v>1235</v>
      </c>
      <c r="BU166" t="s">
        <v>681</v>
      </c>
      <c r="BV166" t="s">
        <v>1153</v>
      </c>
    </row>
    <row r="167" spans="68:74" x14ac:dyDescent="0.25">
      <c r="BQ167">
        <v>1020006314</v>
      </c>
      <c r="BR167" s="15" t="s">
        <v>216</v>
      </c>
      <c r="BS167" t="s">
        <v>213</v>
      </c>
      <c r="BT167" t="s">
        <v>1236</v>
      </c>
      <c r="BU167" t="s">
        <v>682</v>
      </c>
      <c r="BV167" t="s">
        <v>1149</v>
      </c>
    </row>
    <row r="168" spans="68:74" x14ac:dyDescent="0.25">
      <c r="BQ168">
        <v>1020006314</v>
      </c>
      <c r="BR168" s="15" t="s">
        <v>216</v>
      </c>
      <c r="BS168" t="s">
        <v>213</v>
      </c>
      <c r="BT168" t="s">
        <v>1236</v>
      </c>
      <c r="BU168" t="s">
        <v>682</v>
      </c>
      <c r="BV168" t="s">
        <v>1153</v>
      </c>
    </row>
    <row r="169" spans="68:74" x14ac:dyDescent="0.25">
      <c r="BP169">
        <v>571995</v>
      </c>
      <c r="BQ169">
        <v>10201013</v>
      </c>
      <c r="BR169" s="15" t="s">
        <v>216</v>
      </c>
      <c r="BS169" t="s">
        <v>213</v>
      </c>
      <c r="BT169" t="s">
        <v>6821</v>
      </c>
      <c r="BU169" t="s">
        <v>682</v>
      </c>
      <c r="BV169" t="s">
        <v>1149</v>
      </c>
    </row>
    <row r="170" spans="68:74" x14ac:dyDescent="0.25">
      <c r="BQ170">
        <v>1020006315</v>
      </c>
      <c r="BR170" s="15" t="s">
        <v>216</v>
      </c>
      <c r="BS170" t="s">
        <v>213</v>
      </c>
      <c r="BT170" t="s">
        <v>1237</v>
      </c>
      <c r="BU170" t="s">
        <v>682</v>
      </c>
      <c r="BV170" t="s">
        <v>1149</v>
      </c>
    </row>
    <row r="171" spans="68:74" x14ac:dyDescent="0.25">
      <c r="BQ171">
        <v>1020006315</v>
      </c>
      <c r="BR171" s="15" t="s">
        <v>216</v>
      </c>
      <c r="BS171" t="s">
        <v>213</v>
      </c>
      <c r="BT171" t="s">
        <v>1237</v>
      </c>
      <c r="BU171" t="s">
        <v>682</v>
      </c>
      <c r="BV171" t="s">
        <v>1153</v>
      </c>
    </row>
    <row r="172" spans="68:74" x14ac:dyDescent="0.25">
      <c r="BQ172">
        <v>10200083</v>
      </c>
      <c r="BR172" s="15" t="s">
        <v>216</v>
      </c>
      <c r="BS172" t="s">
        <v>213</v>
      </c>
      <c r="BT172" t="s">
        <v>1238</v>
      </c>
      <c r="BU172" t="s">
        <v>682</v>
      </c>
      <c r="BV172" t="s">
        <v>680</v>
      </c>
    </row>
    <row r="173" spans="68:74" x14ac:dyDescent="0.25">
      <c r="BQ173">
        <v>1020005304</v>
      </c>
      <c r="BR173" s="15" t="s">
        <v>216</v>
      </c>
      <c r="BS173" t="s">
        <v>213</v>
      </c>
      <c r="BT173" t="s">
        <v>1239</v>
      </c>
      <c r="BU173" t="s">
        <v>682</v>
      </c>
      <c r="BV173" t="s">
        <v>1149</v>
      </c>
    </row>
    <row r="174" spans="68:74" x14ac:dyDescent="0.25">
      <c r="BQ174">
        <v>1020005305</v>
      </c>
      <c r="BR174" s="15" t="s">
        <v>216</v>
      </c>
      <c r="BS174" t="s">
        <v>213</v>
      </c>
      <c r="BT174" t="s">
        <v>1239</v>
      </c>
      <c r="BU174" t="s">
        <v>682</v>
      </c>
      <c r="BV174" t="s">
        <v>1149</v>
      </c>
    </row>
    <row r="175" spans="68:74" x14ac:dyDescent="0.25">
      <c r="BQ175">
        <v>10200093</v>
      </c>
      <c r="BR175" s="15" t="s">
        <v>216</v>
      </c>
      <c r="BS175" t="s">
        <v>213</v>
      </c>
      <c r="BT175" t="s">
        <v>1240</v>
      </c>
      <c r="BU175" t="s">
        <v>682</v>
      </c>
      <c r="BV175" t="s">
        <v>680</v>
      </c>
    </row>
    <row r="176" spans="68:74" x14ac:dyDescent="0.25">
      <c r="BQ176">
        <v>1020006316</v>
      </c>
      <c r="BR176" s="15" t="s">
        <v>216</v>
      </c>
      <c r="BS176" t="s">
        <v>213</v>
      </c>
      <c r="BT176" t="s">
        <v>1241</v>
      </c>
      <c r="BU176" t="s">
        <v>682</v>
      </c>
      <c r="BV176" t="s">
        <v>1149</v>
      </c>
    </row>
    <row r="177" spans="68:74" x14ac:dyDescent="0.25">
      <c r="BP177">
        <v>12675</v>
      </c>
      <c r="BQ177">
        <v>1020006323</v>
      </c>
      <c r="BR177" s="15" t="s">
        <v>216</v>
      </c>
      <c r="BS177" t="s">
        <v>213</v>
      </c>
      <c r="BT177" t="s">
        <v>1242</v>
      </c>
      <c r="BU177" t="s">
        <v>682</v>
      </c>
      <c r="BV177" t="s">
        <v>1149</v>
      </c>
    </row>
    <row r="178" spans="68:74" x14ac:dyDescent="0.25">
      <c r="BP178">
        <v>278412</v>
      </c>
      <c r="BQ178">
        <v>10202173</v>
      </c>
      <c r="BR178" s="15" t="s">
        <v>216</v>
      </c>
      <c r="BS178" t="s">
        <v>213</v>
      </c>
      <c r="BT178" t="s">
        <v>1243</v>
      </c>
      <c r="BU178" t="s">
        <v>682</v>
      </c>
      <c r="BV178" t="s">
        <v>1149</v>
      </c>
    </row>
    <row r="179" spans="68:74" x14ac:dyDescent="0.25">
      <c r="BP179">
        <v>278411</v>
      </c>
      <c r="BQ179">
        <v>10202183</v>
      </c>
      <c r="BR179" s="15" t="s">
        <v>216</v>
      </c>
      <c r="BS179" t="s">
        <v>213</v>
      </c>
      <c r="BT179" t="s">
        <v>1244</v>
      </c>
      <c r="BU179" t="s">
        <v>682</v>
      </c>
      <c r="BV179" t="s">
        <v>1149</v>
      </c>
    </row>
    <row r="180" spans="68:74" x14ac:dyDescent="0.25">
      <c r="BQ180">
        <v>10200213</v>
      </c>
      <c r="BR180" s="15" t="s">
        <v>216</v>
      </c>
      <c r="BS180" t="s">
        <v>213</v>
      </c>
      <c r="BT180" t="s">
        <v>1245</v>
      </c>
      <c r="BU180" t="s">
        <v>682</v>
      </c>
      <c r="BV180" t="s">
        <v>680</v>
      </c>
    </row>
    <row r="181" spans="68:74" x14ac:dyDescent="0.25">
      <c r="BQ181">
        <v>10200263</v>
      </c>
      <c r="BR181" s="15" t="s">
        <v>216</v>
      </c>
      <c r="BS181" t="s">
        <v>213</v>
      </c>
      <c r="BT181" t="s">
        <v>1246</v>
      </c>
      <c r="BU181" t="s">
        <v>682</v>
      </c>
      <c r="BV181" t="s">
        <v>680</v>
      </c>
    </row>
    <row r="182" spans="68:74" x14ac:dyDescent="0.25">
      <c r="BQ182">
        <v>1020012313</v>
      </c>
      <c r="BR182" s="15" t="s">
        <v>216</v>
      </c>
      <c r="BS182" t="s">
        <v>213</v>
      </c>
      <c r="BT182" t="s">
        <v>1247</v>
      </c>
      <c r="BU182" t="s">
        <v>682</v>
      </c>
      <c r="BV182" t="s">
        <v>1149</v>
      </c>
    </row>
    <row r="183" spans="68:74" x14ac:dyDescent="0.25">
      <c r="BQ183">
        <v>1020012313</v>
      </c>
      <c r="BR183" s="15" t="s">
        <v>216</v>
      </c>
      <c r="BS183" t="s">
        <v>213</v>
      </c>
      <c r="BT183" t="s">
        <v>1247</v>
      </c>
      <c r="BU183" t="s">
        <v>682</v>
      </c>
      <c r="BV183" t="s">
        <v>1153</v>
      </c>
    </row>
    <row r="184" spans="68:74" x14ac:dyDescent="0.25">
      <c r="BQ184">
        <v>1020006317</v>
      </c>
      <c r="BR184" s="15" t="s">
        <v>216</v>
      </c>
      <c r="BS184" t="s">
        <v>213</v>
      </c>
      <c r="BT184" t="s">
        <v>1248</v>
      </c>
      <c r="BU184" t="s">
        <v>682</v>
      </c>
      <c r="BV184" t="s">
        <v>1153</v>
      </c>
    </row>
    <row r="185" spans="68:74" x14ac:dyDescent="0.25">
      <c r="BP185">
        <v>583179</v>
      </c>
      <c r="BQ185">
        <v>1020006317</v>
      </c>
      <c r="BR185" s="15" t="s">
        <v>216</v>
      </c>
      <c r="BS185" t="s">
        <v>213</v>
      </c>
      <c r="BT185" t="s">
        <v>1248</v>
      </c>
      <c r="BU185" t="s">
        <v>682</v>
      </c>
      <c r="BV185" t="s">
        <v>1149</v>
      </c>
    </row>
    <row r="186" spans="68:74" x14ac:dyDescent="0.25">
      <c r="BP186">
        <v>12697</v>
      </c>
      <c r="BQ186">
        <v>1020012314</v>
      </c>
      <c r="BR186" s="15" t="s">
        <v>216</v>
      </c>
      <c r="BS186" t="s">
        <v>213</v>
      </c>
      <c r="BT186" t="s">
        <v>1249</v>
      </c>
      <c r="BU186" t="s">
        <v>682</v>
      </c>
      <c r="BV186" t="s">
        <v>1149</v>
      </c>
    </row>
    <row r="187" spans="68:74" x14ac:dyDescent="0.25">
      <c r="BP187">
        <v>12696</v>
      </c>
      <c r="BQ187">
        <v>1020012314</v>
      </c>
      <c r="BR187" s="15" t="s">
        <v>216</v>
      </c>
      <c r="BS187" t="s">
        <v>213</v>
      </c>
      <c r="BT187" t="s">
        <v>1249</v>
      </c>
      <c r="BU187" t="s">
        <v>682</v>
      </c>
      <c r="BV187" t="s">
        <v>1153</v>
      </c>
    </row>
    <row r="188" spans="68:74" x14ac:dyDescent="0.25">
      <c r="BP188">
        <v>276191</v>
      </c>
      <c r="BQ188">
        <v>1020012321</v>
      </c>
      <c r="BR188" s="15" t="s">
        <v>216</v>
      </c>
      <c r="BS188" t="s">
        <v>213</v>
      </c>
      <c r="BT188" t="s">
        <v>1250</v>
      </c>
      <c r="BU188" t="s">
        <v>682</v>
      </c>
      <c r="BV188" t="s">
        <v>1149</v>
      </c>
    </row>
    <row r="189" spans="68:74" x14ac:dyDescent="0.25">
      <c r="BP189">
        <v>12698</v>
      </c>
      <c r="BQ189">
        <v>1020012321</v>
      </c>
      <c r="BR189" s="15" t="s">
        <v>216</v>
      </c>
      <c r="BS189" t="s">
        <v>213</v>
      </c>
      <c r="BT189" t="s">
        <v>1250</v>
      </c>
      <c r="BU189" t="s">
        <v>682</v>
      </c>
      <c r="BV189" t="s">
        <v>1153</v>
      </c>
    </row>
    <row r="190" spans="68:74" x14ac:dyDescent="0.25">
      <c r="BQ190">
        <v>1020012315</v>
      </c>
      <c r="BR190" s="15" t="s">
        <v>216</v>
      </c>
      <c r="BS190" t="s">
        <v>213</v>
      </c>
      <c r="BT190" t="s">
        <v>1251</v>
      </c>
      <c r="BU190" t="s">
        <v>682</v>
      </c>
      <c r="BV190" t="s">
        <v>1153</v>
      </c>
    </row>
    <row r="191" spans="68:74" x14ac:dyDescent="0.25">
      <c r="BP191">
        <v>12614</v>
      </c>
      <c r="BQ191">
        <v>10201723</v>
      </c>
      <c r="BR191" s="15" t="s">
        <v>216</v>
      </c>
      <c r="BS191" t="s">
        <v>213</v>
      </c>
      <c r="BT191" t="s">
        <v>1252</v>
      </c>
      <c r="BU191" t="s">
        <v>682</v>
      </c>
      <c r="BV191" t="s">
        <v>1153</v>
      </c>
    </row>
    <row r="192" spans="68:74" x14ac:dyDescent="0.25">
      <c r="BP192">
        <v>12615</v>
      </c>
      <c r="BQ192">
        <v>10201723</v>
      </c>
      <c r="BR192" s="15" t="s">
        <v>216</v>
      </c>
      <c r="BS192" t="s">
        <v>213</v>
      </c>
      <c r="BT192" t="s">
        <v>1252</v>
      </c>
      <c r="BU192" t="s">
        <v>682</v>
      </c>
      <c r="BV192" t="s">
        <v>1149</v>
      </c>
    </row>
    <row r="193" spans="68:74" x14ac:dyDescent="0.25">
      <c r="BP193">
        <v>278416</v>
      </c>
      <c r="BQ193">
        <v>10202153</v>
      </c>
      <c r="BR193" s="15" t="s">
        <v>216</v>
      </c>
      <c r="BS193" t="s">
        <v>213</v>
      </c>
      <c r="BT193" t="s">
        <v>1253</v>
      </c>
      <c r="BU193" t="s">
        <v>682</v>
      </c>
      <c r="BV193" t="s">
        <v>1149</v>
      </c>
    </row>
    <row r="194" spans="68:74" x14ac:dyDescent="0.25">
      <c r="BQ194">
        <v>10200102</v>
      </c>
      <c r="BR194" s="15" t="s">
        <v>216</v>
      </c>
      <c r="BS194" t="s">
        <v>213</v>
      </c>
      <c r="BT194" t="s">
        <v>1254</v>
      </c>
      <c r="BU194" t="s">
        <v>681</v>
      </c>
      <c r="BV194" t="s">
        <v>1149</v>
      </c>
    </row>
    <row r="195" spans="68:74" x14ac:dyDescent="0.25">
      <c r="BP195">
        <v>12576</v>
      </c>
      <c r="BQ195">
        <v>10200102</v>
      </c>
      <c r="BR195" s="15" t="s">
        <v>216</v>
      </c>
      <c r="BS195" t="s">
        <v>213</v>
      </c>
      <c r="BT195" t="s">
        <v>1254</v>
      </c>
      <c r="BU195" t="s">
        <v>681</v>
      </c>
      <c r="BV195" t="s">
        <v>1149</v>
      </c>
    </row>
    <row r="196" spans="68:74" x14ac:dyDescent="0.25">
      <c r="BP196">
        <v>12574</v>
      </c>
      <c r="BQ196">
        <v>10200102</v>
      </c>
      <c r="BR196" s="15" t="s">
        <v>216</v>
      </c>
      <c r="BS196" t="s">
        <v>213</v>
      </c>
      <c r="BT196" t="s">
        <v>1254</v>
      </c>
      <c r="BU196" t="s">
        <v>681</v>
      </c>
      <c r="BV196" t="s">
        <v>1153</v>
      </c>
    </row>
    <row r="197" spans="68:74" x14ac:dyDescent="0.25">
      <c r="BQ197">
        <v>10200103</v>
      </c>
      <c r="BR197" s="15" t="s">
        <v>216</v>
      </c>
      <c r="BS197" t="s">
        <v>213</v>
      </c>
      <c r="BT197" t="s">
        <v>1254</v>
      </c>
      <c r="BU197" t="s">
        <v>682</v>
      </c>
      <c r="BV197" t="s">
        <v>680</v>
      </c>
    </row>
    <row r="198" spans="68:74" x14ac:dyDescent="0.25">
      <c r="BP198">
        <v>12610</v>
      </c>
      <c r="BQ198">
        <v>10201652</v>
      </c>
      <c r="BR198" s="15" t="s">
        <v>216</v>
      </c>
      <c r="BS198" t="s">
        <v>213</v>
      </c>
      <c r="BT198" t="s">
        <v>1255</v>
      </c>
      <c r="BU198" t="s">
        <v>681</v>
      </c>
      <c r="BV198" t="s">
        <v>1149</v>
      </c>
    </row>
    <row r="199" spans="68:74" x14ac:dyDescent="0.25">
      <c r="BQ199">
        <v>10200232</v>
      </c>
      <c r="BR199" s="15" t="s">
        <v>216</v>
      </c>
      <c r="BS199" t="s">
        <v>213</v>
      </c>
      <c r="BT199" t="s">
        <v>1256</v>
      </c>
      <c r="BU199" t="s">
        <v>681</v>
      </c>
      <c r="BV199" t="s">
        <v>1149</v>
      </c>
    </row>
    <row r="200" spans="68:74" x14ac:dyDescent="0.25">
      <c r="BP200">
        <v>12687</v>
      </c>
      <c r="BQ200">
        <v>1020010305</v>
      </c>
      <c r="BR200" s="15" t="s">
        <v>216</v>
      </c>
      <c r="BS200" t="s">
        <v>213</v>
      </c>
      <c r="BT200" t="s">
        <v>1257</v>
      </c>
      <c r="BU200" t="s">
        <v>682</v>
      </c>
      <c r="BV200" t="s">
        <v>1149</v>
      </c>
    </row>
    <row r="201" spans="68:74" x14ac:dyDescent="0.25">
      <c r="BP201">
        <v>583173</v>
      </c>
      <c r="BQ201">
        <v>1020010306</v>
      </c>
      <c r="BR201" s="15" t="s">
        <v>216</v>
      </c>
      <c r="BS201" t="s">
        <v>213</v>
      </c>
      <c r="BT201" t="s">
        <v>1258</v>
      </c>
      <c r="BU201" t="s">
        <v>682</v>
      </c>
      <c r="BV201" t="s">
        <v>1153</v>
      </c>
    </row>
    <row r="202" spans="68:74" x14ac:dyDescent="0.25">
      <c r="BQ202">
        <v>1020010306</v>
      </c>
      <c r="BR202" s="15" t="s">
        <v>216</v>
      </c>
      <c r="BS202" t="s">
        <v>213</v>
      </c>
      <c r="BT202" t="s">
        <v>1258</v>
      </c>
      <c r="BU202" t="s">
        <v>682</v>
      </c>
      <c r="BV202" t="s">
        <v>1149</v>
      </c>
    </row>
    <row r="203" spans="68:74" x14ac:dyDescent="0.25">
      <c r="BQ203">
        <v>1020010307</v>
      </c>
      <c r="BR203" s="15" t="s">
        <v>216</v>
      </c>
      <c r="BS203" t="s">
        <v>213</v>
      </c>
      <c r="BT203" t="s">
        <v>1259</v>
      </c>
      <c r="BU203" t="s">
        <v>682</v>
      </c>
      <c r="BV203" t="s">
        <v>1149</v>
      </c>
    </row>
    <row r="204" spans="68:74" x14ac:dyDescent="0.25">
      <c r="BQ204">
        <v>10200113</v>
      </c>
      <c r="BR204" s="15" t="s">
        <v>216</v>
      </c>
      <c r="BS204" t="s">
        <v>213</v>
      </c>
      <c r="BT204" t="s">
        <v>1260</v>
      </c>
      <c r="BU204" t="s">
        <v>682</v>
      </c>
      <c r="BV204" t="s">
        <v>680</v>
      </c>
    </row>
    <row r="205" spans="68:74" x14ac:dyDescent="0.25">
      <c r="BQ205">
        <v>1020010308</v>
      </c>
      <c r="BR205" s="15" t="s">
        <v>216</v>
      </c>
      <c r="BS205" t="s">
        <v>213</v>
      </c>
      <c r="BT205" t="s">
        <v>1261</v>
      </c>
      <c r="BU205" t="s">
        <v>682</v>
      </c>
      <c r="BV205" t="s">
        <v>1149</v>
      </c>
    </row>
    <row r="206" spans="68:74" x14ac:dyDescent="0.25">
      <c r="BQ206">
        <v>1020010308</v>
      </c>
      <c r="BR206" s="15" t="s">
        <v>216</v>
      </c>
      <c r="BS206" t="s">
        <v>213</v>
      </c>
      <c r="BT206" t="s">
        <v>1261</v>
      </c>
      <c r="BU206" t="s">
        <v>682</v>
      </c>
      <c r="BV206" t="s">
        <v>1153</v>
      </c>
    </row>
    <row r="207" spans="68:74" x14ac:dyDescent="0.25">
      <c r="BP207">
        <v>12580</v>
      </c>
      <c r="BQ207">
        <v>10200122</v>
      </c>
      <c r="BR207" s="15" t="s">
        <v>216</v>
      </c>
      <c r="BS207" t="s">
        <v>213</v>
      </c>
      <c r="BT207" t="s">
        <v>1262</v>
      </c>
      <c r="BU207" t="s">
        <v>681</v>
      </c>
      <c r="BV207" t="s">
        <v>1153</v>
      </c>
    </row>
    <row r="208" spans="68:74" x14ac:dyDescent="0.25">
      <c r="BP208">
        <v>12582</v>
      </c>
      <c r="BQ208">
        <v>10200122</v>
      </c>
      <c r="BR208" s="15" t="s">
        <v>216</v>
      </c>
      <c r="BS208" t="s">
        <v>213</v>
      </c>
      <c r="BT208" t="s">
        <v>1262</v>
      </c>
      <c r="BU208" t="s">
        <v>681</v>
      </c>
      <c r="BV208" t="s">
        <v>1149</v>
      </c>
    </row>
    <row r="209" spans="68:74" x14ac:dyDescent="0.25">
      <c r="BP209">
        <v>12584</v>
      </c>
      <c r="BQ209">
        <v>10200123</v>
      </c>
      <c r="BR209" s="15" t="s">
        <v>216</v>
      </c>
      <c r="BS209" t="s">
        <v>213</v>
      </c>
      <c r="BT209" t="s">
        <v>1262</v>
      </c>
      <c r="BU209" t="s">
        <v>682</v>
      </c>
      <c r="BV209" t="s">
        <v>1149</v>
      </c>
    </row>
    <row r="210" spans="68:74" x14ac:dyDescent="0.25">
      <c r="BP210">
        <v>12583</v>
      </c>
      <c r="BQ210">
        <v>10200123</v>
      </c>
      <c r="BR210" s="15" t="s">
        <v>216</v>
      </c>
      <c r="BS210" t="s">
        <v>213</v>
      </c>
      <c r="BT210" t="s">
        <v>1262</v>
      </c>
      <c r="BU210" t="s">
        <v>682</v>
      </c>
      <c r="BV210" t="s">
        <v>1153</v>
      </c>
    </row>
    <row r="211" spans="68:74" x14ac:dyDescent="0.25">
      <c r="BP211">
        <v>12709</v>
      </c>
      <c r="BQ211">
        <v>1020012330</v>
      </c>
      <c r="BR211" s="15" t="s">
        <v>216</v>
      </c>
      <c r="BS211" t="s">
        <v>213</v>
      </c>
      <c r="BT211" t="s">
        <v>1262</v>
      </c>
      <c r="BU211" t="s">
        <v>682</v>
      </c>
      <c r="BV211" t="s">
        <v>1153</v>
      </c>
    </row>
    <row r="212" spans="68:74" x14ac:dyDescent="0.25">
      <c r="BP212">
        <v>12706</v>
      </c>
      <c r="BQ212">
        <v>1020012328</v>
      </c>
      <c r="BR212" s="15" t="s">
        <v>216</v>
      </c>
      <c r="BS212" t="s">
        <v>213</v>
      </c>
      <c r="BT212" t="s">
        <v>1263</v>
      </c>
      <c r="BU212" t="s">
        <v>682</v>
      </c>
      <c r="BV212" t="s">
        <v>1153</v>
      </c>
    </row>
    <row r="213" spans="68:74" x14ac:dyDescent="0.25">
      <c r="BQ213">
        <v>1020012328</v>
      </c>
      <c r="BR213" s="15" t="s">
        <v>216</v>
      </c>
      <c r="BS213" t="s">
        <v>213</v>
      </c>
      <c r="BT213" t="s">
        <v>1263</v>
      </c>
      <c r="BU213" t="s">
        <v>682</v>
      </c>
      <c r="BV213" t="s">
        <v>1153</v>
      </c>
    </row>
    <row r="214" spans="68:74" x14ac:dyDescent="0.25">
      <c r="BP214">
        <v>12612</v>
      </c>
      <c r="BQ214">
        <v>10201662</v>
      </c>
      <c r="BR214" s="15" t="s">
        <v>216</v>
      </c>
      <c r="BS214" t="s">
        <v>213</v>
      </c>
      <c r="BT214" t="s">
        <v>1264</v>
      </c>
      <c r="BU214" t="s">
        <v>681</v>
      </c>
      <c r="BV214" t="s">
        <v>1149</v>
      </c>
    </row>
    <row r="215" spans="68:74" x14ac:dyDescent="0.25">
      <c r="BQ215">
        <v>10200132</v>
      </c>
      <c r="BR215" s="15" t="s">
        <v>216</v>
      </c>
      <c r="BS215" t="s">
        <v>213</v>
      </c>
      <c r="BT215" t="s">
        <v>1265</v>
      </c>
      <c r="BU215" t="s">
        <v>681</v>
      </c>
      <c r="BV215" t="s">
        <v>680</v>
      </c>
    </row>
    <row r="216" spans="68:74" x14ac:dyDescent="0.25">
      <c r="BQ216">
        <v>10200142</v>
      </c>
      <c r="BR216" s="15" t="s">
        <v>216</v>
      </c>
      <c r="BS216" t="s">
        <v>213</v>
      </c>
      <c r="BT216" t="s">
        <v>1266</v>
      </c>
      <c r="BU216" t="s">
        <v>681</v>
      </c>
      <c r="BV216" t="s">
        <v>680</v>
      </c>
    </row>
    <row r="217" spans="68:74" x14ac:dyDescent="0.25">
      <c r="BP217">
        <v>12616</v>
      </c>
      <c r="BQ217">
        <v>10201733</v>
      </c>
      <c r="BR217" s="15" t="s">
        <v>216</v>
      </c>
      <c r="BS217" t="s">
        <v>213</v>
      </c>
      <c r="BT217" t="s">
        <v>1267</v>
      </c>
      <c r="BU217" t="s">
        <v>682</v>
      </c>
      <c r="BV217" t="s">
        <v>1153</v>
      </c>
    </row>
    <row r="218" spans="68:74" x14ac:dyDescent="0.25">
      <c r="BP218">
        <v>12617</v>
      </c>
      <c r="BQ218">
        <v>10201743</v>
      </c>
      <c r="BR218" s="15" t="s">
        <v>216</v>
      </c>
      <c r="BS218" t="s">
        <v>213</v>
      </c>
      <c r="BT218" t="s">
        <v>1268</v>
      </c>
      <c r="BU218" t="s">
        <v>682</v>
      </c>
      <c r="BV218" t="s">
        <v>1149</v>
      </c>
    </row>
    <row r="219" spans="68:74" x14ac:dyDescent="0.25">
      <c r="BQ219">
        <v>10200242</v>
      </c>
      <c r="BR219" s="15" t="s">
        <v>216</v>
      </c>
      <c r="BS219" t="s">
        <v>213</v>
      </c>
      <c r="BT219" t="s">
        <v>1269</v>
      </c>
      <c r="BU219" t="s">
        <v>681</v>
      </c>
      <c r="BV219" t="s">
        <v>1149</v>
      </c>
    </row>
    <row r="220" spans="68:74" x14ac:dyDescent="0.25">
      <c r="BP220">
        <v>12711</v>
      </c>
      <c r="BQ220">
        <v>1020012331</v>
      </c>
      <c r="BR220" s="15" t="s">
        <v>216</v>
      </c>
      <c r="BS220" t="s">
        <v>213</v>
      </c>
      <c r="BT220" t="s">
        <v>1270</v>
      </c>
      <c r="BU220" t="s">
        <v>682</v>
      </c>
      <c r="BV220" t="s">
        <v>1153</v>
      </c>
    </row>
    <row r="221" spans="68:74" x14ac:dyDescent="0.25">
      <c r="BP221">
        <v>12713</v>
      </c>
      <c r="BQ221">
        <v>1020012332</v>
      </c>
      <c r="BR221" s="15" t="s">
        <v>216</v>
      </c>
      <c r="BS221" t="s">
        <v>213</v>
      </c>
      <c r="BT221" t="s">
        <v>1271</v>
      </c>
      <c r="BU221" t="s">
        <v>682</v>
      </c>
      <c r="BV221" t="s">
        <v>1153</v>
      </c>
    </row>
    <row r="222" spans="68:74" x14ac:dyDescent="0.25">
      <c r="BP222">
        <v>12714</v>
      </c>
      <c r="BQ222">
        <v>1020012333</v>
      </c>
      <c r="BR222" s="15" t="s">
        <v>216</v>
      </c>
      <c r="BS222" t="s">
        <v>213</v>
      </c>
      <c r="BT222" t="s">
        <v>1272</v>
      </c>
      <c r="BU222" t="s">
        <v>682</v>
      </c>
      <c r="BV222" t="s">
        <v>1153</v>
      </c>
    </row>
    <row r="223" spans="68:74" x14ac:dyDescent="0.25">
      <c r="BP223">
        <v>11260</v>
      </c>
      <c r="BQ223">
        <v>1020005314</v>
      </c>
      <c r="BR223" s="15" t="s">
        <v>216</v>
      </c>
      <c r="BS223" t="s">
        <v>213</v>
      </c>
      <c r="BT223" t="s">
        <v>1273</v>
      </c>
      <c r="BU223" t="s">
        <v>682</v>
      </c>
      <c r="BV223" t="s">
        <v>1153</v>
      </c>
    </row>
    <row r="224" spans="68:74" x14ac:dyDescent="0.25">
      <c r="BP224">
        <v>11262</v>
      </c>
      <c r="BQ224">
        <v>1020005314</v>
      </c>
      <c r="BR224" s="15" t="s">
        <v>216</v>
      </c>
      <c r="BS224" t="s">
        <v>213</v>
      </c>
      <c r="BT224" t="s">
        <v>1273</v>
      </c>
      <c r="BU224" t="s">
        <v>682</v>
      </c>
      <c r="BV224" t="s">
        <v>1149</v>
      </c>
    </row>
    <row r="225" spans="68:74" x14ac:dyDescent="0.25">
      <c r="BP225">
        <v>11275</v>
      </c>
      <c r="BQ225">
        <v>1020005320</v>
      </c>
      <c r="BR225" s="15" t="s">
        <v>216</v>
      </c>
      <c r="BS225" t="s">
        <v>213</v>
      </c>
      <c r="BT225" t="s">
        <v>1274</v>
      </c>
      <c r="BU225" t="s">
        <v>682</v>
      </c>
      <c r="BV225" t="s">
        <v>1153</v>
      </c>
    </row>
    <row r="226" spans="68:74" x14ac:dyDescent="0.25">
      <c r="BP226">
        <v>11278</v>
      </c>
      <c r="BQ226">
        <v>1020005320</v>
      </c>
      <c r="BR226" s="15" t="s">
        <v>216</v>
      </c>
      <c r="BS226" t="s">
        <v>213</v>
      </c>
      <c r="BT226" t="s">
        <v>1274</v>
      </c>
      <c r="BU226" t="s">
        <v>682</v>
      </c>
      <c r="BV226" t="s">
        <v>1149</v>
      </c>
    </row>
    <row r="227" spans="68:74" x14ac:dyDescent="0.25">
      <c r="BQ227">
        <v>1020005315</v>
      </c>
      <c r="BR227" s="15" t="s">
        <v>216</v>
      </c>
      <c r="BS227" t="s">
        <v>213</v>
      </c>
      <c r="BT227" t="s">
        <v>1275</v>
      </c>
      <c r="BU227" t="s">
        <v>682</v>
      </c>
      <c r="BV227" t="s">
        <v>680</v>
      </c>
    </row>
    <row r="228" spans="68:74" x14ac:dyDescent="0.25">
      <c r="BQ228">
        <v>10200153</v>
      </c>
      <c r="BR228" s="15" t="s">
        <v>216</v>
      </c>
      <c r="BS228" t="s">
        <v>213</v>
      </c>
      <c r="BT228" t="s">
        <v>1276</v>
      </c>
      <c r="BU228" t="s">
        <v>682</v>
      </c>
      <c r="BV228" t="s">
        <v>680</v>
      </c>
    </row>
    <row r="229" spans="68:74" x14ac:dyDescent="0.25">
      <c r="BQ229">
        <v>10200203</v>
      </c>
      <c r="BR229" s="15" t="s">
        <v>216</v>
      </c>
      <c r="BS229" t="s">
        <v>213</v>
      </c>
      <c r="BT229" t="s">
        <v>1277</v>
      </c>
      <c r="BU229" t="s">
        <v>682</v>
      </c>
      <c r="BV229" t="s">
        <v>680</v>
      </c>
    </row>
    <row r="230" spans="68:74" x14ac:dyDescent="0.25">
      <c r="BQ230">
        <v>1020005306</v>
      </c>
      <c r="BR230" s="15" t="s">
        <v>216</v>
      </c>
      <c r="BS230" t="s">
        <v>213</v>
      </c>
      <c r="BT230" t="s">
        <v>1155</v>
      </c>
      <c r="BU230" t="s">
        <v>682</v>
      </c>
      <c r="BV230" t="s">
        <v>1149</v>
      </c>
    </row>
    <row r="231" spans="68:74" x14ac:dyDescent="0.25">
      <c r="BQ231">
        <v>1020005307</v>
      </c>
      <c r="BR231" s="15" t="s">
        <v>216</v>
      </c>
      <c r="BS231" t="s">
        <v>213</v>
      </c>
      <c r="BT231" t="s">
        <v>1155</v>
      </c>
      <c r="BU231" t="s">
        <v>682</v>
      </c>
      <c r="BV231" t="s">
        <v>1149</v>
      </c>
    </row>
    <row r="232" spans="68:74" x14ac:dyDescent="0.25">
      <c r="BQ232">
        <v>1020005308</v>
      </c>
      <c r="BR232" s="15" t="s">
        <v>216</v>
      </c>
      <c r="BS232" t="s">
        <v>213</v>
      </c>
      <c r="BT232" t="s">
        <v>1278</v>
      </c>
      <c r="BU232" t="s">
        <v>682</v>
      </c>
      <c r="BV232" t="s">
        <v>1149</v>
      </c>
    </row>
    <row r="233" spans="68:74" x14ac:dyDescent="0.25">
      <c r="BP233">
        <v>12154</v>
      </c>
      <c r="BQ233">
        <v>10300742</v>
      </c>
      <c r="BR233" s="15" t="s">
        <v>217</v>
      </c>
      <c r="BS233" t="s">
        <v>1279</v>
      </c>
      <c r="BT233" t="s">
        <v>1280</v>
      </c>
      <c r="BU233" t="s">
        <v>681</v>
      </c>
      <c r="BV233" t="s">
        <v>1153</v>
      </c>
    </row>
    <row r="234" spans="68:74" x14ac:dyDescent="0.25">
      <c r="BQ234">
        <v>10300032</v>
      </c>
      <c r="BR234" s="15" t="s">
        <v>217</v>
      </c>
      <c r="BS234" t="s">
        <v>1279</v>
      </c>
      <c r="BT234" t="s">
        <v>1281</v>
      </c>
      <c r="BU234" t="s">
        <v>681</v>
      </c>
      <c r="BV234" t="s">
        <v>1149</v>
      </c>
    </row>
    <row r="235" spans="68:74" x14ac:dyDescent="0.25">
      <c r="BP235">
        <v>12146</v>
      </c>
      <c r="BQ235">
        <v>10300032</v>
      </c>
      <c r="BR235" s="15" t="s">
        <v>217</v>
      </c>
      <c r="BS235" t="s">
        <v>1279</v>
      </c>
      <c r="BT235" t="s">
        <v>1281</v>
      </c>
      <c r="BU235" t="s">
        <v>681</v>
      </c>
      <c r="BV235" t="s">
        <v>1153</v>
      </c>
    </row>
    <row r="236" spans="68:74" x14ac:dyDescent="0.25">
      <c r="BP236">
        <v>549416</v>
      </c>
      <c r="BQ236">
        <v>10302953</v>
      </c>
      <c r="BR236" s="15" t="s">
        <v>217</v>
      </c>
      <c r="BS236" t="s">
        <v>1279</v>
      </c>
      <c r="BT236" t="s">
        <v>4932</v>
      </c>
      <c r="BU236" t="s">
        <v>682</v>
      </c>
      <c r="BV236" t="s">
        <v>1153</v>
      </c>
    </row>
    <row r="237" spans="68:74" x14ac:dyDescent="0.25">
      <c r="BP237">
        <v>12311</v>
      </c>
      <c r="BQ237">
        <v>10302502</v>
      </c>
      <c r="BR237" s="15" t="s">
        <v>217</v>
      </c>
      <c r="BS237" t="s">
        <v>1279</v>
      </c>
      <c r="BT237" t="s">
        <v>1282</v>
      </c>
      <c r="BU237" t="s">
        <v>681</v>
      </c>
      <c r="BV237" t="s">
        <v>1153</v>
      </c>
    </row>
    <row r="238" spans="68:74" x14ac:dyDescent="0.25">
      <c r="BP238">
        <v>12149</v>
      </c>
      <c r="BQ238">
        <v>10300112</v>
      </c>
      <c r="BR238" s="15" t="s">
        <v>217</v>
      </c>
      <c r="BS238" t="s">
        <v>1279</v>
      </c>
      <c r="BT238" t="s">
        <v>1283</v>
      </c>
      <c r="BU238" t="s">
        <v>681</v>
      </c>
      <c r="BV238" t="s">
        <v>1153</v>
      </c>
    </row>
    <row r="239" spans="68:74" x14ac:dyDescent="0.25">
      <c r="BP239">
        <v>12151</v>
      </c>
      <c r="BQ239">
        <v>10300112</v>
      </c>
      <c r="BR239" s="15" t="s">
        <v>217</v>
      </c>
      <c r="BS239" t="s">
        <v>1279</v>
      </c>
      <c r="BT239" t="s">
        <v>1283</v>
      </c>
      <c r="BU239" t="s">
        <v>681</v>
      </c>
      <c r="BV239" t="s">
        <v>1149</v>
      </c>
    </row>
    <row r="240" spans="68:74" x14ac:dyDescent="0.25">
      <c r="BP240">
        <v>550026</v>
      </c>
      <c r="BQ240">
        <v>10302983</v>
      </c>
      <c r="BR240" s="15" t="s">
        <v>217</v>
      </c>
      <c r="BS240" t="s">
        <v>1279</v>
      </c>
      <c r="BT240" t="s">
        <v>5138</v>
      </c>
      <c r="BU240" t="s">
        <v>682</v>
      </c>
      <c r="BV240" t="s">
        <v>1153</v>
      </c>
    </row>
    <row r="241" spans="68:74" x14ac:dyDescent="0.25">
      <c r="BP241">
        <v>11774</v>
      </c>
      <c r="BQ241">
        <v>1030014304</v>
      </c>
      <c r="BR241" s="15" t="s">
        <v>217</v>
      </c>
      <c r="BS241" t="s">
        <v>1279</v>
      </c>
      <c r="BT241" t="s">
        <v>1284</v>
      </c>
      <c r="BU241" t="s">
        <v>682</v>
      </c>
      <c r="BV241" t="s">
        <v>1153</v>
      </c>
    </row>
    <row r="242" spans="68:74" x14ac:dyDescent="0.25">
      <c r="BQ242">
        <v>1030014303</v>
      </c>
      <c r="BR242" s="15" t="s">
        <v>217</v>
      </c>
      <c r="BS242" t="s">
        <v>1279</v>
      </c>
      <c r="BT242" t="s">
        <v>1285</v>
      </c>
      <c r="BU242" t="s">
        <v>682</v>
      </c>
      <c r="BV242" t="s">
        <v>1153</v>
      </c>
    </row>
    <row r="243" spans="68:74" x14ac:dyDescent="0.25">
      <c r="BP243">
        <v>11772</v>
      </c>
      <c r="BQ243">
        <v>1030014302</v>
      </c>
      <c r="BR243" s="15" t="s">
        <v>217</v>
      </c>
      <c r="BS243" t="s">
        <v>1279</v>
      </c>
      <c r="BT243" t="s">
        <v>1286</v>
      </c>
      <c r="BU243" t="s">
        <v>682</v>
      </c>
      <c r="BV243" t="s">
        <v>1149</v>
      </c>
    </row>
    <row r="244" spans="68:74" x14ac:dyDescent="0.25">
      <c r="BP244">
        <v>12629</v>
      </c>
      <c r="BQ244">
        <v>10300122</v>
      </c>
      <c r="BR244" s="15" t="s">
        <v>217</v>
      </c>
      <c r="BS244" t="s">
        <v>1279</v>
      </c>
      <c r="BT244" t="s">
        <v>284</v>
      </c>
      <c r="BU244" t="s">
        <v>681</v>
      </c>
      <c r="BV244" t="s">
        <v>1153</v>
      </c>
    </row>
    <row r="245" spans="68:74" x14ac:dyDescent="0.25">
      <c r="BQ245">
        <v>1030012301</v>
      </c>
      <c r="BR245" s="15" t="s">
        <v>217</v>
      </c>
      <c r="BS245" t="s">
        <v>1279</v>
      </c>
      <c r="BT245" t="s">
        <v>284</v>
      </c>
      <c r="BU245" t="s">
        <v>682</v>
      </c>
      <c r="BV245" t="s">
        <v>1153</v>
      </c>
    </row>
    <row r="246" spans="68:74" x14ac:dyDescent="0.25">
      <c r="BP246">
        <v>549415</v>
      </c>
      <c r="BQ246">
        <v>10302943</v>
      </c>
      <c r="BR246" s="15" t="s">
        <v>217</v>
      </c>
      <c r="BS246" t="s">
        <v>1279</v>
      </c>
      <c r="BT246" t="s">
        <v>5654</v>
      </c>
      <c r="BU246" t="s">
        <v>682</v>
      </c>
      <c r="BV246" t="s">
        <v>1149</v>
      </c>
    </row>
    <row r="247" spans="68:74" x14ac:dyDescent="0.25">
      <c r="BP247">
        <v>458209</v>
      </c>
      <c r="BQ247">
        <v>10302933</v>
      </c>
      <c r="BR247" s="15" t="s">
        <v>217</v>
      </c>
      <c r="BS247" t="s">
        <v>1279</v>
      </c>
      <c r="BT247" t="s">
        <v>5669</v>
      </c>
      <c r="BU247" t="s">
        <v>682</v>
      </c>
      <c r="BV247" t="s">
        <v>1153</v>
      </c>
    </row>
    <row r="248" spans="68:74" x14ac:dyDescent="0.25">
      <c r="BQ248">
        <v>1030025301</v>
      </c>
      <c r="BR248" s="15" t="s">
        <v>217</v>
      </c>
      <c r="BS248" t="s">
        <v>1279</v>
      </c>
      <c r="BT248" t="s">
        <v>1287</v>
      </c>
      <c r="BU248" t="s">
        <v>682</v>
      </c>
      <c r="BV248" t="s">
        <v>1149</v>
      </c>
    </row>
    <row r="249" spans="68:74" x14ac:dyDescent="0.25">
      <c r="BQ249">
        <v>10300243</v>
      </c>
      <c r="BR249" s="15" t="s">
        <v>217</v>
      </c>
      <c r="BS249" t="s">
        <v>1279</v>
      </c>
      <c r="BT249" t="s">
        <v>1288</v>
      </c>
      <c r="BU249" t="s">
        <v>682</v>
      </c>
      <c r="BV249" t="s">
        <v>680</v>
      </c>
    </row>
    <row r="250" spans="68:74" x14ac:dyDescent="0.25">
      <c r="BP250">
        <v>11017</v>
      </c>
      <c r="BQ250">
        <v>10300132</v>
      </c>
      <c r="BR250" s="15" t="s">
        <v>217</v>
      </c>
      <c r="BS250" t="s">
        <v>1279</v>
      </c>
      <c r="BT250" t="s">
        <v>1289</v>
      </c>
      <c r="BU250" t="s">
        <v>681</v>
      </c>
      <c r="BV250" t="s">
        <v>1153</v>
      </c>
    </row>
    <row r="251" spans="68:74" x14ac:dyDescent="0.25">
      <c r="BP251">
        <v>11019</v>
      </c>
      <c r="BQ251">
        <v>10300572</v>
      </c>
      <c r="BR251" s="15" t="s">
        <v>217</v>
      </c>
      <c r="BS251" t="s">
        <v>1279</v>
      </c>
      <c r="BT251" t="s">
        <v>1290</v>
      </c>
      <c r="BU251" t="s">
        <v>681</v>
      </c>
      <c r="BV251" t="s">
        <v>1153</v>
      </c>
    </row>
    <row r="252" spans="68:74" x14ac:dyDescent="0.25">
      <c r="BP252">
        <v>11021</v>
      </c>
      <c r="BQ252">
        <v>10302492</v>
      </c>
      <c r="BR252" s="15" t="s">
        <v>217</v>
      </c>
      <c r="BS252" t="s">
        <v>1279</v>
      </c>
      <c r="BT252" t="s">
        <v>1291</v>
      </c>
      <c r="BU252" t="s">
        <v>681</v>
      </c>
      <c r="BV252" t="s">
        <v>1153</v>
      </c>
    </row>
    <row r="253" spans="68:74" x14ac:dyDescent="0.25">
      <c r="BP253">
        <v>11694</v>
      </c>
      <c r="BQ253">
        <v>10300142</v>
      </c>
      <c r="BR253" s="15" t="s">
        <v>217</v>
      </c>
      <c r="BS253" t="s">
        <v>1279</v>
      </c>
      <c r="BT253" t="s">
        <v>1292</v>
      </c>
      <c r="BU253" t="s">
        <v>681</v>
      </c>
      <c r="BV253" t="s">
        <v>1153</v>
      </c>
    </row>
    <row r="254" spans="68:74" x14ac:dyDescent="0.25">
      <c r="BP254">
        <v>11696</v>
      </c>
      <c r="BQ254">
        <v>10300142</v>
      </c>
      <c r="BR254" s="15" t="s">
        <v>217</v>
      </c>
      <c r="BS254" t="s">
        <v>1279</v>
      </c>
      <c r="BT254" t="s">
        <v>1292</v>
      </c>
      <c r="BU254" t="s">
        <v>681</v>
      </c>
      <c r="BV254" t="s">
        <v>1149</v>
      </c>
    </row>
    <row r="255" spans="68:74" x14ac:dyDescent="0.25">
      <c r="BP255">
        <v>11588</v>
      </c>
      <c r="BQ255">
        <v>1030001301</v>
      </c>
      <c r="BR255" s="15" t="s">
        <v>217</v>
      </c>
      <c r="BS255" t="s">
        <v>1279</v>
      </c>
      <c r="BT255" t="s">
        <v>1293</v>
      </c>
      <c r="BU255" t="s">
        <v>682</v>
      </c>
      <c r="BV255" t="s">
        <v>1153</v>
      </c>
    </row>
    <row r="256" spans="68:74" x14ac:dyDescent="0.25">
      <c r="BP256">
        <v>11591</v>
      </c>
      <c r="BQ256">
        <v>1030022301</v>
      </c>
      <c r="BR256" s="15" t="s">
        <v>217</v>
      </c>
      <c r="BS256" t="s">
        <v>1279</v>
      </c>
      <c r="BT256" t="s">
        <v>1294</v>
      </c>
      <c r="BU256" t="s">
        <v>682</v>
      </c>
      <c r="BV256" t="s">
        <v>1153</v>
      </c>
    </row>
    <row r="257" spans="68:74" x14ac:dyDescent="0.25">
      <c r="BP257">
        <v>11592</v>
      </c>
      <c r="BQ257">
        <v>1030023301</v>
      </c>
      <c r="BR257" s="15" t="s">
        <v>217</v>
      </c>
      <c r="BS257" t="s">
        <v>1279</v>
      </c>
      <c r="BT257" t="s">
        <v>1295</v>
      </c>
      <c r="BU257" t="s">
        <v>682</v>
      </c>
      <c r="BV257" t="s">
        <v>1153</v>
      </c>
    </row>
    <row r="258" spans="68:74" x14ac:dyDescent="0.25">
      <c r="BQ258">
        <v>1030004301</v>
      </c>
      <c r="BR258" s="15" t="s">
        <v>217</v>
      </c>
      <c r="BS258" t="s">
        <v>1279</v>
      </c>
      <c r="BT258" t="s">
        <v>1296</v>
      </c>
      <c r="BU258" t="s">
        <v>682</v>
      </c>
      <c r="BV258" t="s">
        <v>1153</v>
      </c>
    </row>
    <row r="259" spans="68:74" x14ac:dyDescent="0.25">
      <c r="BP259">
        <v>11595</v>
      </c>
      <c r="BQ259">
        <v>1030337301</v>
      </c>
      <c r="BR259" s="15" t="s">
        <v>217</v>
      </c>
      <c r="BS259" t="s">
        <v>1279</v>
      </c>
      <c r="BT259" t="s">
        <v>1297</v>
      </c>
      <c r="BU259" t="s">
        <v>682</v>
      </c>
      <c r="BV259" t="s">
        <v>1153</v>
      </c>
    </row>
    <row r="260" spans="68:74" x14ac:dyDescent="0.25">
      <c r="BP260">
        <v>11593</v>
      </c>
      <c r="BQ260">
        <v>1030028301</v>
      </c>
      <c r="BR260" s="15" t="s">
        <v>217</v>
      </c>
      <c r="BS260" t="s">
        <v>1279</v>
      </c>
      <c r="BT260" t="s">
        <v>1298</v>
      </c>
      <c r="BU260" t="s">
        <v>682</v>
      </c>
      <c r="BV260" t="s">
        <v>1153</v>
      </c>
    </row>
    <row r="261" spans="68:74" x14ac:dyDescent="0.25">
      <c r="BP261">
        <v>11590</v>
      </c>
      <c r="BQ261">
        <v>1030013301</v>
      </c>
      <c r="BR261" s="15" t="s">
        <v>217</v>
      </c>
      <c r="BS261" t="s">
        <v>1279</v>
      </c>
      <c r="BT261" t="s">
        <v>1299</v>
      </c>
      <c r="BU261" t="s">
        <v>682</v>
      </c>
      <c r="BV261" t="s">
        <v>1153</v>
      </c>
    </row>
    <row r="262" spans="68:74" x14ac:dyDescent="0.25">
      <c r="BP262">
        <v>579360</v>
      </c>
      <c r="BQ262">
        <v>10303063</v>
      </c>
      <c r="BR262" s="15" t="s">
        <v>217</v>
      </c>
      <c r="BS262" t="s">
        <v>1279</v>
      </c>
      <c r="BT262" t="s">
        <v>6279</v>
      </c>
      <c r="BU262" t="s">
        <v>682</v>
      </c>
      <c r="BV262" t="s">
        <v>1153</v>
      </c>
    </row>
    <row r="263" spans="68:74" x14ac:dyDescent="0.25">
      <c r="BP263">
        <v>140134</v>
      </c>
      <c r="BQ263">
        <v>10302683</v>
      </c>
      <c r="BR263" s="15" t="s">
        <v>217</v>
      </c>
      <c r="BS263" t="s">
        <v>1279</v>
      </c>
      <c r="BT263" t="s">
        <v>1300</v>
      </c>
      <c r="BU263" t="s">
        <v>682</v>
      </c>
      <c r="BV263" t="s">
        <v>1153</v>
      </c>
    </row>
    <row r="264" spans="68:74" x14ac:dyDescent="0.25">
      <c r="BP264">
        <v>145010</v>
      </c>
      <c r="BQ264">
        <v>10302703</v>
      </c>
      <c r="BR264" s="15" t="s">
        <v>217</v>
      </c>
      <c r="BS264" t="s">
        <v>1279</v>
      </c>
      <c r="BT264" t="s">
        <v>1301</v>
      </c>
      <c r="BU264" t="s">
        <v>682</v>
      </c>
      <c r="BV264" t="s">
        <v>1153</v>
      </c>
    </row>
    <row r="265" spans="68:74" x14ac:dyDescent="0.25">
      <c r="BP265">
        <v>145011</v>
      </c>
      <c r="BQ265">
        <v>10302713</v>
      </c>
      <c r="BR265" s="15" t="s">
        <v>217</v>
      </c>
      <c r="BS265" t="s">
        <v>1279</v>
      </c>
      <c r="BT265" t="s">
        <v>1302</v>
      </c>
      <c r="BU265" t="s">
        <v>682</v>
      </c>
      <c r="BV265" t="s">
        <v>1153</v>
      </c>
    </row>
    <row r="266" spans="68:74" x14ac:dyDescent="0.25">
      <c r="BP266">
        <v>259355</v>
      </c>
      <c r="BQ266">
        <v>10302893</v>
      </c>
      <c r="BR266" s="15" t="s">
        <v>217</v>
      </c>
      <c r="BS266" t="s">
        <v>1279</v>
      </c>
      <c r="BT266" t="s">
        <v>1303</v>
      </c>
      <c r="BU266" t="s">
        <v>682</v>
      </c>
      <c r="BV266" t="s">
        <v>1153</v>
      </c>
    </row>
    <row r="267" spans="68:74" x14ac:dyDescent="0.25">
      <c r="BP267">
        <v>281064</v>
      </c>
      <c r="BQ267">
        <v>10302873</v>
      </c>
      <c r="BR267" s="15" t="s">
        <v>217</v>
      </c>
      <c r="BS267" t="s">
        <v>1279</v>
      </c>
      <c r="BT267" t="s">
        <v>1304</v>
      </c>
      <c r="BU267" t="s">
        <v>682</v>
      </c>
      <c r="BV267" t="s">
        <v>1153</v>
      </c>
    </row>
    <row r="268" spans="68:74" x14ac:dyDescent="0.25">
      <c r="BP268">
        <v>11958</v>
      </c>
      <c r="BQ268">
        <v>1030019302</v>
      </c>
      <c r="BR268" s="15" t="s">
        <v>217</v>
      </c>
      <c r="BS268" t="s">
        <v>1279</v>
      </c>
      <c r="BT268" t="s">
        <v>1305</v>
      </c>
      <c r="BU268" t="s">
        <v>682</v>
      </c>
      <c r="BV268" t="s">
        <v>1153</v>
      </c>
    </row>
    <row r="269" spans="68:74" x14ac:dyDescent="0.25">
      <c r="BQ269">
        <v>1030045302</v>
      </c>
      <c r="BR269" s="15" t="s">
        <v>217</v>
      </c>
      <c r="BS269" t="s">
        <v>1279</v>
      </c>
      <c r="BT269" t="s">
        <v>1305</v>
      </c>
      <c r="BU269" t="s">
        <v>682</v>
      </c>
      <c r="BV269" t="s">
        <v>1153</v>
      </c>
    </row>
    <row r="270" spans="68:74" x14ac:dyDescent="0.25">
      <c r="BP270">
        <v>11955</v>
      </c>
      <c r="BQ270">
        <v>1030019301</v>
      </c>
      <c r="BR270" s="15" t="s">
        <v>217</v>
      </c>
      <c r="BS270" t="s">
        <v>1279</v>
      </c>
      <c r="BT270" t="s">
        <v>1306</v>
      </c>
      <c r="BU270" t="s">
        <v>682</v>
      </c>
      <c r="BV270" t="s">
        <v>1153</v>
      </c>
    </row>
    <row r="271" spans="68:74" x14ac:dyDescent="0.25">
      <c r="BP271">
        <v>11956</v>
      </c>
      <c r="BQ271">
        <v>1030019301</v>
      </c>
      <c r="BR271" s="15" t="s">
        <v>217</v>
      </c>
      <c r="BS271" t="s">
        <v>1279</v>
      </c>
      <c r="BT271" t="s">
        <v>1306</v>
      </c>
      <c r="BU271" t="s">
        <v>682</v>
      </c>
      <c r="BV271" t="s">
        <v>1149</v>
      </c>
    </row>
    <row r="272" spans="68:74" x14ac:dyDescent="0.25">
      <c r="BQ272">
        <v>1030045301</v>
      </c>
      <c r="BR272" s="15" t="s">
        <v>217</v>
      </c>
      <c r="BS272" t="s">
        <v>1279</v>
      </c>
      <c r="BT272" t="s">
        <v>1306</v>
      </c>
      <c r="BU272" t="s">
        <v>682</v>
      </c>
      <c r="BV272" t="s">
        <v>1149</v>
      </c>
    </row>
    <row r="273" spans="68:74" x14ac:dyDescent="0.25">
      <c r="BP273">
        <v>12631</v>
      </c>
      <c r="BQ273">
        <v>10300152</v>
      </c>
      <c r="BR273" s="15" t="s">
        <v>217</v>
      </c>
      <c r="BS273" t="s">
        <v>1279</v>
      </c>
      <c r="BT273" t="s">
        <v>1307</v>
      </c>
      <c r="BU273" t="s">
        <v>681</v>
      </c>
      <c r="BV273" t="s">
        <v>1153</v>
      </c>
    </row>
    <row r="274" spans="68:74" x14ac:dyDescent="0.25">
      <c r="BP274">
        <v>12722</v>
      </c>
      <c r="BQ274">
        <v>1030015301</v>
      </c>
      <c r="BR274" s="15" t="s">
        <v>217</v>
      </c>
      <c r="BS274" t="s">
        <v>1279</v>
      </c>
      <c r="BT274" t="s">
        <v>1307</v>
      </c>
      <c r="BU274" t="s">
        <v>682</v>
      </c>
      <c r="BV274" t="s">
        <v>1153</v>
      </c>
    </row>
    <row r="275" spans="68:74" x14ac:dyDescent="0.25">
      <c r="BQ275">
        <v>1030015302</v>
      </c>
      <c r="BR275" s="15" t="s">
        <v>217</v>
      </c>
      <c r="BS275" t="s">
        <v>1279</v>
      </c>
      <c r="BT275" t="s">
        <v>1308</v>
      </c>
      <c r="BU275" t="s">
        <v>682</v>
      </c>
      <c r="BV275" t="s">
        <v>1153</v>
      </c>
    </row>
    <row r="276" spans="68:74" x14ac:dyDescent="0.25">
      <c r="BP276">
        <v>549417</v>
      </c>
      <c r="BQ276">
        <v>10302963</v>
      </c>
      <c r="BR276" s="15" t="s">
        <v>217</v>
      </c>
      <c r="BS276" t="s">
        <v>1279</v>
      </c>
      <c r="BT276" t="s">
        <v>6374</v>
      </c>
      <c r="BU276" t="s">
        <v>682</v>
      </c>
      <c r="BV276" t="s">
        <v>1153</v>
      </c>
    </row>
    <row r="277" spans="68:74" x14ac:dyDescent="0.25">
      <c r="BP277">
        <v>12729</v>
      </c>
      <c r="BQ277">
        <v>1030015305</v>
      </c>
      <c r="BR277" s="15" t="s">
        <v>217</v>
      </c>
      <c r="BS277" t="s">
        <v>1279</v>
      </c>
      <c r="BT277" t="s">
        <v>1309</v>
      </c>
      <c r="BU277" t="s">
        <v>682</v>
      </c>
      <c r="BV277" t="s">
        <v>1153</v>
      </c>
    </row>
    <row r="278" spans="68:74" x14ac:dyDescent="0.25">
      <c r="BP278">
        <v>12730</v>
      </c>
      <c r="BQ278">
        <v>1030015305</v>
      </c>
      <c r="BR278" s="15" t="s">
        <v>217</v>
      </c>
      <c r="BS278" t="s">
        <v>1279</v>
      </c>
      <c r="BT278" t="s">
        <v>1309</v>
      </c>
      <c r="BU278" t="s">
        <v>682</v>
      </c>
      <c r="BV278" t="s">
        <v>1149</v>
      </c>
    </row>
    <row r="279" spans="68:74" x14ac:dyDescent="0.25">
      <c r="BP279">
        <v>12727</v>
      </c>
      <c r="BQ279">
        <v>1030015304</v>
      </c>
      <c r="BR279" s="15" t="s">
        <v>217</v>
      </c>
      <c r="BS279" t="s">
        <v>1279</v>
      </c>
      <c r="BT279" t="s">
        <v>1310</v>
      </c>
      <c r="BU279" t="s">
        <v>682</v>
      </c>
      <c r="BV279" t="s">
        <v>1149</v>
      </c>
    </row>
    <row r="280" spans="68:74" x14ac:dyDescent="0.25">
      <c r="BP280">
        <v>12726</v>
      </c>
      <c r="BQ280">
        <v>1030015304</v>
      </c>
      <c r="BR280" s="15" t="s">
        <v>217</v>
      </c>
      <c r="BS280" t="s">
        <v>1279</v>
      </c>
      <c r="BT280" t="s">
        <v>1310</v>
      </c>
      <c r="BU280" t="s">
        <v>682</v>
      </c>
      <c r="BV280" t="s">
        <v>1153</v>
      </c>
    </row>
    <row r="281" spans="68:74" x14ac:dyDescent="0.25">
      <c r="BP281">
        <v>12724</v>
      </c>
      <c r="BQ281">
        <v>1030015303</v>
      </c>
      <c r="BR281" s="15" t="s">
        <v>217</v>
      </c>
      <c r="BS281" t="s">
        <v>1279</v>
      </c>
      <c r="BT281" t="s">
        <v>1311</v>
      </c>
      <c r="BU281" t="s">
        <v>682</v>
      </c>
      <c r="BV281" t="s">
        <v>1153</v>
      </c>
    </row>
    <row r="282" spans="68:74" x14ac:dyDescent="0.25">
      <c r="BP282">
        <v>12731</v>
      </c>
      <c r="BQ282">
        <v>1030015306</v>
      </c>
      <c r="BR282" s="15" t="s">
        <v>217</v>
      </c>
      <c r="BS282" t="s">
        <v>1279</v>
      </c>
      <c r="BT282" t="s">
        <v>1312</v>
      </c>
      <c r="BU282" t="s">
        <v>682</v>
      </c>
      <c r="BV282" t="s">
        <v>1153</v>
      </c>
    </row>
    <row r="283" spans="68:74" x14ac:dyDescent="0.25">
      <c r="BP283">
        <v>562042</v>
      </c>
      <c r="BQ283">
        <v>10303003</v>
      </c>
      <c r="BR283" s="15" t="s">
        <v>217</v>
      </c>
      <c r="BS283" t="s">
        <v>1279</v>
      </c>
      <c r="BT283" t="s">
        <v>1583</v>
      </c>
      <c r="BU283" t="s">
        <v>682</v>
      </c>
      <c r="BV283" t="s">
        <v>1153</v>
      </c>
    </row>
    <row r="284" spans="68:74" x14ac:dyDescent="0.25">
      <c r="BP284">
        <v>556577</v>
      </c>
      <c r="BQ284">
        <v>10303003</v>
      </c>
      <c r="BR284" s="15" t="s">
        <v>217</v>
      </c>
      <c r="BS284" t="s">
        <v>1279</v>
      </c>
      <c r="BT284" t="s">
        <v>1583</v>
      </c>
      <c r="BU284" t="s">
        <v>682</v>
      </c>
      <c r="BV284" t="s">
        <v>1149</v>
      </c>
    </row>
    <row r="285" spans="68:74" x14ac:dyDescent="0.25">
      <c r="BP285">
        <v>549617</v>
      </c>
      <c r="BQ285">
        <v>10302973</v>
      </c>
      <c r="BR285" s="15" t="s">
        <v>217</v>
      </c>
      <c r="BS285" t="s">
        <v>1279</v>
      </c>
      <c r="BT285" t="s">
        <v>6487</v>
      </c>
      <c r="BU285" t="s">
        <v>682</v>
      </c>
      <c r="BV285" t="s">
        <v>1153</v>
      </c>
    </row>
    <row r="286" spans="68:74" x14ac:dyDescent="0.25">
      <c r="BP286">
        <v>12716</v>
      </c>
      <c r="BQ286">
        <v>1030012302</v>
      </c>
      <c r="BR286" s="15" t="s">
        <v>217</v>
      </c>
      <c r="BS286" t="s">
        <v>1279</v>
      </c>
      <c r="BT286" t="s">
        <v>1313</v>
      </c>
      <c r="BU286" t="s">
        <v>682</v>
      </c>
      <c r="BV286" t="s">
        <v>1153</v>
      </c>
    </row>
    <row r="287" spans="68:74" x14ac:dyDescent="0.25">
      <c r="BP287">
        <v>12720</v>
      </c>
      <c r="BQ287">
        <v>1030012306</v>
      </c>
      <c r="BR287" s="15" t="s">
        <v>217</v>
      </c>
      <c r="BS287" t="s">
        <v>1279</v>
      </c>
      <c r="BT287" t="s">
        <v>1313</v>
      </c>
      <c r="BU287" t="s">
        <v>682</v>
      </c>
      <c r="BV287" t="s">
        <v>1153</v>
      </c>
    </row>
    <row r="288" spans="68:74" x14ac:dyDescent="0.25">
      <c r="BQ288">
        <v>10300012</v>
      </c>
      <c r="BR288" s="15" t="s">
        <v>217</v>
      </c>
      <c r="BS288" t="s">
        <v>1279</v>
      </c>
      <c r="BT288" t="s">
        <v>1314</v>
      </c>
      <c r="BU288" t="s">
        <v>681</v>
      </c>
      <c r="BV288" t="s">
        <v>680</v>
      </c>
    </row>
    <row r="289" spans="68:74" x14ac:dyDescent="0.25">
      <c r="BQ289">
        <v>10300022</v>
      </c>
      <c r="BR289" s="15" t="s">
        <v>217</v>
      </c>
      <c r="BS289" t="s">
        <v>1279</v>
      </c>
      <c r="BT289" t="s">
        <v>1315</v>
      </c>
      <c r="BU289" t="s">
        <v>681</v>
      </c>
      <c r="BV289" t="s">
        <v>680</v>
      </c>
    </row>
    <row r="290" spans="68:74" x14ac:dyDescent="0.25">
      <c r="BQ290">
        <v>10300293</v>
      </c>
      <c r="BR290" s="15" t="s">
        <v>217</v>
      </c>
      <c r="BS290" t="s">
        <v>1279</v>
      </c>
      <c r="BT290" t="s">
        <v>1316</v>
      </c>
      <c r="BU290" t="s">
        <v>682</v>
      </c>
      <c r="BV290" t="s">
        <v>680</v>
      </c>
    </row>
    <row r="291" spans="68:74" x14ac:dyDescent="0.25">
      <c r="BQ291">
        <v>10300042</v>
      </c>
      <c r="BR291" s="15" t="s">
        <v>217</v>
      </c>
      <c r="BS291" t="s">
        <v>1279</v>
      </c>
      <c r="BT291" t="s">
        <v>1317</v>
      </c>
      <c r="BU291" t="s">
        <v>681</v>
      </c>
      <c r="BV291" t="s">
        <v>680</v>
      </c>
    </row>
    <row r="292" spans="68:74" x14ac:dyDescent="0.25">
      <c r="BQ292">
        <v>10300052</v>
      </c>
      <c r="BR292" s="15" t="s">
        <v>217</v>
      </c>
      <c r="BS292" t="s">
        <v>1279</v>
      </c>
      <c r="BT292" t="s">
        <v>1318</v>
      </c>
      <c r="BU292" t="s">
        <v>681</v>
      </c>
      <c r="BV292" t="s">
        <v>680</v>
      </c>
    </row>
    <row r="293" spans="68:74" x14ac:dyDescent="0.25">
      <c r="BQ293">
        <v>10300263</v>
      </c>
      <c r="BR293" s="15" t="s">
        <v>217</v>
      </c>
      <c r="BS293" t="s">
        <v>1279</v>
      </c>
      <c r="BT293" t="s">
        <v>1318</v>
      </c>
      <c r="BU293" t="s">
        <v>682</v>
      </c>
      <c r="BV293" t="s">
        <v>680</v>
      </c>
    </row>
    <row r="294" spans="68:74" x14ac:dyDescent="0.25">
      <c r="BQ294">
        <v>10300062</v>
      </c>
      <c r="BR294" s="15" t="s">
        <v>217</v>
      </c>
      <c r="BS294" t="s">
        <v>1279</v>
      </c>
      <c r="BT294" t="s">
        <v>1319</v>
      </c>
      <c r="BU294" t="s">
        <v>681</v>
      </c>
      <c r="BV294" t="s">
        <v>680</v>
      </c>
    </row>
    <row r="295" spans="68:74" x14ac:dyDescent="0.25">
      <c r="BQ295">
        <v>10300072</v>
      </c>
      <c r="BR295" s="15" t="s">
        <v>217</v>
      </c>
      <c r="BS295" t="s">
        <v>1279</v>
      </c>
      <c r="BT295" t="s">
        <v>1320</v>
      </c>
      <c r="BU295" t="s">
        <v>681</v>
      </c>
      <c r="BV295" t="s">
        <v>680</v>
      </c>
    </row>
    <row r="296" spans="68:74" x14ac:dyDescent="0.25">
      <c r="BQ296">
        <v>10300082</v>
      </c>
      <c r="BR296" s="15" t="s">
        <v>217</v>
      </c>
      <c r="BS296" t="s">
        <v>1279</v>
      </c>
      <c r="BT296" t="s">
        <v>1321</v>
      </c>
      <c r="BU296" t="s">
        <v>681</v>
      </c>
      <c r="BV296" t="s">
        <v>680</v>
      </c>
    </row>
    <row r="297" spans="68:74" x14ac:dyDescent="0.25">
      <c r="BQ297">
        <v>10300273</v>
      </c>
      <c r="BR297" s="15" t="s">
        <v>217</v>
      </c>
      <c r="BS297" t="s">
        <v>1279</v>
      </c>
      <c r="BT297" t="s">
        <v>1321</v>
      </c>
      <c r="BU297" t="s">
        <v>682</v>
      </c>
      <c r="BV297" t="s">
        <v>680</v>
      </c>
    </row>
    <row r="298" spans="68:74" x14ac:dyDescent="0.25">
      <c r="BQ298">
        <v>10300092</v>
      </c>
      <c r="BR298" s="15" t="s">
        <v>217</v>
      </c>
      <c r="BS298" t="s">
        <v>1279</v>
      </c>
      <c r="BT298" t="s">
        <v>1322</v>
      </c>
      <c r="BU298" t="s">
        <v>681</v>
      </c>
      <c r="BV298" t="s">
        <v>680</v>
      </c>
    </row>
    <row r="299" spans="68:74" x14ac:dyDescent="0.25">
      <c r="BQ299">
        <v>10300102</v>
      </c>
      <c r="BR299" s="15" t="s">
        <v>217</v>
      </c>
      <c r="BS299" t="s">
        <v>1279</v>
      </c>
      <c r="BT299" t="s">
        <v>1323</v>
      </c>
      <c r="BU299" t="s">
        <v>681</v>
      </c>
      <c r="BV299" t="s">
        <v>680</v>
      </c>
    </row>
    <row r="300" spans="68:74" x14ac:dyDescent="0.25">
      <c r="BQ300">
        <v>10300303</v>
      </c>
      <c r="BR300" s="15" t="s">
        <v>217</v>
      </c>
      <c r="BS300" t="s">
        <v>1279</v>
      </c>
      <c r="BT300" t="s">
        <v>1324</v>
      </c>
      <c r="BU300" t="s">
        <v>682</v>
      </c>
      <c r="BV300" t="s">
        <v>680</v>
      </c>
    </row>
    <row r="301" spans="68:74" x14ac:dyDescent="0.25">
      <c r="BP301">
        <v>549817</v>
      </c>
      <c r="BQ301">
        <v>10302993</v>
      </c>
      <c r="BR301" s="15" t="s">
        <v>217</v>
      </c>
      <c r="BS301" t="s">
        <v>1279</v>
      </c>
      <c r="BT301" t="s">
        <v>6626</v>
      </c>
      <c r="BU301" t="s">
        <v>682</v>
      </c>
      <c r="BV301" t="s">
        <v>1153</v>
      </c>
    </row>
    <row r="302" spans="68:74" x14ac:dyDescent="0.25">
      <c r="BQ302">
        <v>10300123</v>
      </c>
      <c r="BR302" s="15" t="s">
        <v>217</v>
      </c>
      <c r="BS302" t="s">
        <v>1279</v>
      </c>
      <c r="BT302" t="s">
        <v>1325</v>
      </c>
      <c r="BU302" t="s">
        <v>682</v>
      </c>
      <c r="BV302" t="s">
        <v>680</v>
      </c>
    </row>
    <row r="303" spans="68:74" x14ac:dyDescent="0.25">
      <c r="BQ303">
        <v>10300343</v>
      </c>
      <c r="BR303" s="15" t="s">
        <v>217</v>
      </c>
      <c r="BS303" t="s">
        <v>1279</v>
      </c>
      <c r="BT303" t="s">
        <v>1326</v>
      </c>
      <c r="BU303" t="s">
        <v>682</v>
      </c>
      <c r="BV303" t="s">
        <v>680</v>
      </c>
    </row>
    <row r="304" spans="68:74" x14ac:dyDescent="0.25">
      <c r="BQ304">
        <v>10300283</v>
      </c>
      <c r="BR304" s="15" t="s">
        <v>217</v>
      </c>
      <c r="BS304" t="s">
        <v>1279</v>
      </c>
      <c r="BT304" t="s">
        <v>1327</v>
      </c>
      <c r="BU304" t="s">
        <v>682</v>
      </c>
      <c r="BV304" t="s">
        <v>680</v>
      </c>
    </row>
    <row r="305" spans="68:74" x14ac:dyDescent="0.25">
      <c r="BQ305">
        <v>10300153</v>
      </c>
      <c r="BR305" s="15" t="s">
        <v>217</v>
      </c>
      <c r="BS305" t="s">
        <v>1279</v>
      </c>
      <c r="BT305" t="s">
        <v>1328</v>
      </c>
      <c r="BU305" t="s">
        <v>682</v>
      </c>
      <c r="BV305" t="s">
        <v>680</v>
      </c>
    </row>
    <row r="306" spans="68:74" x14ac:dyDescent="0.25">
      <c r="BQ306">
        <v>10300162</v>
      </c>
      <c r="BR306" s="15" t="s">
        <v>217</v>
      </c>
      <c r="BS306" t="s">
        <v>1279</v>
      </c>
      <c r="BT306" t="s">
        <v>1329</v>
      </c>
      <c r="BU306" t="s">
        <v>681</v>
      </c>
      <c r="BV306" t="s">
        <v>680</v>
      </c>
    </row>
    <row r="307" spans="68:74" x14ac:dyDescent="0.25">
      <c r="BQ307">
        <v>10300333</v>
      </c>
      <c r="BR307" s="15" t="s">
        <v>217</v>
      </c>
      <c r="BS307" t="s">
        <v>1279</v>
      </c>
      <c r="BT307" t="s">
        <v>1330</v>
      </c>
      <c r="BU307" t="s">
        <v>682</v>
      </c>
      <c r="BV307" t="s">
        <v>680</v>
      </c>
    </row>
    <row r="308" spans="68:74" x14ac:dyDescent="0.25">
      <c r="BQ308">
        <v>10300172</v>
      </c>
      <c r="BR308" s="15" t="s">
        <v>217</v>
      </c>
      <c r="BS308" t="s">
        <v>1279</v>
      </c>
      <c r="BT308" t="s">
        <v>1331</v>
      </c>
      <c r="BU308" t="s">
        <v>681</v>
      </c>
      <c r="BV308" t="s">
        <v>680</v>
      </c>
    </row>
    <row r="309" spans="68:74" x14ac:dyDescent="0.25">
      <c r="BQ309">
        <v>10300182</v>
      </c>
      <c r="BR309" s="15" t="s">
        <v>217</v>
      </c>
      <c r="BS309" t="s">
        <v>1279</v>
      </c>
      <c r="BT309" t="s">
        <v>1332</v>
      </c>
      <c r="BU309" t="s">
        <v>681</v>
      </c>
      <c r="BV309" t="s">
        <v>680</v>
      </c>
    </row>
    <row r="310" spans="68:74" x14ac:dyDescent="0.25">
      <c r="BQ310">
        <v>10300323</v>
      </c>
      <c r="BR310" s="15" t="s">
        <v>217</v>
      </c>
      <c r="BS310" t="s">
        <v>1279</v>
      </c>
      <c r="BT310" t="s">
        <v>1333</v>
      </c>
      <c r="BU310" t="s">
        <v>682</v>
      </c>
      <c r="BV310" t="s">
        <v>680</v>
      </c>
    </row>
    <row r="311" spans="68:74" x14ac:dyDescent="0.25">
      <c r="BQ311">
        <v>10300232</v>
      </c>
      <c r="BR311" s="15" t="s">
        <v>217</v>
      </c>
      <c r="BS311" t="s">
        <v>1279</v>
      </c>
      <c r="BT311" t="s">
        <v>1334</v>
      </c>
      <c r="BU311" t="s">
        <v>681</v>
      </c>
      <c r="BV311" t="s">
        <v>680</v>
      </c>
    </row>
    <row r="312" spans="68:74" x14ac:dyDescent="0.25">
      <c r="BQ312">
        <v>10300233</v>
      </c>
      <c r="BR312" s="15" t="s">
        <v>217</v>
      </c>
      <c r="BS312" t="s">
        <v>1279</v>
      </c>
      <c r="BT312" t="s">
        <v>1334</v>
      </c>
      <c r="BU312" t="s">
        <v>682</v>
      </c>
      <c r="BV312" t="s">
        <v>680</v>
      </c>
    </row>
    <row r="313" spans="68:74" x14ac:dyDescent="0.25">
      <c r="BQ313">
        <v>10300212</v>
      </c>
      <c r="BR313" s="15" t="s">
        <v>217</v>
      </c>
      <c r="BS313" t="s">
        <v>1279</v>
      </c>
      <c r="BT313" t="s">
        <v>1335</v>
      </c>
      <c r="BU313" t="s">
        <v>681</v>
      </c>
      <c r="BV313" t="s">
        <v>680</v>
      </c>
    </row>
    <row r="314" spans="68:74" x14ac:dyDescent="0.25">
      <c r="BP314">
        <v>12049</v>
      </c>
      <c r="BQ314">
        <v>10300222</v>
      </c>
      <c r="BR314" s="15" t="s">
        <v>217</v>
      </c>
      <c r="BS314" t="s">
        <v>1279</v>
      </c>
      <c r="BT314" t="s">
        <v>1336</v>
      </c>
      <c r="BU314" t="s">
        <v>681</v>
      </c>
      <c r="BV314" t="s">
        <v>1153</v>
      </c>
    </row>
    <row r="315" spans="68:74" x14ac:dyDescent="0.25">
      <c r="BP315">
        <v>643793</v>
      </c>
      <c r="BQ315">
        <v>10300313</v>
      </c>
      <c r="BR315" s="15" t="s">
        <v>217</v>
      </c>
      <c r="BS315" t="s">
        <v>1279</v>
      </c>
      <c r="BT315" t="s">
        <v>1336</v>
      </c>
      <c r="BU315" t="s">
        <v>682</v>
      </c>
      <c r="BV315" t="s">
        <v>1153</v>
      </c>
    </row>
    <row r="316" spans="68:74" x14ac:dyDescent="0.25">
      <c r="BP316">
        <v>12719</v>
      </c>
      <c r="BQ316">
        <v>1030012304</v>
      </c>
      <c r="BR316" s="15" t="s">
        <v>217</v>
      </c>
      <c r="BS316" t="s">
        <v>1279</v>
      </c>
      <c r="BT316" t="s">
        <v>1337</v>
      </c>
      <c r="BU316" t="s">
        <v>682</v>
      </c>
      <c r="BV316" t="s">
        <v>1153</v>
      </c>
    </row>
    <row r="317" spans="68:74" x14ac:dyDescent="0.25">
      <c r="BP317">
        <v>12718</v>
      </c>
      <c r="BQ317">
        <v>1030012303</v>
      </c>
      <c r="BR317" s="15" t="s">
        <v>217</v>
      </c>
      <c r="BS317" t="s">
        <v>1279</v>
      </c>
      <c r="BT317" t="s">
        <v>1338</v>
      </c>
      <c r="BU317" t="s">
        <v>682</v>
      </c>
      <c r="BV317" t="s">
        <v>1153</v>
      </c>
    </row>
    <row r="318" spans="68:74" x14ac:dyDescent="0.25">
      <c r="BQ318">
        <v>10300353</v>
      </c>
      <c r="BR318" s="15" t="s">
        <v>217</v>
      </c>
      <c r="BS318" t="s">
        <v>1279</v>
      </c>
      <c r="BT318" t="s">
        <v>1339</v>
      </c>
      <c r="BU318" t="s">
        <v>682</v>
      </c>
      <c r="BV318" t="s">
        <v>680</v>
      </c>
    </row>
    <row r="319" spans="68:74" x14ac:dyDescent="0.25">
      <c r="BP319">
        <v>12732</v>
      </c>
      <c r="BQ319">
        <v>1030055301</v>
      </c>
      <c r="BR319" s="15" t="s">
        <v>217</v>
      </c>
      <c r="BS319" t="s">
        <v>1279</v>
      </c>
      <c r="BT319" t="s">
        <v>1340</v>
      </c>
      <c r="BU319" t="s">
        <v>682</v>
      </c>
      <c r="BV319" t="s">
        <v>1153</v>
      </c>
    </row>
    <row r="320" spans="68:74" x14ac:dyDescent="0.25">
      <c r="BP320">
        <v>458208</v>
      </c>
      <c r="BQ320">
        <v>10302913</v>
      </c>
      <c r="BR320" s="15" t="s">
        <v>217</v>
      </c>
      <c r="BS320" t="s">
        <v>1279</v>
      </c>
      <c r="BT320" t="s">
        <v>7305</v>
      </c>
      <c r="BU320" t="s">
        <v>682</v>
      </c>
      <c r="BV320" t="s">
        <v>1153</v>
      </c>
    </row>
    <row r="321" spans="68:74" x14ac:dyDescent="0.25">
      <c r="BP321">
        <v>11770</v>
      </c>
      <c r="BQ321">
        <v>1030014301</v>
      </c>
      <c r="BR321" s="15" t="s">
        <v>217</v>
      </c>
      <c r="BS321" t="s">
        <v>1279</v>
      </c>
      <c r="BT321" t="s">
        <v>1341</v>
      </c>
      <c r="BU321" t="s">
        <v>682</v>
      </c>
      <c r="BV321" t="s">
        <v>1149</v>
      </c>
    </row>
    <row r="322" spans="68:74" x14ac:dyDescent="0.25">
      <c r="BP322">
        <v>11768</v>
      </c>
      <c r="BQ322">
        <v>1030014301</v>
      </c>
      <c r="BR322" s="15" t="s">
        <v>217</v>
      </c>
      <c r="BS322" t="s">
        <v>1279</v>
      </c>
      <c r="BT322" t="s">
        <v>1341</v>
      </c>
      <c r="BU322" t="s">
        <v>682</v>
      </c>
      <c r="BV322" t="s">
        <v>1153</v>
      </c>
    </row>
    <row r="323" spans="68:74" x14ac:dyDescent="0.25">
      <c r="BP323">
        <v>11776</v>
      </c>
      <c r="BQ323">
        <v>1030014305</v>
      </c>
      <c r="BR323" s="15" t="s">
        <v>217</v>
      </c>
      <c r="BS323" t="s">
        <v>1279</v>
      </c>
      <c r="BT323" t="s">
        <v>1341</v>
      </c>
      <c r="BU323" t="s">
        <v>682</v>
      </c>
      <c r="BV323" t="s">
        <v>1149</v>
      </c>
    </row>
    <row r="324" spans="68:74" x14ac:dyDescent="0.25">
      <c r="BP324">
        <v>11778</v>
      </c>
      <c r="BQ324">
        <v>1030014306</v>
      </c>
      <c r="BR324" s="15" t="s">
        <v>217</v>
      </c>
      <c r="BS324" t="s">
        <v>1279</v>
      </c>
      <c r="BT324" t="s">
        <v>1342</v>
      </c>
      <c r="BU324" t="s">
        <v>682</v>
      </c>
      <c r="BV324" t="s">
        <v>1153</v>
      </c>
    </row>
    <row r="325" spans="68:74" x14ac:dyDescent="0.25">
      <c r="BQ325">
        <v>1030074301</v>
      </c>
      <c r="BR325" s="15" t="s">
        <v>217</v>
      </c>
      <c r="BS325" t="s">
        <v>1279</v>
      </c>
      <c r="BT325" t="s">
        <v>1343</v>
      </c>
      <c r="BU325" t="s">
        <v>682</v>
      </c>
      <c r="BV325" t="s">
        <v>680</v>
      </c>
    </row>
    <row r="326" spans="68:74" x14ac:dyDescent="0.25">
      <c r="BP326">
        <v>12227</v>
      </c>
      <c r="BQ326">
        <v>1030074302</v>
      </c>
      <c r="BR326" s="15" t="s">
        <v>217</v>
      </c>
      <c r="BS326" t="s">
        <v>1279</v>
      </c>
      <c r="BT326" t="s">
        <v>1343</v>
      </c>
      <c r="BU326" t="s">
        <v>682</v>
      </c>
      <c r="BV326" t="s">
        <v>1149</v>
      </c>
    </row>
    <row r="327" spans="68:74" x14ac:dyDescent="0.25">
      <c r="BP327">
        <v>12226</v>
      </c>
      <c r="BQ327">
        <v>1030074302</v>
      </c>
      <c r="BR327" s="15" t="s">
        <v>217</v>
      </c>
      <c r="BS327" t="s">
        <v>1279</v>
      </c>
      <c r="BT327" t="s">
        <v>1343</v>
      </c>
      <c r="BU327" t="s">
        <v>682</v>
      </c>
      <c r="BV327" t="s">
        <v>1153</v>
      </c>
    </row>
    <row r="328" spans="68:74" x14ac:dyDescent="0.25">
      <c r="BP328">
        <v>143690</v>
      </c>
      <c r="BQ328">
        <v>10302693</v>
      </c>
      <c r="BR328" s="15" t="s">
        <v>217</v>
      </c>
      <c r="BS328" t="s">
        <v>1279</v>
      </c>
      <c r="BT328" t="s">
        <v>1344</v>
      </c>
      <c r="BU328" t="s">
        <v>682</v>
      </c>
      <c r="BV328" t="s">
        <v>1153</v>
      </c>
    </row>
    <row r="329" spans="68:74" x14ac:dyDescent="0.25">
      <c r="BP329">
        <v>651065</v>
      </c>
      <c r="BQ329">
        <v>10303093</v>
      </c>
      <c r="BR329" s="15" t="s">
        <v>217</v>
      </c>
      <c r="BS329" t="s">
        <v>1279</v>
      </c>
      <c r="BT329" t="s">
        <v>7459</v>
      </c>
      <c r="BU329" t="s">
        <v>682</v>
      </c>
      <c r="BV329" t="s">
        <v>1153</v>
      </c>
    </row>
    <row r="330" spans="68:74" x14ac:dyDescent="0.25">
      <c r="BP330">
        <v>11876</v>
      </c>
      <c r="BQ330">
        <v>10302482</v>
      </c>
      <c r="BR330" s="15" t="s">
        <v>217</v>
      </c>
      <c r="BS330" t="s">
        <v>1279</v>
      </c>
      <c r="BT330" t="s">
        <v>1345</v>
      </c>
      <c r="BU330" t="s">
        <v>681</v>
      </c>
      <c r="BV330" t="s">
        <v>1153</v>
      </c>
    </row>
    <row r="331" spans="68:74" x14ac:dyDescent="0.25">
      <c r="BP331">
        <v>12094</v>
      </c>
      <c r="BQ331">
        <v>1030025302</v>
      </c>
      <c r="BR331" s="15" t="s">
        <v>217</v>
      </c>
      <c r="BS331" t="s">
        <v>1279</v>
      </c>
      <c r="BT331" t="s">
        <v>1346</v>
      </c>
      <c r="BU331" t="s">
        <v>682</v>
      </c>
      <c r="BV331" t="s">
        <v>1153</v>
      </c>
    </row>
    <row r="332" spans="68:74" x14ac:dyDescent="0.25">
      <c r="BP332">
        <v>12095</v>
      </c>
      <c r="BQ332">
        <v>1030025302</v>
      </c>
      <c r="BR332" s="15" t="s">
        <v>217</v>
      </c>
      <c r="BS332" t="s">
        <v>1279</v>
      </c>
      <c r="BT332" t="s">
        <v>1346</v>
      </c>
      <c r="BU332" t="s">
        <v>682</v>
      </c>
      <c r="BV332" t="s">
        <v>1149</v>
      </c>
    </row>
    <row r="333" spans="68:74" x14ac:dyDescent="0.25">
      <c r="BP333">
        <v>11871</v>
      </c>
      <c r="BQ333">
        <v>10300452</v>
      </c>
      <c r="BR333" s="15" t="s">
        <v>217</v>
      </c>
      <c r="BS333" t="s">
        <v>1279</v>
      </c>
      <c r="BT333" t="s">
        <v>1347</v>
      </c>
      <c r="BU333" t="s">
        <v>681</v>
      </c>
      <c r="BV333" t="s">
        <v>1153</v>
      </c>
    </row>
    <row r="334" spans="68:74" x14ac:dyDescent="0.25">
      <c r="BP334">
        <v>11867</v>
      </c>
      <c r="BQ334">
        <v>10300192</v>
      </c>
      <c r="BR334" s="15" t="s">
        <v>217</v>
      </c>
      <c r="BS334" t="s">
        <v>1279</v>
      </c>
      <c r="BT334" t="s">
        <v>1348</v>
      </c>
      <c r="BU334" t="s">
        <v>681</v>
      </c>
      <c r="BV334" t="s">
        <v>1153</v>
      </c>
    </row>
    <row r="335" spans="68:74" x14ac:dyDescent="0.25">
      <c r="BP335">
        <v>11869</v>
      </c>
      <c r="BQ335">
        <v>10300192</v>
      </c>
      <c r="BR335" s="15" t="s">
        <v>217</v>
      </c>
      <c r="BS335" t="s">
        <v>1279</v>
      </c>
      <c r="BT335" t="s">
        <v>1348</v>
      </c>
      <c r="BU335" t="s">
        <v>681</v>
      </c>
      <c r="BV335" t="s">
        <v>1149</v>
      </c>
    </row>
    <row r="336" spans="68:74" x14ac:dyDescent="0.25">
      <c r="BP336">
        <v>12633</v>
      </c>
      <c r="BQ336">
        <v>10300552</v>
      </c>
      <c r="BR336" s="15" t="s">
        <v>217</v>
      </c>
      <c r="BS336" t="s">
        <v>1279</v>
      </c>
      <c r="BT336" t="s">
        <v>1349</v>
      </c>
      <c r="BU336" t="s">
        <v>681</v>
      </c>
      <c r="BV336" t="s">
        <v>1153</v>
      </c>
    </row>
    <row r="337" spans="68:74" x14ac:dyDescent="0.25">
      <c r="BP337">
        <v>12055</v>
      </c>
      <c r="BQ337">
        <v>10301682</v>
      </c>
      <c r="BR337" s="15" t="s">
        <v>217</v>
      </c>
      <c r="BS337" t="s">
        <v>1279</v>
      </c>
      <c r="BT337" t="s">
        <v>1350</v>
      </c>
      <c r="BU337" t="s">
        <v>681</v>
      </c>
      <c r="BV337" t="s">
        <v>1153</v>
      </c>
    </row>
    <row r="338" spans="68:74" x14ac:dyDescent="0.25">
      <c r="BP338">
        <v>12050</v>
      </c>
      <c r="BQ338">
        <v>10300252</v>
      </c>
      <c r="BR338" s="15" t="s">
        <v>217</v>
      </c>
      <c r="BS338" t="s">
        <v>1279</v>
      </c>
      <c r="BT338" t="s">
        <v>1351</v>
      </c>
      <c r="BU338" t="s">
        <v>681</v>
      </c>
      <c r="BV338" t="s">
        <v>1153</v>
      </c>
    </row>
    <row r="339" spans="68:74" x14ac:dyDescent="0.25">
      <c r="BQ339">
        <v>20100432</v>
      </c>
      <c r="BR339" s="15" t="s">
        <v>222</v>
      </c>
      <c r="BS339" t="s">
        <v>218</v>
      </c>
      <c r="BT339" t="s">
        <v>1352</v>
      </c>
      <c r="BU339" t="s">
        <v>681</v>
      </c>
      <c r="BV339" t="s">
        <v>680</v>
      </c>
    </row>
    <row r="340" spans="68:74" x14ac:dyDescent="0.25">
      <c r="BQ340">
        <v>20100443</v>
      </c>
      <c r="BR340" s="15" t="s">
        <v>222</v>
      </c>
      <c r="BS340" t="s">
        <v>218</v>
      </c>
      <c r="BT340" t="s">
        <v>1353</v>
      </c>
      <c r="BU340" t="s">
        <v>682</v>
      </c>
      <c r="BV340" t="s">
        <v>680</v>
      </c>
    </row>
    <row r="341" spans="68:74" x14ac:dyDescent="0.25">
      <c r="BP341">
        <v>11506</v>
      </c>
      <c r="BQ341">
        <v>20100012</v>
      </c>
      <c r="BR341" s="15" t="s">
        <v>222</v>
      </c>
      <c r="BS341" t="s">
        <v>218</v>
      </c>
      <c r="BT341" t="s">
        <v>1354</v>
      </c>
      <c r="BU341" t="s">
        <v>681</v>
      </c>
      <c r="BV341" t="s">
        <v>1153</v>
      </c>
    </row>
    <row r="342" spans="68:74" x14ac:dyDescent="0.25">
      <c r="BQ342">
        <v>20100013</v>
      </c>
      <c r="BR342" s="15" t="s">
        <v>222</v>
      </c>
      <c r="BS342" t="s">
        <v>218</v>
      </c>
      <c r="BT342" t="s">
        <v>1354</v>
      </c>
      <c r="BU342" t="s">
        <v>682</v>
      </c>
      <c r="BV342" t="s">
        <v>680</v>
      </c>
    </row>
    <row r="343" spans="68:74" x14ac:dyDescent="0.25">
      <c r="BQ343">
        <v>20100383</v>
      </c>
      <c r="BR343" s="15" t="s">
        <v>222</v>
      </c>
      <c r="BS343" t="s">
        <v>218</v>
      </c>
      <c r="BT343" t="s">
        <v>1354</v>
      </c>
      <c r="BU343" t="s">
        <v>682</v>
      </c>
      <c r="BV343" t="s">
        <v>1153</v>
      </c>
    </row>
    <row r="344" spans="68:74" x14ac:dyDescent="0.25">
      <c r="BP344">
        <v>11605</v>
      </c>
      <c r="BQ344">
        <v>2010001313</v>
      </c>
      <c r="BR344" s="15" t="s">
        <v>222</v>
      </c>
      <c r="BS344" t="s">
        <v>218</v>
      </c>
      <c r="BT344" t="s">
        <v>1355</v>
      </c>
      <c r="BU344" t="s">
        <v>682</v>
      </c>
      <c r="BV344" t="s">
        <v>1153</v>
      </c>
    </row>
    <row r="345" spans="68:74" x14ac:dyDescent="0.25">
      <c r="BP345">
        <v>11657</v>
      </c>
      <c r="BQ345">
        <v>2010025302</v>
      </c>
      <c r="BR345" s="15" t="s">
        <v>222</v>
      </c>
      <c r="BS345" t="s">
        <v>218</v>
      </c>
      <c r="BT345" t="s">
        <v>1356</v>
      </c>
      <c r="BU345" t="s">
        <v>682</v>
      </c>
      <c r="BV345" t="s">
        <v>1153</v>
      </c>
    </row>
    <row r="346" spans="68:74" x14ac:dyDescent="0.25">
      <c r="BP346">
        <v>11655</v>
      </c>
      <c r="BQ346">
        <v>2010025301</v>
      </c>
      <c r="BR346" s="15" t="s">
        <v>222</v>
      </c>
      <c r="BS346" t="s">
        <v>218</v>
      </c>
      <c r="BT346" t="s">
        <v>1357</v>
      </c>
      <c r="BU346" t="s">
        <v>682</v>
      </c>
      <c r="BV346" t="s">
        <v>1153</v>
      </c>
    </row>
    <row r="347" spans="68:74" x14ac:dyDescent="0.25">
      <c r="BP347">
        <v>11650</v>
      </c>
      <c r="BQ347">
        <v>2010023301</v>
      </c>
      <c r="BR347" s="15" t="s">
        <v>222</v>
      </c>
      <c r="BS347" t="s">
        <v>218</v>
      </c>
      <c r="BT347" t="s">
        <v>1358</v>
      </c>
      <c r="BU347" t="s">
        <v>682</v>
      </c>
      <c r="BV347" t="s">
        <v>1153</v>
      </c>
    </row>
    <row r="348" spans="68:74" x14ac:dyDescent="0.25">
      <c r="BQ348">
        <v>2010003301</v>
      </c>
      <c r="BR348" s="15" t="s">
        <v>222</v>
      </c>
      <c r="BS348" t="s">
        <v>218</v>
      </c>
      <c r="BT348" t="s">
        <v>1359</v>
      </c>
      <c r="BU348" t="s">
        <v>682</v>
      </c>
      <c r="BV348" t="s">
        <v>1153</v>
      </c>
    </row>
    <row r="349" spans="68:74" x14ac:dyDescent="0.25">
      <c r="BQ349">
        <v>2010003310</v>
      </c>
      <c r="BR349" s="15" t="s">
        <v>222</v>
      </c>
      <c r="BS349" t="s">
        <v>218</v>
      </c>
      <c r="BT349" t="s">
        <v>1359</v>
      </c>
      <c r="BU349" t="s">
        <v>682</v>
      </c>
      <c r="BV349" t="s">
        <v>1153</v>
      </c>
    </row>
    <row r="350" spans="68:74" x14ac:dyDescent="0.25">
      <c r="BP350">
        <v>11512</v>
      </c>
      <c r="BQ350">
        <v>20100182</v>
      </c>
      <c r="BR350" s="15" t="s">
        <v>222</v>
      </c>
      <c r="BS350" t="s">
        <v>218</v>
      </c>
      <c r="BT350" t="s">
        <v>898</v>
      </c>
      <c r="BU350" t="s">
        <v>681</v>
      </c>
      <c r="BV350" t="s">
        <v>1153</v>
      </c>
    </row>
    <row r="351" spans="68:74" x14ac:dyDescent="0.25">
      <c r="BQ351">
        <v>20100183</v>
      </c>
      <c r="BR351" s="15" t="s">
        <v>222</v>
      </c>
      <c r="BS351" t="s">
        <v>218</v>
      </c>
      <c r="BT351" t="s">
        <v>898</v>
      </c>
      <c r="BU351" t="s">
        <v>682</v>
      </c>
      <c r="BV351" t="s">
        <v>680</v>
      </c>
    </row>
    <row r="352" spans="68:74" x14ac:dyDescent="0.25">
      <c r="BQ352">
        <v>2010018301</v>
      </c>
      <c r="BR352" s="15" t="s">
        <v>222</v>
      </c>
      <c r="BS352" t="s">
        <v>218</v>
      </c>
      <c r="BT352" t="s">
        <v>1360</v>
      </c>
      <c r="BU352" t="s">
        <v>682</v>
      </c>
      <c r="BV352" t="s">
        <v>1153</v>
      </c>
    </row>
    <row r="353" spans="68:74" x14ac:dyDescent="0.25">
      <c r="BP353">
        <v>11625</v>
      </c>
      <c r="BQ353">
        <v>2010018302</v>
      </c>
      <c r="BR353" s="15" t="s">
        <v>222</v>
      </c>
      <c r="BS353" t="s">
        <v>218</v>
      </c>
      <c r="BT353" t="s">
        <v>1361</v>
      </c>
      <c r="BU353" t="s">
        <v>682</v>
      </c>
      <c r="BV353" t="s">
        <v>1153</v>
      </c>
    </row>
    <row r="354" spans="68:74" x14ac:dyDescent="0.25">
      <c r="BQ354">
        <v>2010018303</v>
      </c>
      <c r="BR354" s="15" t="s">
        <v>222</v>
      </c>
      <c r="BS354" t="s">
        <v>218</v>
      </c>
      <c r="BT354" t="s">
        <v>1362</v>
      </c>
      <c r="BU354" t="s">
        <v>682</v>
      </c>
      <c r="BV354" t="s">
        <v>1153</v>
      </c>
    </row>
    <row r="355" spans="68:74" x14ac:dyDescent="0.25">
      <c r="BP355">
        <v>11542</v>
      </c>
      <c r="BQ355">
        <v>20101132</v>
      </c>
      <c r="BR355" s="15" t="s">
        <v>222</v>
      </c>
      <c r="BS355" t="s">
        <v>218</v>
      </c>
      <c r="BT355" t="s">
        <v>946</v>
      </c>
      <c r="BU355" t="s">
        <v>681</v>
      </c>
      <c r="BV355" t="s">
        <v>1153</v>
      </c>
    </row>
    <row r="356" spans="68:74" x14ac:dyDescent="0.25">
      <c r="BQ356">
        <v>20100192</v>
      </c>
      <c r="BR356" s="15" t="s">
        <v>222</v>
      </c>
      <c r="BS356" t="s">
        <v>218</v>
      </c>
      <c r="BT356" t="s">
        <v>1363</v>
      </c>
      <c r="BU356" t="s">
        <v>681</v>
      </c>
      <c r="BV356" t="s">
        <v>1153</v>
      </c>
    </row>
    <row r="357" spans="68:74" x14ac:dyDescent="0.25">
      <c r="BP357">
        <v>11581</v>
      </c>
      <c r="BQ357">
        <v>20103422</v>
      </c>
      <c r="BR357" s="15" t="s">
        <v>222</v>
      </c>
      <c r="BS357" t="s">
        <v>218</v>
      </c>
      <c r="BT357" t="s">
        <v>1364</v>
      </c>
      <c r="BU357" t="s">
        <v>681</v>
      </c>
      <c r="BV357" t="s">
        <v>1153</v>
      </c>
    </row>
    <row r="358" spans="68:74" x14ac:dyDescent="0.25">
      <c r="BQ358">
        <v>20100022</v>
      </c>
      <c r="BR358" s="15" t="s">
        <v>222</v>
      </c>
      <c r="BS358" t="s">
        <v>218</v>
      </c>
      <c r="BT358" t="s">
        <v>1365</v>
      </c>
      <c r="BU358" t="s">
        <v>681</v>
      </c>
      <c r="BV358" t="s">
        <v>680</v>
      </c>
    </row>
    <row r="359" spans="68:74" x14ac:dyDescent="0.25">
      <c r="BP359">
        <v>11322</v>
      </c>
      <c r="BQ359">
        <v>20100023</v>
      </c>
      <c r="BR359" s="15" t="s">
        <v>222</v>
      </c>
      <c r="BS359" t="s">
        <v>218</v>
      </c>
      <c r="BT359" t="s">
        <v>1365</v>
      </c>
      <c r="BU359" t="s">
        <v>682</v>
      </c>
      <c r="BV359" t="s">
        <v>1153</v>
      </c>
    </row>
    <row r="360" spans="68:74" x14ac:dyDescent="0.25">
      <c r="BQ360">
        <v>2010030301</v>
      </c>
      <c r="BR360" s="15" t="s">
        <v>222</v>
      </c>
      <c r="BS360" t="s">
        <v>218</v>
      </c>
      <c r="BT360" t="s">
        <v>1366</v>
      </c>
      <c r="BU360" t="s">
        <v>682</v>
      </c>
      <c r="BV360" t="s">
        <v>1153</v>
      </c>
    </row>
    <row r="361" spans="68:74" x14ac:dyDescent="0.25">
      <c r="BP361">
        <v>579361</v>
      </c>
      <c r="BQ361">
        <v>20103913</v>
      </c>
      <c r="BR361" s="15" t="s">
        <v>222</v>
      </c>
      <c r="BS361" t="s">
        <v>218</v>
      </c>
      <c r="BT361" t="s">
        <v>4862</v>
      </c>
      <c r="BU361" t="s">
        <v>682</v>
      </c>
      <c r="BV361" t="s">
        <v>1153</v>
      </c>
    </row>
    <row r="362" spans="68:74" x14ac:dyDescent="0.25">
      <c r="BP362">
        <v>579362</v>
      </c>
      <c r="BQ362">
        <v>20103923</v>
      </c>
      <c r="BR362" s="15" t="s">
        <v>222</v>
      </c>
      <c r="BS362" t="s">
        <v>218</v>
      </c>
      <c r="BT362" t="s">
        <v>4866</v>
      </c>
      <c r="BU362" t="s">
        <v>682</v>
      </c>
      <c r="BV362" t="s">
        <v>1153</v>
      </c>
    </row>
    <row r="363" spans="68:74" x14ac:dyDescent="0.25">
      <c r="BP363">
        <v>11632</v>
      </c>
      <c r="BQ363">
        <v>2010018310</v>
      </c>
      <c r="BR363" s="15" t="s">
        <v>222</v>
      </c>
      <c r="BS363" t="s">
        <v>218</v>
      </c>
      <c r="BT363" t="s">
        <v>1367</v>
      </c>
      <c r="BU363" t="s">
        <v>682</v>
      </c>
      <c r="BV363" t="s">
        <v>1153</v>
      </c>
    </row>
    <row r="364" spans="68:74" x14ac:dyDescent="0.25">
      <c r="BP364">
        <v>11630</v>
      </c>
      <c r="BQ364">
        <v>2010018309</v>
      </c>
      <c r="BR364" s="15" t="s">
        <v>222</v>
      </c>
      <c r="BS364" t="s">
        <v>218</v>
      </c>
      <c r="BT364" t="s">
        <v>1368</v>
      </c>
      <c r="BU364" t="s">
        <v>682</v>
      </c>
      <c r="BV364" t="s">
        <v>1153</v>
      </c>
    </row>
    <row r="365" spans="68:74" x14ac:dyDescent="0.25">
      <c r="BP365">
        <v>624438</v>
      </c>
      <c r="BQ365">
        <v>2010001301</v>
      </c>
      <c r="BR365" s="15" t="s">
        <v>222</v>
      </c>
      <c r="BS365" t="s">
        <v>218</v>
      </c>
      <c r="BT365" t="s">
        <v>1369</v>
      </c>
      <c r="BU365" t="s">
        <v>682</v>
      </c>
      <c r="BV365" t="s">
        <v>1153</v>
      </c>
    </row>
    <row r="366" spans="68:74" x14ac:dyDescent="0.25">
      <c r="BP366">
        <v>11326</v>
      </c>
      <c r="BQ366">
        <v>20100032</v>
      </c>
      <c r="BR366" s="15" t="s">
        <v>222</v>
      </c>
      <c r="BS366" t="s">
        <v>218</v>
      </c>
      <c r="BT366" t="s">
        <v>1370</v>
      </c>
      <c r="BU366" t="s">
        <v>681</v>
      </c>
      <c r="BV366" t="s">
        <v>1153</v>
      </c>
    </row>
    <row r="367" spans="68:74" x14ac:dyDescent="0.25">
      <c r="BP367">
        <v>11328</v>
      </c>
      <c r="BQ367">
        <v>20100032</v>
      </c>
      <c r="BR367" s="15" t="s">
        <v>222</v>
      </c>
      <c r="BS367" t="s">
        <v>218</v>
      </c>
      <c r="BT367" t="s">
        <v>1370</v>
      </c>
      <c r="BU367" t="s">
        <v>681</v>
      </c>
      <c r="BV367" t="s">
        <v>1149</v>
      </c>
    </row>
    <row r="368" spans="68:74" x14ac:dyDescent="0.25">
      <c r="BQ368">
        <v>20100033</v>
      </c>
      <c r="BR368" s="15" t="s">
        <v>222</v>
      </c>
      <c r="BS368" t="s">
        <v>218</v>
      </c>
      <c r="BT368" t="s">
        <v>1370</v>
      </c>
      <c r="BU368" t="s">
        <v>682</v>
      </c>
      <c r="BV368" t="s">
        <v>680</v>
      </c>
    </row>
    <row r="369" spans="68:74" x14ac:dyDescent="0.25">
      <c r="BP369">
        <v>584067</v>
      </c>
      <c r="BQ369">
        <v>20100373</v>
      </c>
      <c r="BR369" s="15" t="s">
        <v>222</v>
      </c>
      <c r="BS369" t="s">
        <v>218</v>
      </c>
      <c r="BT369" t="s">
        <v>1370</v>
      </c>
      <c r="BU369" t="s">
        <v>682</v>
      </c>
      <c r="BV369" t="s">
        <v>1149</v>
      </c>
    </row>
    <row r="370" spans="68:74" x14ac:dyDescent="0.25">
      <c r="BP370">
        <v>583759</v>
      </c>
      <c r="BQ370">
        <v>20100373</v>
      </c>
      <c r="BR370" s="15" t="s">
        <v>222</v>
      </c>
      <c r="BS370" t="s">
        <v>218</v>
      </c>
      <c r="BT370" t="s">
        <v>1370</v>
      </c>
      <c r="BU370" t="s">
        <v>682</v>
      </c>
      <c r="BV370" t="s">
        <v>1153</v>
      </c>
    </row>
    <row r="371" spans="68:74" x14ac:dyDescent="0.25">
      <c r="BQ371">
        <v>20100452</v>
      </c>
      <c r="BR371" s="15" t="s">
        <v>222</v>
      </c>
      <c r="BS371" t="s">
        <v>218</v>
      </c>
      <c r="BT371" t="s">
        <v>1371</v>
      </c>
      <c r="BU371" t="s">
        <v>681</v>
      </c>
      <c r="BV371" t="s">
        <v>680</v>
      </c>
    </row>
    <row r="372" spans="68:74" x14ac:dyDescent="0.25">
      <c r="BQ372">
        <v>2010001302</v>
      </c>
      <c r="BR372" s="15" t="s">
        <v>222</v>
      </c>
      <c r="BS372" t="s">
        <v>218</v>
      </c>
      <c r="BT372" t="s">
        <v>1372</v>
      </c>
      <c r="BU372" t="s">
        <v>682</v>
      </c>
      <c r="BV372" t="s">
        <v>1153</v>
      </c>
    </row>
    <row r="373" spans="68:74" x14ac:dyDescent="0.25">
      <c r="BQ373">
        <v>20101312</v>
      </c>
      <c r="BR373" s="15" t="s">
        <v>222</v>
      </c>
      <c r="BS373" t="s">
        <v>218</v>
      </c>
      <c r="BT373" t="s">
        <v>1373</v>
      </c>
      <c r="BU373" t="s">
        <v>681</v>
      </c>
      <c r="BV373" t="s">
        <v>680</v>
      </c>
    </row>
    <row r="374" spans="68:74" x14ac:dyDescent="0.25">
      <c r="BP374">
        <v>11614</v>
      </c>
      <c r="BQ374">
        <v>2010004306</v>
      </c>
      <c r="BR374" s="15" t="s">
        <v>222</v>
      </c>
      <c r="BS374" t="s">
        <v>218</v>
      </c>
      <c r="BT374" t="s">
        <v>1374</v>
      </c>
      <c r="BU374" t="s">
        <v>682</v>
      </c>
      <c r="BV374" t="s">
        <v>1153</v>
      </c>
    </row>
    <row r="375" spans="68:74" x14ac:dyDescent="0.25">
      <c r="BP375">
        <v>11678</v>
      </c>
      <c r="BQ375">
        <v>2010337302</v>
      </c>
      <c r="BR375" s="15" t="s">
        <v>222</v>
      </c>
      <c r="BS375" t="s">
        <v>218</v>
      </c>
      <c r="BT375" t="s">
        <v>1375</v>
      </c>
      <c r="BU375" t="s">
        <v>682</v>
      </c>
      <c r="BV375" t="s">
        <v>1153</v>
      </c>
    </row>
    <row r="376" spans="68:74" x14ac:dyDescent="0.25">
      <c r="BP376">
        <v>11607</v>
      </c>
      <c r="BQ376">
        <v>2010001314</v>
      </c>
      <c r="BR376" s="15" t="s">
        <v>222</v>
      </c>
      <c r="BS376" t="s">
        <v>218</v>
      </c>
      <c r="BT376" t="s">
        <v>1376</v>
      </c>
      <c r="BU376" t="s">
        <v>682</v>
      </c>
      <c r="BV376" t="s">
        <v>1153</v>
      </c>
    </row>
    <row r="377" spans="68:74" x14ac:dyDescent="0.25">
      <c r="BP377">
        <v>11427</v>
      </c>
      <c r="BQ377">
        <v>2010003330</v>
      </c>
      <c r="BR377" s="15" t="s">
        <v>222</v>
      </c>
      <c r="BS377" t="s">
        <v>218</v>
      </c>
      <c r="BT377" t="s">
        <v>1377</v>
      </c>
      <c r="BU377" t="s">
        <v>682</v>
      </c>
      <c r="BV377" t="s">
        <v>1153</v>
      </c>
    </row>
    <row r="378" spans="68:74" x14ac:dyDescent="0.25">
      <c r="BP378">
        <v>11433</v>
      </c>
      <c r="BQ378">
        <v>2010003332</v>
      </c>
      <c r="BR378" s="15" t="s">
        <v>222</v>
      </c>
      <c r="BS378" t="s">
        <v>218</v>
      </c>
      <c r="BT378" t="s">
        <v>1377</v>
      </c>
      <c r="BU378" t="s">
        <v>682</v>
      </c>
      <c r="BV378" t="s">
        <v>1153</v>
      </c>
    </row>
    <row r="379" spans="68:74" x14ac:dyDescent="0.25">
      <c r="BQ379">
        <v>20100462</v>
      </c>
      <c r="BR379" s="15" t="s">
        <v>222</v>
      </c>
      <c r="BS379" t="s">
        <v>218</v>
      </c>
      <c r="BT379" t="s">
        <v>1378</v>
      </c>
      <c r="BU379" t="s">
        <v>681</v>
      </c>
      <c r="BV379" t="s">
        <v>680</v>
      </c>
    </row>
    <row r="380" spans="68:74" x14ac:dyDescent="0.25">
      <c r="BP380">
        <v>624730</v>
      </c>
      <c r="BQ380">
        <v>2010001303</v>
      </c>
      <c r="BR380" s="15" t="s">
        <v>222</v>
      </c>
      <c r="BS380" t="s">
        <v>218</v>
      </c>
      <c r="BT380" t="s">
        <v>1379</v>
      </c>
      <c r="BU380" t="s">
        <v>682</v>
      </c>
      <c r="BV380" t="s">
        <v>1153</v>
      </c>
    </row>
    <row r="381" spans="68:74" x14ac:dyDescent="0.25">
      <c r="BP381">
        <v>624634</v>
      </c>
      <c r="BQ381">
        <v>2010001310</v>
      </c>
      <c r="BR381" s="15" t="s">
        <v>222</v>
      </c>
      <c r="BS381" t="s">
        <v>218</v>
      </c>
      <c r="BT381" t="s">
        <v>1380</v>
      </c>
      <c r="BU381" t="s">
        <v>682</v>
      </c>
      <c r="BV381" t="s">
        <v>1153</v>
      </c>
    </row>
    <row r="382" spans="68:74" x14ac:dyDescent="0.25">
      <c r="BP382">
        <v>11672</v>
      </c>
      <c r="BQ382">
        <v>2010036302</v>
      </c>
      <c r="BR382" s="15" t="s">
        <v>222</v>
      </c>
      <c r="BS382" t="s">
        <v>218</v>
      </c>
      <c r="BT382" t="s">
        <v>1381</v>
      </c>
      <c r="BU382" t="s">
        <v>682</v>
      </c>
      <c r="BV382" t="s">
        <v>1153</v>
      </c>
    </row>
    <row r="383" spans="68:74" x14ac:dyDescent="0.25">
      <c r="BP383">
        <v>11675</v>
      </c>
      <c r="BQ383">
        <v>2010036306</v>
      </c>
      <c r="BR383" s="15" t="s">
        <v>222</v>
      </c>
      <c r="BS383" t="s">
        <v>218</v>
      </c>
      <c r="BT383" t="s">
        <v>1382</v>
      </c>
      <c r="BU383" t="s">
        <v>682</v>
      </c>
      <c r="BV383" t="s">
        <v>1153</v>
      </c>
    </row>
    <row r="384" spans="68:74" x14ac:dyDescent="0.25">
      <c r="BQ384">
        <v>2010004305</v>
      </c>
      <c r="BR384" s="15" t="s">
        <v>222</v>
      </c>
      <c r="BS384" t="s">
        <v>218</v>
      </c>
      <c r="BT384" t="s">
        <v>1383</v>
      </c>
      <c r="BU384" t="s">
        <v>682</v>
      </c>
      <c r="BV384" t="s">
        <v>1153</v>
      </c>
    </row>
    <row r="385" spans="68:74" x14ac:dyDescent="0.25">
      <c r="BP385">
        <v>11440</v>
      </c>
      <c r="BQ385">
        <v>2010009301</v>
      </c>
      <c r="BR385" s="15" t="s">
        <v>222</v>
      </c>
      <c r="BS385" t="s">
        <v>218</v>
      </c>
      <c r="BT385" t="s">
        <v>1384</v>
      </c>
      <c r="BU385" t="s">
        <v>682</v>
      </c>
      <c r="BV385" t="s">
        <v>1153</v>
      </c>
    </row>
    <row r="386" spans="68:74" x14ac:dyDescent="0.25">
      <c r="BP386">
        <v>11442</v>
      </c>
      <c r="BQ386">
        <v>2010009306</v>
      </c>
      <c r="BR386" s="15" t="s">
        <v>222</v>
      </c>
      <c r="BS386" t="s">
        <v>218</v>
      </c>
      <c r="BT386" t="s">
        <v>1384</v>
      </c>
      <c r="BU386" t="s">
        <v>682</v>
      </c>
      <c r="BV386" t="s">
        <v>1153</v>
      </c>
    </row>
    <row r="387" spans="68:74" x14ac:dyDescent="0.25">
      <c r="BQ387">
        <v>2010004301</v>
      </c>
      <c r="BR387" s="15" t="s">
        <v>222</v>
      </c>
      <c r="BS387" t="s">
        <v>218</v>
      </c>
      <c r="BT387" t="s">
        <v>1385</v>
      </c>
      <c r="BU387" t="s">
        <v>682</v>
      </c>
      <c r="BV387" t="s">
        <v>1153</v>
      </c>
    </row>
    <row r="388" spans="68:74" x14ac:dyDescent="0.25">
      <c r="BP388">
        <v>11660</v>
      </c>
      <c r="BQ388">
        <v>2010027301</v>
      </c>
      <c r="BR388" s="15" t="s">
        <v>222</v>
      </c>
      <c r="BS388" t="s">
        <v>218</v>
      </c>
      <c r="BT388" t="s">
        <v>1385</v>
      </c>
      <c r="BU388" t="s">
        <v>682</v>
      </c>
      <c r="BV388" t="s">
        <v>1153</v>
      </c>
    </row>
    <row r="389" spans="68:74" x14ac:dyDescent="0.25">
      <c r="BP389">
        <v>11571</v>
      </c>
      <c r="BQ389">
        <v>20102773</v>
      </c>
      <c r="BR389" s="15" t="s">
        <v>222</v>
      </c>
      <c r="BS389" t="s">
        <v>218</v>
      </c>
      <c r="BT389" t="s">
        <v>1386</v>
      </c>
      <c r="BU389" t="s">
        <v>682</v>
      </c>
      <c r="BV389" t="s">
        <v>1153</v>
      </c>
    </row>
    <row r="390" spans="68:74" x14ac:dyDescent="0.25">
      <c r="BQ390">
        <v>20102763</v>
      </c>
      <c r="BR390" s="15" t="s">
        <v>222</v>
      </c>
      <c r="BS390" t="s">
        <v>218</v>
      </c>
      <c r="BT390" t="s">
        <v>1387</v>
      </c>
      <c r="BU390" t="s">
        <v>682</v>
      </c>
      <c r="BV390" t="s">
        <v>680</v>
      </c>
    </row>
    <row r="391" spans="68:74" x14ac:dyDescent="0.25">
      <c r="BP391">
        <v>11646</v>
      </c>
      <c r="BQ391">
        <v>2010022307</v>
      </c>
      <c r="BR391" s="15" t="s">
        <v>222</v>
      </c>
      <c r="BS391" t="s">
        <v>218</v>
      </c>
      <c r="BT391" t="s">
        <v>1388</v>
      </c>
      <c r="BU391" t="s">
        <v>682</v>
      </c>
      <c r="BV391" t="s">
        <v>1153</v>
      </c>
    </row>
    <row r="392" spans="68:74" x14ac:dyDescent="0.25">
      <c r="BQ392">
        <v>2010026301</v>
      </c>
      <c r="BR392" s="15" t="s">
        <v>222</v>
      </c>
      <c r="BS392" t="s">
        <v>218</v>
      </c>
      <c r="BT392" t="s">
        <v>1389</v>
      </c>
      <c r="BU392" t="s">
        <v>682</v>
      </c>
      <c r="BV392" t="s">
        <v>1153</v>
      </c>
    </row>
    <row r="393" spans="68:74" x14ac:dyDescent="0.25">
      <c r="BP393">
        <v>11669</v>
      </c>
      <c r="BQ393">
        <v>2010032302</v>
      </c>
      <c r="BR393" s="15" t="s">
        <v>222</v>
      </c>
      <c r="BS393" t="s">
        <v>218</v>
      </c>
      <c r="BT393" t="s">
        <v>1389</v>
      </c>
      <c r="BU393" t="s">
        <v>682</v>
      </c>
      <c r="BV393" t="s">
        <v>1153</v>
      </c>
    </row>
    <row r="394" spans="68:74" x14ac:dyDescent="0.25">
      <c r="BP394">
        <v>11633</v>
      </c>
      <c r="BQ394">
        <v>2010020301</v>
      </c>
      <c r="BR394" s="15" t="s">
        <v>222</v>
      </c>
      <c r="BS394" t="s">
        <v>218</v>
      </c>
      <c r="BT394" t="s">
        <v>4571</v>
      </c>
      <c r="BU394" t="s">
        <v>682</v>
      </c>
      <c r="BV394" t="s">
        <v>1153</v>
      </c>
    </row>
    <row r="395" spans="68:74" x14ac:dyDescent="0.25">
      <c r="BP395">
        <v>11634</v>
      </c>
      <c r="BQ395">
        <v>2010020302</v>
      </c>
      <c r="BR395" s="15" t="s">
        <v>222</v>
      </c>
      <c r="BS395" t="s">
        <v>218</v>
      </c>
      <c r="BT395" t="s">
        <v>4573</v>
      </c>
      <c r="BU395" t="s">
        <v>682</v>
      </c>
      <c r="BV395" t="s">
        <v>1153</v>
      </c>
    </row>
    <row r="396" spans="68:74" x14ac:dyDescent="0.25">
      <c r="BP396">
        <v>11636</v>
      </c>
      <c r="BQ396">
        <v>2010021301</v>
      </c>
      <c r="BR396" s="15" t="s">
        <v>222</v>
      </c>
      <c r="BS396" t="s">
        <v>218</v>
      </c>
      <c r="BT396" t="s">
        <v>4574</v>
      </c>
      <c r="BU396" t="s">
        <v>682</v>
      </c>
      <c r="BV396" t="s">
        <v>1153</v>
      </c>
    </row>
    <row r="397" spans="68:74" x14ac:dyDescent="0.25">
      <c r="BP397">
        <v>11638</v>
      </c>
      <c r="BQ397">
        <v>2010021302</v>
      </c>
      <c r="BR397" s="15" t="s">
        <v>222</v>
      </c>
      <c r="BS397" t="s">
        <v>218</v>
      </c>
      <c r="BT397" t="s">
        <v>4575</v>
      </c>
      <c r="BU397" t="s">
        <v>682</v>
      </c>
      <c r="BV397" t="s">
        <v>1153</v>
      </c>
    </row>
    <row r="398" spans="68:74" x14ac:dyDescent="0.25">
      <c r="BP398">
        <v>624436</v>
      </c>
      <c r="BQ398">
        <v>2010034302</v>
      </c>
      <c r="BR398" s="15" t="s">
        <v>222</v>
      </c>
      <c r="BS398" t="s">
        <v>218</v>
      </c>
      <c r="BT398" t="s">
        <v>1390</v>
      </c>
      <c r="BU398" t="s">
        <v>682</v>
      </c>
      <c r="BV398" t="s">
        <v>1153</v>
      </c>
    </row>
    <row r="399" spans="68:74" x14ac:dyDescent="0.25">
      <c r="BQ399">
        <v>2010034303</v>
      </c>
      <c r="BR399" s="15" t="s">
        <v>222</v>
      </c>
      <c r="BS399" t="s">
        <v>218</v>
      </c>
      <c r="BT399" t="s">
        <v>1391</v>
      </c>
      <c r="BU399" t="s">
        <v>682</v>
      </c>
      <c r="BV399" t="s">
        <v>1153</v>
      </c>
    </row>
    <row r="400" spans="68:74" x14ac:dyDescent="0.25">
      <c r="BP400">
        <v>11514</v>
      </c>
      <c r="BQ400">
        <v>20100202</v>
      </c>
      <c r="BR400" s="15" t="s">
        <v>222</v>
      </c>
      <c r="BS400" t="s">
        <v>218</v>
      </c>
      <c r="BT400" t="s">
        <v>901</v>
      </c>
      <c r="BU400" t="s">
        <v>681</v>
      </c>
      <c r="BV400" t="s">
        <v>1153</v>
      </c>
    </row>
    <row r="401" spans="68:74" x14ac:dyDescent="0.25">
      <c r="BQ401">
        <v>20100343</v>
      </c>
      <c r="BR401" s="15" t="s">
        <v>222</v>
      </c>
      <c r="BS401" t="s">
        <v>218</v>
      </c>
      <c r="BT401" t="s">
        <v>901</v>
      </c>
      <c r="BU401" t="s">
        <v>682</v>
      </c>
      <c r="BV401" t="s">
        <v>680</v>
      </c>
    </row>
    <row r="402" spans="68:74" x14ac:dyDescent="0.25">
      <c r="BP402">
        <v>11409</v>
      </c>
      <c r="BQ402">
        <v>2010003321</v>
      </c>
      <c r="BR402" s="15" t="s">
        <v>222</v>
      </c>
      <c r="BS402" t="s">
        <v>218</v>
      </c>
      <c r="BT402" t="s">
        <v>1392</v>
      </c>
      <c r="BU402" t="s">
        <v>682</v>
      </c>
      <c r="BV402" t="s">
        <v>1153</v>
      </c>
    </row>
    <row r="403" spans="68:74" x14ac:dyDescent="0.25">
      <c r="BP403">
        <v>11410</v>
      </c>
      <c r="BQ403">
        <v>2010003322</v>
      </c>
      <c r="BR403" s="15" t="s">
        <v>222</v>
      </c>
      <c r="BS403" t="s">
        <v>218</v>
      </c>
      <c r="BT403" t="s">
        <v>1393</v>
      </c>
      <c r="BU403" t="s">
        <v>682</v>
      </c>
      <c r="BV403" t="s">
        <v>1153</v>
      </c>
    </row>
    <row r="404" spans="68:74" x14ac:dyDescent="0.25">
      <c r="BP404">
        <v>11516</v>
      </c>
      <c r="BQ404">
        <v>20100212</v>
      </c>
      <c r="BR404" s="15" t="s">
        <v>222</v>
      </c>
      <c r="BS404" t="s">
        <v>218</v>
      </c>
      <c r="BT404" t="s">
        <v>904</v>
      </c>
      <c r="BU404" t="s">
        <v>681</v>
      </c>
      <c r="BV404" t="s">
        <v>1153</v>
      </c>
    </row>
    <row r="405" spans="68:74" x14ac:dyDescent="0.25">
      <c r="BQ405">
        <v>20100353</v>
      </c>
      <c r="BR405" s="15" t="s">
        <v>222</v>
      </c>
      <c r="BS405" t="s">
        <v>218</v>
      </c>
      <c r="BT405" t="s">
        <v>904</v>
      </c>
      <c r="BU405" t="s">
        <v>682</v>
      </c>
      <c r="BV405" t="s">
        <v>680</v>
      </c>
    </row>
    <row r="406" spans="68:74" x14ac:dyDescent="0.25">
      <c r="BP406">
        <v>11518</v>
      </c>
      <c r="BQ406">
        <v>20100222</v>
      </c>
      <c r="BR406" s="15" t="s">
        <v>222</v>
      </c>
      <c r="BS406" t="s">
        <v>218</v>
      </c>
      <c r="BT406" t="s">
        <v>1394</v>
      </c>
      <c r="BU406" t="s">
        <v>681</v>
      </c>
      <c r="BV406" t="s">
        <v>1153</v>
      </c>
    </row>
    <row r="407" spans="68:74" x14ac:dyDescent="0.25">
      <c r="BP407">
        <v>624812</v>
      </c>
      <c r="BQ407">
        <v>20100223</v>
      </c>
      <c r="BR407" s="15" t="s">
        <v>222</v>
      </c>
      <c r="BS407" t="s">
        <v>218</v>
      </c>
      <c r="BT407" t="s">
        <v>1394</v>
      </c>
      <c r="BU407" t="s">
        <v>682</v>
      </c>
      <c r="BV407" t="s">
        <v>1153</v>
      </c>
    </row>
    <row r="408" spans="68:74" x14ac:dyDescent="0.25">
      <c r="BP408">
        <v>624361</v>
      </c>
      <c r="BQ408">
        <v>20101933</v>
      </c>
      <c r="BR408" s="15" t="s">
        <v>222</v>
      </c>
      <c r="BS408" t="s">
        <v>218</v>
      </c>
      <c r="BT408" t="s">
        <v>1395</v>
      </c>
      <c r="BU408" t="s">
        <v>682</v>
      </c>
      <c r="BV408" t="s">
        <v>1153</v>
      </c>
    </row>
    <row r="409" spans="68:74" x14ac:dyDescent="0.25">
      <c r="BP409">
        <v>11520</v>
      </c>
      <c r="BQ409">
        <v>20100232</v>
      </c>
      <c r="BR409" s="15" t="s">
        <v>222</v>
      </c>
      <c r="BS409" t="s">
        <v>218</v>
      </c>
      <c r="BT409" t="s">
        <v>1396</v>
      </c>
      <c r="BU409" t="s">
        <v>681</v>
      </c>
      <c r="BV409" t="s">
        <v>1153</v>
      </c>
    </row>
    <row r="410" spans="68:74" x14ac:dyDescent="0.25">
      <c r="BP410">
        <v>11522</v>
      </c>
      <c r="BQ410">
        <v>20100242</v>
      </c>
      <c r="BR410" s="15" t="s">
        <v>222</v>
      </c>
      <c r="BS410" t="s">
        <v>218</v>
      </c>
      <c r="BT410" t="s">
        <v>907</v>
      </c>
      <c r="BU410" t="s">
        <v>681</v>
      </c>
      <c r="BV410" t="s">
        <v>1153</v>
      </c>
    </row>
    <row r="411" spans="68:74" x14ac:dyDescent="0.25">
      <c r="BQ411">
        <v>20100243</v>
      </c>
      <c r="BR411" s="15" t="s">
        <v>222</v>
      </c>
      <c r="BS411" t="s">
        <v>218</v>
      </c>
      <c r="BT411" t="s">
        <v>907</v>
      </c>
      <c r="BU411" t="s">
        <v>682</v>
      </c>
      <c r="BV411" t="s">
        <v>680</v>
      </c>
    </row>
    <row r="412" spans="68:74" x14ac:dyDescent="0.25">
      <c r="BP412">
        <v>11524</v>
      </c>
      <c r="BQ412">
        <v>20100252</v>
      </c>
      <c r="BR412" s="15" t="s">
        <v>222</v>
      </c>
      <c r="BS412" t="s">
        <v>218</v>
      </c>
      <c r="BT412" t="s">
        <v>1065</v>
      </c>
      <c r="BU412" t="s">
        <v>681</v>
      </c>
      <c r="BV412" t="s">
        <v>1153</v>
      </c>
    </row>
    <row r="413" spans="68:74" x14ac:dyDescent="0.25">
      <c r="BQ413">
        <v>20100253</v>
      </c>
      <c r="BR413" s="15" t="s">
        <v>222</v>
      </c>
      <c r="BS413" t="s">
        <v>218</v>
      </c>
      <c r="BT413" t="s">
        <v>1065</v>
      </c>
      <c r="BU413" t="s">
        <v>682</v>
      </c>
      <c r="BV413" t="s">
        <v>680</v>
      </c>
    </row>
    <row r="414" spans="68:74" x14ac:dyDescent="0.25">
      <c r="BP414">
        <v>259353</v>
      </c>
      <c r="BQ414">
        <v>20103723</v>
      </c>
      <c r="BR414" s="15" t="s">
        <v>222</v>
      </c>
      <c r="BS414" t="s">
        <v>218</v>
      </c>
      <c r="BT414" t="s">
        <v>1397</v>
      </c>
      <c r="BU414" t="s">
        <v>682</v>
      </c>
      <c r="BV414" t="s">
        <v>1153</v>
      </c>
    </row>
    <row r="415" spans="68:74" x14ac:dyDescent="0.25">
      <c r="BP415">
        <v>259354</v>
      </c>
      <c r="BQ415">
        <v>20103733</v>
      </c>
      <c r="BR415" s="15" t="s">
        <v>222</v>
      </c>
      <c r="BS415" t="s">
        <v>218</v>
      </c>
      <c r="BT415" t="s">
        <v>1398</v>
      </c>
      <c r="BU415" t="s">
        <v>682</v>
      </c>
      <c r="BV415" t="s">
        <v>1153</v>
      </c>
    </row>
    <row r="416" spans="68:74" x14ac:dyDescent="0.25">
      <c r="BQ416">
        <v>2010013301</v>
      </c>
      <c r="BR416" s="15" t="s">
        <v>222</v>
      </c>
      <c r="BS416" t="s">
        <v>218</v>
      </c>
      <c r="BT416" t="s">
        <v>1399</v>
      </c>
      <c r="BU416" t="s">
        <v>682</v>
      </c>
      <c r="BV416" t="s">
        <v>1153</v>
      </c>
    </row>
    <row r="417" spans="68:74" x14ac:dyDescent="0.25">
      <c r="BP417">
        <v>608435</v>
      </c>
      <c r="BQ417">
        <v>2010003302</v>
      </c>
      <c r="BR417" s="15" t="s">
        <v>222</v>
      </c>
      <c r="BS417" t="s">
        <v>218</v>
      </c>
      <c r="BT417" t="s">
        <v>3921</v>
      </c>
      <c r="BU417" t="s">
        <v>682</v>
      </c>
      <c r="BV417" t="s">
        <v>1149</v>
      </c>
    </row>
    <row r="418" spans="68:74" x14ac:dyDescent="0.25">
      <c r="BP418">
        <v>11380</v>
      </c>
      <c r="BQ418">
        <v>2010003302</v>
      </c>
      <c r="BR418" s="15" t="s">
        <v>222</v>
      </c>
      <c r="BS418" t="s">
        <v>218</v>
      </c>
      <c r="BT418" t="s">
        <v>3921</v>
      </c>
      <c r="BU418" t="s">
        <v>682</v>
      </c>
      <c r="BV418" t="s">
        <v>1153</v>
      </c>
    </row>
    <row r="419" spans="68:74" x14ac:dyDescent="0.25">
      <c r="BQ419">
        <v>2010003303</v>
      </c>
      <c r="BR419" s="15" t="s">
        <v>222</v>
      </c>
      <c r="BS419" t="s">
        <v>218</v>
      </c>
      <c r="BT419" t="s">
        <v>1400</v>
      </c>
      <c r="BU419" t="s">
        <v>682</v>
      </c>
      <c r="BV419" t="s">
        <v>1153</v>
      </c>
    </row>
    <row r="420" spans="68:74" x14ac:dyDescent="0.25">
      <c r="BP420">
        <v>11613</v>
      </c>
      <c r="BQ420">
        <v>2010001316</v>
      </c>
      <c r="BR420" s="15" t="s">
        <v>222</v>
      </c>
      <c r="BS420" t="s">
        <v>218</v>
      </c>
      <c r="BT420" t="s">
        <v>1401</v>
      </c>
      <c r="BU420" t="s">
        <v>682</v>
      </c>
      <c r="BV420" t="s">
        <v>1149</v>
      </c>
    </row>
    <row r="421" spans="68:74" x14ac:dyDescent="0.25">
      <c r="BP421">
        <v>11611</v>
      </c>
      <c r="BQ421">
        <v>2010001316</v>
      </c>
      <c r="BR421" s="15" t="s">
        <v>222</v>
      </c>
      <c r="BS421" t="s">
        <v>218</v>
      </c>
      <c r="BT421" t="s">
        <v>1401</v>
      </c>
      <c r="BU421" t="s">
        <v>682</v>
      </c>
      <c r="BV421" t="s">
        <v>1153</v>
      </c>
    </row>
    <row r="422" spans="68:74" x14ac:dyDescent="0.25">
      <c r="BP422">
        <v>11603</v>
      </c>
      <c r="BQ422">
        <v>2010001312</v>
      </c>
      <c r="BR422" s="15" t="s">
        <v>222</v>
      </c>
      <c r="BS422" t="s">
        <v>218</v>
      </c>
      <c r="BT422" t="s">
        <v>1402</v>
      </c>
      <c r="BU422" t="s">
        <v>682</v>
      </c>
      <c r="BV422" t="s">
        <v>1153</v>
      </c>
    </row>
    <row r="423" spans="68:74" x14ac:dyDescent="0.25">
      <c r="BP423">
        <v>11604</v>
      </c>
      <c r="BQ423">
        <v>2010001312</v>
      </c>
      <c r="BR423" s="15" t="s">
        <v>222</v>
      </c>
      <c r="BS423" t="s">
        <v>218</v>
      </c>
      <c r="BT423" t="s">
        <v>1402</v>
      </c>
      <c r="BU423" t="s">
        <v>682</v>
      </c>
      <c r="BV423" t="s">
        <v>1149</v>
      </c>
    </row>
    <row r="424" spans="68:74" x14ac:dyDescent="0.25">
      <c r="BQ424">
        <v>20100163</v>
      </c>
      <c r="BR424" s="15" t="s">
        <v>222</v>
      </c>
      <c r="BS424" t="s">
        <v>218</v>
      </c>
      <c r="BT424" t="s">
        <v>1403</v>
      </c>
      <c r="BU424" t="s">
        <v>682</v>
      </c>
      <c r="BV424" t="s">
        <v>680</v>
      </c>
    </row>
    <row r="425" spans="68:74" x14ac:dyDescent="0.25">
      <c r="BP425">
        <v>11597</v>
      </c>
      <c r="BQ425">
        <v>2010001304</v>
      </c>
      <c r="BR425" s="15" t="s">
        <v>222</v>
      </c>
      <c r="BS425" t="s">
        <v>218</v>
      </c>
      <c r="BT425" t="s">
        <v>1403</v>
      </c>
      <c r="BU425" t="s">
        <v>682</v>
      </c>
      <c r="BV425" t="s">
        <v>1153</v>
      </c>
    </row>
    <row r="426" spans="68:74" x14ac:dyDescent="0.25">
      <c r="BP426">
        <v>11615</v>
      </c>
      <c r="BQ426">
        <v>2010004307</v>
      </c>
      <c r="BR426" s="15" t="s">
        <v>222</v>
      </c>
      <c r="BS426" t="s">
        <v>218</v>
      </c>
      <c r="BT426" t="s">
        <v>1403</v>
      </c>
      <c r="BU426" t="s">
        <v>682</v>
      </c>
      <c r="BV426" t="s">
        <v>1153</v>
      </c>
    </row>
    <row r="427" spans="68:74" x14ac:dyDescent="0.25">
      <c r="BP427">
        <v>11618</v>
      </c>
      <c r="BQ427">
        <v>2010013302</v>
      </c>
      <c r="BR427" s="15" t="s">
        <v>222</v>
      </c>
      <c r="BS427" t="s">
        <v>218</v>
      </c>
      <c r="BT427" t="s">
        <v>1403</v>
      </c>
      <c r="BU427" t="s">
        <v>682</v>
      </c>
      <c r="BV427" t="s">
        <v>1153</v>
      </c>
    </row>
    <row r="428" spans="68:74" x14ac:dyDescent="0.25">
      <c r="BP428">
        <v>11642</v>
      </c>
      <c r="BQ428">
        <v>2010022304</v>
      </c>
      <c r="BR428" s="15" t="s">
        <v>222</v>
      </c>
      <c r="BS428" t="s">
        <v>218</v>
      </c>
      <c r="BT428" t="s">
        <v>1403</v>
      </c>
      <c r="BU428" t="s">
        <v>682</v>
      </c>
      <c r="BV428" t="s">
        <v>1153</v>
      </c>
    </row>
    <row r="429" spans="68:74" x14ac:dyDescent="0.25">
      <c r="BP429">
        <v>11677</v>
      </c>
      <c r="BQ429">
        <v>2010337301</v>
      </c>
      <c r="BR429" s="15" t="s">
        <v>222</v>
      </c>
      <c r="BS429" t="s">
        <v>218</v>
      </c>
      <c r="BT429" t="s">
        <v>1403</v>
      </c>
      <c r="BU429" t="s">
        <v>682</v>
      </c>
      <c r="BV429" t="s">
        <v>1153</v>
      </c>
    </row>
    <row r="430" spans="68:74" x14ac:dyDescent="0.25">
      <c r="BP430">
        <v>11526</v>
      </c>
      <c r="BQ430">
        <v>20100262</v>
      </c>
      <c r="BR430" s="15" t="s">
        <v>222</v>
      </c>
      <c r="BS430" t="s">
        <v>218</v>
      </c>
      <c r="BT430" t="s">
        <v>910</v>
      </c>
      <c r="BU430" t="s">
        <v>681</v>
      </c>
      <c r="BV430" t="s">
        <v>1153</v>
      </c>
    </row>
    <row r="431" spans="68:74" x14ac:dyDescent="0.25">
      <c r="BQ431">
        <v>20100263</v>
      </c>
      <c r="BR431" s="15" t="s">
        <v>222</v>
      </c>
      <c r="BS431" t="s">
        <v>218</v>
      </c>
      <c r="BT431" t="s">
        <v>910</v>
      </c>
      <c r="BU431" t="s">
        <v>682</v>
      </c>
      <c r="BV431" t="s">
        <v>680</v>
      </c>
    </row>
    <row r="432" spans="68:74" x14ac:dyDescent="0.25">
      <c r="BQ432">
        <v>2010026302</v>
      </c>
      <c r="BR432" s="15" t="s">
        <v>222</v>
      </c>
      <c r="BS432" t="s">
        <v>218</v>
      </c>
      <c r="BT432" t="s">
        <v>1404</v>
      </c>
      <c r="BU432" t="s">
        <v>682</v>
      </c>
      <c r="BV432" t="s">
        <v>1153</v>
      </c>
    </row>
    <row r="433" spans="68:74" x14ac:dyDescent="0.25">
      <c r="BQ433">
        <v>20100173</v>
      </c>
      <c r="BR433" s="15" t="s">
        <v>222</v>
      </c>
      <c r="BS433" t="s">
        <v>218</v>
      </c>
      <c r="BT433" t="s">
        <v>1405</v>
      </c>
      <c r="BU433" t="s">
        <v>682</v>
      </c>
      <c r="BV433" t="s">
        <v>680</v>
      </c>
    </row>
    <row r="434" spans="68:74" x14ac:dyDescent="0.25">
      <c r="BQ434">
        <v>2010001305</v>
      </c>
      <c r="BR434" s="15" t="s">
        <v>222</v>
      </c>
      <c r="BS434" t="s">
        <v>218</v>
      </c>
      <c r="BT434" t="s">
        <v>1406</v>
      </c>
      <c r="BU434" t="s">
        <v>682</v>
      </c>
      <c r="BV434" t="s">
        <v>1153</v>
      </c>
    </row>
    <row r="435" spans="68:74" x14ac:dyDescent="0.25">
      <c r="BP435">
        <v>11668</v>
      </c>
      <c r="BQ435">
        <v>2010031302</v>
      </c>
      <c r="BR435" s="15" t="s">
        <v>222</v>
      </c>
      <c r="BS435" t="s">
        <v>218</v>
      </c>
      <c r="BT435" t="s">
        <v>1407</v>
      </c>
      <c r="BU435" t="s">
        <v>682</v>
      </c>
      <c r="BV435" t="s">
        <v>1153</v>
      </c>
    </row>
    <row r="436" spans="68:74" x14ac:dyDescent="0.25">
      <c r="BP436">
        <v>11601</v>
      </c>
      <c r="BQ436">
        <v>2010001311</v>
      </c>
      <c r="BR436" s="15" t="s">
        <v>222</v>
      </c>
      <c r="BS436" t="s">
        <v>218</v>
      </c>
      <c r="BT436" t="s">
        <v>1408</v>
      </c>
      <c r="BU436" t="s">
        <v>682</v>
      </c>
      <c r="BV436" t="s">
        <v>1153</v>
      </c>
    </row>
    <row r="437" spans="68:74" x14ac:dyDescent="0.25">
      <c r="BQ437">
        <v>2010003304</v>
      </c>
      <c r="BR437" s="15" t="s">
        <v>222</v>
      </c>
      <c r="BS437" t="s">
        <v>218</v>
      </c>
      <c r="BT437" t="s">
        <v>1409</v>
      </c>
      <c r="BU437" t="s">
        <v>682</v>
      </c>
      <c r="BV437" t="s">
        <v>1153</v>
      </c>
    </row>
    <row r="438" spans="68:74" x14ac:dyDescent="0.25">
      <c r="BQ438">
        <v>2010009302</v>
      </c>
      <c r="BR438" s="15" t="s">
        <v>222</v>
      </c>
      <c r="BS438" t="s">
        <v>218</v>
      </c>
      <c r="BT438" t="s">
        <v>1409</v>
      </c>
      <c r="BU438" t="s">
        <v>682</v>
      </c>
      <c r="BV438" t="s">
        <v>1153</v>
      </c>
    </row>
    <row r="439" spans="68:74" x14ac:dyDescent="0.25">
      <c r="BP439">
        <v>11438</v>
      </c>
      <c r="BQ439">
        <v>2010003335</v>
      </c>
      <c r="BR439" s="15" t="s">
        <v>222</v>
      </c>
      <c r="BS439" t="s">
        <v>218</v>
      </c>
      <c r="BT439" t="s">
        <v>1410</v>
      </c>
      <c r="BU439" t="s">
        <v>682</v>
      </c>
      <c r="BV439" t="s">
        <v>1153</v>
      </c>
    </row>
    <row r="440" spans="68:74" x14ac:dyDescent="0.25">
      <c r="BP440">
        <v>11412</v>
      </c>
      <c r="BQ440">
        <v>2010003323</v>
      </c>
      <c r="BR440" s="15" t="s">
        <v>222</v>
      </c>
      <c r="BS440" t="s">
        <v>218</v>
      </c>
      <c r="BT440" t="s">
        <v>1411</v>
      </c>
      <c r="BU440" t="s">
        <v>682</v>
      </c>
      <c r="BV440" t="s">
        <v>1153</v>
      </c>
    </row>
    <row r="441" spans="68:74" x14ac:dyDescent="0.25">
      <c r="BQ441">
        <v>2010018304</v>
      </c>
      <c r="BR441" s="15" t="s">
        <v>222</v>
      </c>
      <c r="BS441" t="s">
        <v>218</v>
      </c>
      <c r="BT441" t="s">
        <v>1412</v>
      </c>
      <c r="BU441" t="s">
        <v>682</v>
      </c>
      <c r="BV441" t="s">
        <v>1153</v>
      </c>
    </row>
    <row r="442" spans="68:74" x14ac:dyDescent="0.25">
      <c r="BQ442">
        <v>2010001306</v>
      </c>
      <c r="BR442" s="15" t="s">
        <v>222</v>
      </c>
      <c r="BS442" t="s">
        <v>218</v>
      </c>
      <c r="BT442" t="s">
        <v>1413</v>
      </c>
      <c r="BU442" t="s">
        <v>682</v>
      </c>
      <c r="BV442" t="s">
        <v>1153</v>
      </c>
    </row>
    <row r="443" spans="68:74" x14ac:dyDescent="0.25">
      <c r="BQ443">
        <v>2010009305</v>
      </c>
      <c r="BR443" s="15" t="s">
        <v>222</v>
      </c>
      <c r="BS443" t="s">
        <v>218</v>
      </c>
      <c r="BT443" t="s">
        <v>1414</v>
      </c>
      <c r="BU443" t="s">
        <v>682</v>
      </c>
      <c r="BV443" t="s">
        <v>1153</v>
      </c>
    </row>
    <row r="444" spans="68:74" x14ac:dyDescent="0.25">
      <c r="BQ444">
        <v>2010009307</v>
      </c>
      <c r="BR444" s="15" t="s">
        <v>222</v>
      </c>
      <c r="BS444" t="s">
        <v>218</v>
      </c>
      <c r="BT444" t="s">
        <v>1414</v>
      </c>
      <c r="BU444" t="s">
        <v>682</v>
      </c>
      <c r="BV444" t="s">
        <v>1153</v>
      </c>
    </row>
    <row r="445" spans="68:74" x14ac:dyDescent="0.25">
      <c r="BP445">
        <v>11403</v>
      </c>
      <c r="BQ445">
        <v>2010003316</v>
      </c>
      <c r="BR445" s="15" t="s">
        <v>222</v>
      </c>
      <c r="BS445" t="s">
        <v>218</v>
      </c>
      <c r="BT445" t="s">
        <v>1415</v>
      </c>
      <c r="BU445" t="s">
        <v>682</v>
      </c>
      <c r="BV445" t="s">
        <v>1153</v>
      </c>
    </row>
    <row r="446" spans="68:74" x14ac:dyDescent="0.25">
      <c r="BP446">
        <v>11405</v>
      </c>
      <c r="BQ446">
        <v>2010003317</v>
      </c>
      <c r="BR446" s="15" t="s">
        <v>222</v>
      </c>
      <c r="BS446" t="s">
        <v>218</v>
      </c>
      <c r="BT446" t="s">
        <v>1415</v>
      </c>
      <c r="BU446" t="s">
        <v>682</v>
      </c>
      <c r="BV446" t="s">
        <v>1153</v>
      </c>
    </row>
    <row r="447" spans="68:74" x14ac:dyDescent="0.25">
      <c r="BQ447">
        <v>2010004302</v>
      </c>
      <c r="BR447" s="15" t="s">
        <v>222</v>
      </c>
      <c r="BS447" t="s">
        <v>218</v>
      </c>
      <c r="BT447" t="s">
        <v>1416</v>
      </c>
      <c r="BU447" t="s">
        <v>682</v>
      </c>
      <c r="BV447" t="s">
        <v>1153</v>
      </c>
    </row>
    <row r="448" spans="68:74" x14ac:dyDescent="0.25">
      <c r="BP448">
        <v>11382</v>
      </c>
      <c r="BQ448">
        <v>2010003305</v>
      </c>
      <c r="BR448" s="15" t="s">
        <v>222</v>
      </c>
      <c r="BS448" t="s">
        <v>218</v>
      </c>
      <c r="BT448" t="s">
        <v>1417</v>
      </c>
      <c r="BU448" t="s">
        <v>682</v>
      </c>
      <c r="BV448" t="s">
        <v>1153</v>
      </c>
    </row>
    <row r="449" spans="68:74" x14ac:dyDescent="0.25">
      <c r="BP449">
        <v>11401</v>
      </c>
      <c r="BQ449">
        <v>2010003315</v>
      </c>
      <c r="BR449" s="15" t="s">
        <v>222</v>
      </c>
      <c r="BS449" t="s">
        <v>218</v>
      </c>
      <c r="BT449" t="s">
        <v>1417</v>
      </c>
      <c r="BU449" t="s">
        <v>682</v>
      </c>
      <c r="BV449" t="s">
        <v>1153</v>
      </c>
    </row>
    <row r="450" spans="68:74" x14ac:dyDescent="0.25">
      <c r="BP450">
        <v>11384</v>
      </c>
      <c r="BQ450">
        <v>2010003306</v>
      </c>
      <c r="BR450" s="15" t="s">
        <v>222</v>
      </c>
      <c r="BS450" t="s">
        <v>218</v>
      </c>
      <c r="BT450" t="s">
        <v>1418</v>
      </c>
      <c r="BU450" t="s">
        <v>682</v>
      </c>
      <c r="BV450" t="s">
        <v>1153</v>
      </c>
    </row>
    <row r="451" spans="68:74" x14ac:dyDescent="0.25">
      <c r="BP451">
        <v>11421</v>
      </c>
      <c r="BQ451">
        <v>2010003328</v>
      </c>
      <c r="BR451" s="15" t="s">
        <v>222</v>
      </c>
      <c r="BS451" t="s">
        <v>218</v>
      </c>
      <c r="BT451" t="s">
        <v>1419</v>
      </c>
      <c r="BU451" t="s">
        <v>682</v>
      </c>
      <c r="BV451" t="s">
        <v>1153</v>
      </c>
    </row>
    <row r="452" spans="68:74" x14ac:dyDescent="0.25">
      <c r="BP452">
        <v>11653</v>
      </c>
      <c r="BQ452">
        <v>2010024303</v>
      </c>
      <c r="BR452" s="15" t="s">
        <v>222</v>
      </c>
      <c r="BS452" t="s">
        <v>218</v>
      </c>
      <c r="BT452" t="s">
        <v>1420</v>
      </c>
      <c r="BU452" t="s">
        <v>682</v>
      </c>
      <c r="BV452" t="s">
        <v>1153</v>
      </c>
    </row>
    <row r="453" spans="68:74" x14ac:dyDescent="0.25">
      <c r="BP453">
        <v>11654</v>
      </c>
      <c r="BQ453">
        <v>2010024304</v>
      </c>
      <c r="BR453" s="15" t="s">
        <v>222</v>
      </c>
      <c r="BS453" t="s">
        <v>218</v>
      </c>
      <c r="BT453" t="s">
        <v>1421</v>
      </c>
      <c r="BU453" t="s">
        <v>682</v>
      </c>
      <c r="BV453" t="s">
        <v>1153</v>
      </c>
    </row>
    <row r="454" spans="68:74" x14ac:dyDescent="0.25">
      <c r="BP454">
        <v>11598</v>
      </c>
      <c r="BQ454">
        <v>2010001307</v>
      </c>
      <c r="BR454" s="15" t="s">
        <v>222</v>
      </c>
      <c r="BS454" t="s">
        <v>218</v>
      </c>
      <c r="BT454" t="s">
        <v>1422</v>
      </c>
      <c r="BU454" t="s">
        <v>682</v>
      </c>
      <c r="BV454" t="s">
        <v>1153</v>
      </c>
    </row>
    <row r="455" spans="68:74" x14ac:dyDescent="0.25">
      <c r="BP455">
        <v>11616</v>
      </c>
      <c r="BQ455">
        <v>2010004308</v>
      </c>
      <c r="BR455" s="15" t="s">
        <v>222</v>
      </c>
      <c r="BS455" t="s">
        <v>218</v>
      </c>
      <c r="BT455" t="s">
        <v>1422</v>
      </c>
      <c r="BU455" t="s">
        <v>682</v>
      </c>
      <c r="BV455" t="s">
        <v>1153</v>
      </c>
    </row>
    <row r="456" spans="68:74" x14ac:dyDescent="0.25">
      <c r="BP456">
        <v>11621</v>
      </c>
      <c r="BQ456">
        <v>2010013307</v>
      </c>
      <c r="BR456" s="15" t="s">
        <v>222</v>
      </c>
      <c r="BS456" t="s">
        <v>218</v>
      </c>
      <c r="BT456" t="s">
        <v>1422</v>
      </c>
      <c r="BU456" t="s">
        <v>682</v>
      </c>
      <c r="BV456" t="s">
        <v>1153</v>
      </c>
    </row>
    <row r="457" spans="68:74" x14ac:dyDescent="0.25">
      <c r="BP457">
        <v>11643</v>
      </c>
      <c r="BQ457">
        <v>2010022305</v>
      </c>
      <c r="BR457" s="15" t="s">
        <v>222</v>
      </c>
      <c r="BS457" t="s">
        <v>218</v>
      </c>
      <c r="BT457" t="s">
        <v>1422</v>
      </c>
      <c r="BU457" t="s">
        <v>682</v>
      </c>
      <c r="BV457" t="s">
        <v>1153</v>
      </c>
    </row>
    <row r="458" spans="68:74" x14ac:dyDescent="0.25">
      <c r="BP458">
        <v>11651</v>
      </c>
      <c r="BQ458">
        <v>2010023302</v>
      </c>
      <c r="BR458" s="15" t="s">
        <v>222</v>
      </c>
      <c r="BS458" t="s">
        <v>218</v>
      </c>
      <c r="BT458" t="s">
        <v>1422</v>
      </c>
      <c r="BU458" t="s">
        <v>682</v>
      </c>
      <c r="BV458" t="s">
        <v>1153</v>
      </c>
    </row>
    <row r="459" spans="68:74" x14ac:dyDescent="0.25">
      <c r="BP459">
        <v>11508</v>
      </c>
      <c r="BQ459">
        <v>20100042</v>
      </c>
      <c r="BR459" s="15" t="s">
        <v>222</v>
      </c>
      <c r="BS459" t="s">
        <v>218</v>
      </c>
      <c r="BT459" t="s">
        <v>1423</v>
      </c>
      <c r="BU459" t="s">
        <v>681</v>
      </c>
      <c r="BV459" t="s">
        <v>1153</v>
      </c>
    </row>
    <row r="460" spans="68:74" x14ac:dyDescent="0.25">
      <c r="BQ460">
        <v>20100043</v>
      </c>
      <c r="BR460" s="15" t="s">
        <v>222</v>
      </c>
      <c r="BS460" t="s">
        <v>218</v>
      </c>
      <c r="BT460" t="s">
        <v>1423</v>
      </c>
      <c r="BU460" t="s">
        <v>682</v>
      </c>
      <c r="BV460" t="s">
        <v>680</v>
      </c>
    </row>
    <row r="461" spans="68:74" x14ac:dyDescent="0.25">
      <c r="BQ461">
        <v>20100393</v>
      </c>
      <c r="BR461" s="15" t="s">
        <v>222</v>
      </c>
      <c r="BS461" t="s">
        <v>218</v>
      </c>
      <c r="BT461" t="s">
        <v>1423</v>
      </c>
      <c r="BU461" t="s">
        <v>682</v>
      </c>
      <c r="BV461" t="s">
        <v>680</v>
      </c>
    </row>
    <row r="462" spans="68:74" x14ac:dyDescent="0.25">
      <c r="BP462">
        <v>11580</v>
      </c>
      <c r="BQ462">
        <v>20103372</v>
      </c>
      <c r="BR462" s="15" t="s">
        <v>222</v>
      </c>
      <c r="BS462" t="s">
        <v>218</v>
      </c>
      <c r="BT462" t="s">
        <v>1424</v>
      </c>
      <c r="BU462" t="s">
        <v>681</v>
      </c>
      <c r="BV462" t="s">
        <v>1153</v>
      </c>
    </row>
    <row r="463" spans="68:74" x14ac:dyDescent="0.25">
      <c r="BQ463">
        <v>2010004303</v>
      </c>
      <c r="BR463" s="15" t="s">
        <v>222</v>
      </c>
      <c r="BS463" t="s">
        <v>218</v>
      </c>
      <c r="BT463" t="s">
        <v>1425</v>
      </c>
      <c r="BU463" t="s">
        <v>682</v>
      </c>
      <c r="BV463" t="s">
        <v>1153</v>
      </c>
    </row>
    <row r="464" spans="68:74" x14ac:dyDescent="0.25">
      <c r="BQ464">
        <v>20100472</v>
      </c>
      <c r="BR464" s="15" t="s">
        <v>222</v>
      </c>
      <c r="BS464" t="s">
        <v>218</v>
      </c>
      <c r="BT464" t="s">
        <v>1426</v>
      </c>
      <c r="BU464" t="s">
        <v>681</v>
      </c>
      <c r="BV464" t="s">
        <v>680</v>
      </c>
    </row>
    <row r="465" spans="68:74" x14ac:dyDescent="0.25">
      <c r="BP465">
        <v>11528</v>
      </c>
      <c r="BQ465">
        <v>20100272</v>
      </c>
      <c r="BR465" s="15" t="s">
        <v>222</v>
      </c>
      <c r="BS465" t="s">
        <v>218</v>
      </c>
      <c r="BT465" t="s">
        <v>913</v>
      </c>
      <c r="BU465" t="s">
        <v>681</v>
      </c>
      <c r="BV465" t="s">
        <v>1153</v>
      </c>
    </row>
    <row r="466" spans="68:74" x14ac:dyDescent="0.25">
      <c r="BQ466">
        <v>20100273</v>
      </c>
      <c r="BR466" s="15" t="s">
        <v>222</v>
      </c>
      <c r="BS466" t="s">
        <v>218</v>
      </c>
      <c r="BT466" t="s">
        <v>913</v>
      </c>
      <c r="BU466" t="s">
        <v>682</v>
      </c>
      <c r="BV466" t="s">
        <v>680</v>
      </c>
    </row>
    <row r="467" spans="68:74" x14ac:dyDescent="0.25">
      <c r="BP467">
        <v>11661</v>
      </c>
      <c r="BQ467">
        <v>2010027302</v>
      </c>
      <c r="BR467" s="15" t="s">
        <v>222</v>
      </c>
      <c r="BS467" t="s">
        <v>218</v>
      </c>
      <c r="BT467" t="s">
        <v>913</v>
      </c>
      <c r="BU467" t="s">
        <v>682</v>
      </c>
      <c r="BV467" t="s">
        <v>1153</v>
      </c>
    </row>
    <row r="468" spans="68:74" x14ac:dyDescent="0.25">
      <c r="BQ468">
        <v>2010036301</v>
      </c>
      <c r="BR468" s="15" t="s">
        <v>222</v>
      </c>
      <c r="BS468" t="s">
        <v>218</v>
      </c>
      <c r="BT468" t="s">
        <v>1427</v>
      </c>
      <c r="BU468" t="s">
        <v>682</v>
      </c>
      <c r="BV468" t="s">
        <v>1153</v>
      </c>
    </row>
    <row r="469" spans="68:74" x14ac:dyDescent="0.25">
      <c r="BP469">
        <v>11673</v>
      </c>
      <c r="BQ469">
        <v>2010036305</v>
      </c>
      <c r="BR469" s="15" t="s">
        <v>222</v>
      </c>
      <c r="BS469" t="s">
        <v>218</v>
      </c>
      <c r="BT469" t="s">
        <v>1427</v>
      </c>
      <c r="BU469" t="s">
        <v>682</v>
      </c>
      <c r="BV469" t="s">
        <v>1153</v>
      </c>
    </row>
    <row r="470" spans="68:74" x14ac:dyDescent="0.25">
      <c r="BP470">
        <v>11388</v>
      </c>
      <c r="BQ470">
        <v>2010003307</v>
      </c>
      <c r="BR470" s="15" t="s">
        <v>222</v>
      </c>
      <c r="BS470" t="s">
        <v>218</v>
      </c>
      <c r="BT470" t="s">
        <v>1428</v>
      </c>
      <c r="BU470" t="s">
        <v>682</v>
      </c>
      <c r="BV470" t="s">
        <v>1149</v>
      </c>
    </row>
    <row r="471" spans="68:74" x14ac:dyDescent="0.25">
      <c r="BP471">
        <v>11386</v>
      </c>
      <c r="BQ471">
        <v>2010003307</v>
      </c>
      <c r="BR471" s="15" t="s">
        <v>222</v>
      </c>
      <c r="BS471" t="s">
        <v>218</v>
      </c>
      <c r="BT471" t="s">
        <v>1428</v>
      </c>
      <c r="BU471" t="s">
        <v>682</v>
      </c>
      <c r="BV471" t="s">
        <v>1153</v>
      </c>
    </row>
    <row r="472" spans="68:74" x14ac:dyDescent="0.25">
      <c r="BP472">
        <v>11396</v>
      </c>
      <c r="BQ472">
        <v>2010003311</v>
      </c>
      <c r="BR472" s="15" t="s">
        <v>222</v>
      </c>
      <c r="BS472" t="s">
        <v>218</v>
      </c>
      <c r="BT472" t="s">
        <v>1428</v>
      </c>
      <c r="BU472" t="s">
        <v>682</v>
      </c>
      <c r="BV472" t="s">
        <v>1149</v>
      </c>
    </row>
    <row r="473" spans="68:74" x14ac:dyDescent="0.25">
      <c r="BP473">
        <v>11394</v>
      </c>
      <c r="BQ473">
        <v>2010003311</v>
      </c>
      <c r="BR473" s="15" t="s">
        <v>222</v>
      </c>
      <c r="BS473" t="s">
        <v>218</v>
      </c>
      <c r="BT473" t="s">
        <v>1428</v>
      </c>
      <c r="BU473" t="s">
        <v>682</v>
      </c>
      <c r="BV473" t="s">
        <v>1153</v>
      </c>
    </row>
    <row r="474" spans="68:74" x14ac:dyDescent="0.25">
      <c r="BP474">
        <v>11659</v>
      </c>
      <c r="BQ474">
        <v>2010026303</v>
      </c>
      <c r="BR474" s="15" t="s">
        <v>222</v>
      </c>
      <c r="BS474" t="s">
        <v>218</v>
      </c>
      <c r="BT474" t="s">
        <v>1429</v>
      </c>
      <c r="BU474" t="s">
        <v>682</v>
      </c>
      <c r="BV474" t="s">
        <v>1153</v>
      </c>
    </row>
    <row r="475" spans="68:74" x14ac:dyDescent="0.25">
      <c r="BP475">
        <v>11626</v>
      </c>
      <c r="BQ475">
        <v>2010018305</v>
      </c>
      <c r="BR475" s="15" t="s">
        <v>222</v>
      </c>
      <c r="BS475" t="s">
        <v>218</v>
      </c>
      <c r="BT475" t="s">
        <v>1430</v>
      </c>
      <c r="BU475" t="s">
        <v>682</v>
      </c>
      <c r="BV475" t="s">
        <v>1153</v>
      </c>
    </row>
    <row r="476" spans="68:74" x14ac:dyDescent="0.25">
      <c r="BP476">
        <v>583766</v>
      </c>
      <c r="BQ476">
        <v>2010003318</v>
      </c>
      <c r="BR476" s="15" t="s">
        <v>222</v>
      </c>
      <c r="BS476" t="s">
        <v>218</v>
      </c>
      <c r="BT476" t="s">
        <v>1431</v>
      </c>
      <c r="BU476" t="s">
        <v>682</v>
      </c>
      <c r="BV476" t="s">
        <v>1153</v>
      </c>
    </row>
    <row r="477" spans="68:74" x14ac:dyDescent="0.25">
      <c r="BQ477">
        <v>2010003319</v>
      </c>
      <c r="BR477" s="15" t="s">
        <v>222</v>
      </c>
      <c r="BS477" t="s">
        <v>218</v>
      </c>
      <c r="BT477" t="s">
        <v>1432</v>
      </c>
      <c r="BU477" t="s">
        <v>682</v>
      </c>
      <c r="BV477" t="s">
        <v>1153</v>
      </c>
    </row>
    <row r="478" spans="68:74" x14ac:dyDescent="0.25">
      <c r="BP478">
        <v>11417</v>
      </c>
      <c r="BQ478">
        <v>2010003325</v>
      </c>
      <c r="BR478" s="15" t="s">
        <v>222</v>
      </c>
      <c r="BS478" t="s">
        <v>218</v>
      </c>
      <c r="BT478" t="s">
        <v>1433</v>
      </c>
      <c r="BU478" t="s">
        <v>682</v>
      </c>
      <c r="BV478" t="s">
        <v>1149</v>
      </c>
    </row>
    <row r="479" spans="68:74" x14ac:dyDescent="0.25">
      <c r="BP479">
        <v>11415</v>
      </c>
      <c r="BQ479">
        <v>2010003325</v>
      </c>
      <c r="BR479" s="15" t="s">
        <v>222</v>
      </c>
      <c r="BS479" t="s">
        <v>218</v>
      </c>
      <c r="BT479" t="s">
        <v>1433</v>
      </c>
      <c r="BU479" t="s">
        <v>682</v>
      </c>
      <c r="BV479" t="s">
        <v>1153</v>
      </c>
    </row>
    <row r="480" spans="68:74" x14ac:dyDescent="0.25">
      <c r="BP480">
        <v>11418</v>
      </c>
      <c r="BQ480">
        <v>2010003326</v>
      </c>
      <c r="BR480" s="15" t="s">
        <v>222</v>
      </c>
      <c r="BS480" t="s">
        <v>218</v>
      </c>
      <c r="BT480" t="s">
        <v>1434</v>
      </c>
      <c r="BU480" t="s">
        <v>682</v>
      </c>
      <c r="BV480" t="s">
        <v>1153</v>
      </c>
    </row>
    <row r="481" spans="68:74" x14ac:dyDescent="0.25">
      <c r="BQ481">
        <v>20100482</v>
      </c>
      <c r="BR481" s="15" t="s">
        <v>222</v>
      </c>
      <c r="BS481" t="s">
        <v>218</v>
      </c>
      <c r="BT481" t="s">
        <v>1435</v>
      </c>
      <c r="BU481" t="s">
        <v>681</v>
      </c>
      <c r="BV481" t="s">
        <v>680</v>
      </c>
    </row>
    <row r="482" spans="68:74" x14ac:dyDescent="0.25">
      <c r="BQ482">
        <v>2010030302</v>
      </c>
      <c r="BR482" s="15" t="s">
        <v>222</v>
      </c>
      <c r="BS482" t="s">
        <v>218</v>
      </c>
      <c r="BT482" t="s">
        <v>1436</v>
      </c>
      <c r="BU482" t="s">
        <v>682</v>
      </c>
      <c r="BV482" t="s">
        <v>1153</v>
      </c>
    </row>
    <row r="483" spans="68:74" x14ac:dyDescent="0.25">
      <c r="BQ483">
        <v>2010035304</v>
      </c>
      <c r="BR483" s="15" t="s">
        <v>222</v>
      </c>
      <c r="BS483" t="s">
        <v>218</v>
      </c>
      <c r="BT483" t="s">
        <v>1437</v>
      </c>
      <c r="BU483" t="s">
        <v>682</v>
      </c>
      <c r="BV483" t="s">
        <v>1153</v>
      </c>
    </row>
    <row r="484" spans="68:74" x14ac:dyDescent="0.25">
      <c r="BP484">
        <v>11530</v>
      </c>
      <c r="BQ484">
        <v>20100282</v>
      </c>
      <c r="BR484" s="15" t="s">
        <v>222</v>
      </c>
      <c r="BS484" t="s">
        <v>218</v>
      </c>
      <c r="BT484" t="s">
        <v>916</v>
      </c>
      <c r="BU484" t="s">
        <v>681</v>
      </c>
      <c r="BV484" t="s">
        <v>1153</v>
      </c>
    </row>
    <row r="485" spans="68:74" x14ac:dyDescent="0.25">
      <c r="BQ485">
        <v>20100283</v>
      </c>
      <c r="BR485" s="15" t="s">
        <v>222</v>
      </c>
      <c r="BS485" t="s">
        <v>218</v>
      </c>
      <c r="BT485" t="s">
        <v>916</v>
      </c>
      <c r="BU485" t="s">
        <v>682</v>
      </c>
      <c r="BV485" t="s">
        <v>680</v>
      </c>
    </row>
    <row r="486" spans="68:74" x14ac:dyDescent="0.25">
      <c r="BP486">
        <v>643410</v>
      </c>
      <c r="BQ486">
        <v>2010028301</v>
      </c>
      <c r="BR486" s="15" t="s">
        <v>222</v>
      </c>
      <c r="BS486" t="s">
        <v>218</v>
      </c>
      <c r="BT486" t="s">
        <v>916</v>
      </c>
      <c r="BU486" t="s">
        <v>682</v>
      </c>
      <c r="BV486" t="s">
        <v>1153</v>
      </c>
    </row>
    <row r="487" spans="68:74" x14ac:dyDescent="0.25">
      <c r="BP487">
        <v>11600</v>
      </c>
      <c r="BQ487">
        <v>2010001309</v>
      </c>
      <c r="BR487" s="15" t="s">
        <v>222</v>
      </c>
      <c r="BS487" t="s">
        <v>218</v>
      </c>
      <c r="BT487" t="s">
        <v>1438</v>
      </c>
      <c r="BU487" t="s">
        <v>682</v>
      </c>
      <c r="BV487" t="s">
        <v>1153</v>
      </c>
    </row>
    <row r="488" spans="68:74" x14ac:dyDescent="0.25">
      <c r="BP488">
        <v>11619</v>
      </c>
      <c r="BQ488">
        <v>2010013303</v>
      </c>
      <c r="BR488" s="15" t="s">
        <v>222</v>
      </c>
      <c r="BS488" t="s">
        <v>218</v>
      </c>
      <c r="BT488" t="s">
        <v>1438</v>
      </c>
      <c r="BU488" t="s">
        <v>682</v>
      </c>
      <c r="BV488" t="s">
        <v>1153</v>
      </c>
    </row>
    <row r="489" spans="68:74" x14ac:dyDescent="0.25">
      <c r="BP489">
        <v>624557</v>
      </c>
      <c r="BQ489">
        <v>2010018306</v>
      </c>
      <c r="BR489" s="15" t="s">
        <v>222</v>
      </c>
      <c r="BS489" t="s">
        <v>218</v>
      </c>
      <c r="BT489" t="s">
        <v>1439</v>
      </c>
      <c r="BU489" t="s">
        <v>682</v>
      </c>
      <c r="BV489" t="s">
        <v>1153</v>
      </c>
    </row>
    <row r="490" spans="68:74" x14ac:dyDescent="0.25">
      <c r="BP490">
        <v>11609</v>
      </c>
      <c r="BQ490">
        <v>2010001315</v>
      </c>
      <c r="BR490" s="15" t="s">
        <v>222</v>
      </c>
      <c r="BS490" t="s">
        <v>218</v>
      </c>
      <c r="BT490" t="s">
        <v>1440</v>
      </c>
      <c r="BU490" t="s">
        <v>682</v>
      </c>
      <c r="BV490" t="s">
        <v>1153</v>
      </c>
    </row>
    <row r="491" spans="68:74" x14ac:dyDescent="0.25">
      <c r="BP491">
        <v>11622</v>
      </c>
      <c r="BQ491">
        <v>2010013308</v>
      </c>
      <c r="BR491" s="15" t="s">
        <v>222</v>
      </c>
      <c r="BS491" t="s">
        <v>218</v>
      </c>
      <c r="BT491" t="s">
        <v>1441</v>
      </c>
      <c r="BU491" t="s">
        <v>682</v>
      </c>
      <c r="BV491" t="s">
        <v>1153</v>
      </c>
    </row>
    <row r="492" spans="68:74" x14ac:dyDescent="0.25">
      <c r="BP492">
        <v>11628</v>
      </c>
      <c r="BQ492">
        <v>2010018308</v>
      </c>
      <c r="BR492" s="15" t="s">
        <v>222</v>
      </c>
      <c r="BS492" t="s">
        <v>218</v>
      </c>
      <c r="BT492" t="s">
        <v>1442</v>
      </c>
      <c r="BU492" t="s">
        <v>682</v>
      </c>
      <c r="BV492" t="s">
        <v>1153</v>
      </c>
    </row>
    <row r="493" spans="68:74" x14ac:dyDescent="0.25">
      <c r="BP493">
        <v>11652</v>
      </c>
      <c r="BQ493">
        <v>2010024302</v>
      </c>
      <c r="BR493" s="15" t="s">
        <v>222</v>
      </c>
      <c r="BS493" t="s">
        <v>218</v>
      </c>
      <c r="BT493" t="s">
        <v>1443</v>
      </c>
      <c r="BU493" t="s">
        <v>682</v>
      </c>
      <c r="BV493" t="s">
        <v>1153</v>
      </c>
    </row>
    <row r="494" spans="68:74" x14ac:dyDescent="0.25">
      <c r="BQ494">
        <v>2010021304</v>
      </c>
      <c r="BR494" s="15" t="s">
        <v>222</v>
      </c>
      <c r="BS494" t="s">
        <v>218</v>
      </c>
      <c r="BT494" t="s">
        <v>1444</v>
      </c>
      <c r="BU494" t="s">
        <v>682</v>
      </c>
      <c r="BV494" t="s">
        <v>1153</v>
      </c>
    </row>
    <row r="495" spans="68:74" x14ac:dyDescent="0.25">
      <c r="BP495">
        <v>11390</v>
      </c>
      <c r="BQ495">
        <v>2010003308</v>
      </c>
      <c r="BR495" s="15" t="s">
        <v>222</v>
      </c>
      <c r="BS495" t="s">
        <v>218</v>
      </c>
      <c r="BT495" t="s">
        <v>1445</v>
      </c>
      <c r="BU495" t="s">
        <v>682</v>
      </c>
      <c r="BV495" t="s">
        <v>1153</v>
      </c>
    </row>
    <row r="496" spans="68:74" x14ac:dyDescent="0.25">
      <c r="BP496">
        <v>11399</v>
      </c>
      <c r="BQ496">
        <v>2010003314</v>
      </c>
      <c r="BR496" s="15" t="s">
        <v>222</v>
      </c>
      <c r="BS496" t="s">
        <v>218</v>
      </c>
      <c r="BT496" t="s">
        <v>1445</v>
      </c>
      <c r="BU496" t="s">
        <v>682</v>
      </c>
      <c r="BV496" t="s">
        <v>1153</v>
      </c>
    </row>
    <row r="497" spans="68:74" x14ac:dyDescent="0.25">
      <c r="BP497">
        <v>147688</v>
      </c>
      <c r="BQ497">
        <v>20103623</v>
      </c>
      <c r="BR497" s="15" t="s">
        <v>222</v>
      </c>
      <c r="BS497" t="s">
        <v>218</v>
      </c>
      <c r="BT497" t="s">
        <v>1446</v>
      </c>
      <c r="BU497" t="s">
        <v>682</v>
      </c>
      <c r="BV497" t="s">
        <v>1153</v>
      </c>
    </row>
    <row r="498" spans="68:74" x14ac:dyDescent="0.25">
      <c r="BP498">
        <v>11407</v>
      </c>
      <c r="BQ498">
        <v>2010003320</v>
      </c>
      <c r="BR498" s="15" t="s">
        <v>222</v>
      </c>
      <c r="BS498" t="s">
        <v>218</v>
      </c>
      <c r="BT498" t="s">
        <v>1447</v>
      </c>
      <c r="BU498" t="s">
        <v>682</v>
      </c>
      <c r="BV498" t="s">
        <v>1153</v>
      </c>
    </row>
    <row r="499" spans="68:74" x14ac:dyDescent="0.25">
      <c r="BP499">
        <v>11435</v>
      </c>
      <c r="BQ499">
        <v>2010003333</v>
      </c>
      <c r="BR499" s="15" t="s">
        <v>222</v>
      </c>
      <c r="BS499" t="s">
        <v>218</v>
      </c>
      <c r="BT499" t="s">
        <v>1448</v>
      </c>
      <c r="BU499" t="s">
        <v>682</v>
      </c>
      <c r="BV499" t="s">
        <v>1153</v>
      </c>
    </row>
    <row r="500" spans="68:74" x14ac:dyDescent="0.25">
      <c r="BP500">
        <v>11437</v>
      </c>
      <c r="BQ500">
        <v>2010003334</v>
      </c>
      <c r="BR500" s="15" t="s">
        <v>222</v>
      </c>
      <c r="BS500" t="s">
        <v>218</v>
      </c>
      <c r="BT500" t="s">
        <v>1449</v>
      </c>
      <c r="BU500" t="s">
        <v>682</v>
      </c>
      <c r="BV500" t="s">
        <v>1153</v>
      </c>
    </row>
    <row r="501" spans="68:74" x14ac:dyDescent="0.25">
      <c r="BP501">
        <v>11414</v>
      </c>
      <c r="BQ501">
        <v>2010003324</v>
      </c>
      <c r="BR501" s="15" t="s">
        <v>222</v>
      </c>
      <c r="BS501" t="s">
        <v>218</v>
      </c>
      <c r="BT501" t="s">
        <v>1450</v>
      </c>
      <c r="BU501" t="s">
        <v>682</v>
      </c>
      <c r="BV501" t="s">
        <v>1153</v>
      </c>
    </row>
    <row r="502" spans="68:74" x14ac:dyDescent="0.25">
      <c r="BQ502">
        <v>20100122</v>
      </c>
      <c r="BR502" s="15" t="s">
        <v>222</v>
      </c>
      <c r="BS502" t="s">
        <v>218</v>
      </c>
      <c r="BT502" t="s">
        <v>1451</v>
      </c>
      <c r="BU502" t="s">
        <v>681</v>
      </c>
      <c r="BV502" t="s">
        <v>680</v>
      </c>
    </row>
    <row r="503" spans="68:74" x14ac:dyDescent="0.25">
      <c r="BQ503">
        <v>20100153</v>
      </c>
      <c r="BR503" s="15" t="s">
        <v>222</v>
      </c>
      <c r="BS503" t="s">
        <v>218</v>
      </c>
      <c r="BT503" t="s">
        <v>1451</v>
      </c>
      <c r="BU503" t="s">
        <v>682</v>
      </c>
      <c r="BV503" t="s">
        <v>680</v>
      </c>
    </row>
    <row r="504" spans="68:74" x14ac:dyDescent="0.25">
      <c r="BQ504">
        <v>2010001308</v>
      </c>
      <c r="BR504" s="15" t="s">
        <v>222</v>
      </c>
      <c r="BS504" t="s">
        <v>218</v>
      </c>
      <c r="BT504" t="s">
        <v>1451</v>
      </c>
      <c r="BU504" t="s">
        <v>682</v>
      </c>
      <c r="BV504" t="s">
        <v>1153</v>
      </c>
    </row>
    <row r="505" spans="68:74" x14ac:dyDescent="0.25">
      <c r="BP505">
        <v>11664</v>
      </c>
      <c r="BQ505">
        <v>2010028302</v>
      </c>
      <c r="BR505" s="15" t="s">
        <v>222</v>
      </c>
      <c r="BS505" t="s">
        <v>218</v>
      </c>
      <c r="BT505" t="s">
        <v>1451</v>
      </c>
      <c r="BU505" t="s">
        <v>682</v>
      </c>
      <c r="BV505" t="s">
        <v>1153</v>
      </c>
    </row>
    <row r="506" spans="68:74" x14ac:dyDescent="0.25">
      <c r="BP506">
        <v>11639</v>
      </c>
      <c r="BQ506">
        <v>2010022301</v>
      </c>
      <c r="BR506" s="15" t="s">
        <v>222</v>
      </c>
      <c r="BS506" t="s">
        <v>218</v>
      </c>
      <c r="BT506" t="s">
        <v>4576</v>
      </c>
      <c r="BU506" t="s">
        <v>682</v>
      </c>
      <c r="BV506" t="s">
        <v>1153</v>
      </c>
    </row>
    <row r="507" spans="68:74" x14ac:dyDescent="0.25">
      <c r="BP507">
        <v>187442</v>
      </c>
      <c r="BQ507">
        <v>20103663</v>
      </c>
      <c r="BR507" s="15" t="s">
        <v>222</v>
      </c>
      <c r="BS507" t="s">
        <v>218</v>
      </c>
      <c r="BT507" t="s">
        <v>1452</v>
      </c>
      <c r="BU507" t="s">
        <v>682</v>
      </c>
      <c r="BV507" t="s">
        <v>1153</v>
      </c>
    </row>
    <row r="508" spans="68:74" x14ac:dyDescent="0.25">
      <c r="BQ508">
        <v>20100052</v>
      </c>
      <c r="BR508" s="15" t="s">
        <v>222</v>
      </c>
      <c r="BS508" t="s">
        <v>218</v>
      </c>
      <c r="BT508" t="s">
        <v>1453</v>
      </c>
      <c r="BU508" t="s">
        <v>681</v>
      </c>
      <c r="BV508" t="s">
        <v>680</v>
      </c>
    </row>
    <row r="509" spans="68:74" x14ac:dyDescent="0.25">
      <c r="BQ509">
        <v>20100062</v>
      </c>
      <c r="BR509" s="15" t="s">
        <v>222</v>
      </c>
      <c r="BS509" t="s">
        <v>218</v>
      </c>
      <c r="BT509" t="s">
        <v>1454</v>
      </c>
      <c r="BU509" t="s">
        <v>681</v>
      </c>
      <c r="BV509" t="s">
        <v>680</v>
      </c>
    </row>
    <row r="510" spans="68:74" x14ac:dyDescent="0.25">
      <c r="BQ510">
        <v>20100142</v>
      </c>
      <c r="BR510" s="15" t="s">
        <v>222</v>
      </c>
      <c r="BS510" t="s">
        <v>218</v>
      </c>
      <c r="BT510" t="s">
        <v>1455</v>
      </c>
      <c r="BU510" t="s">
        <v>681</v>
      </c>
      <c r="BV510" t="s">
        <v>680</v>
      </c>
    </row>
    <row r="511" spans="68:74" x14ac:dyDescent="0.25">
      <c r="BQ511">
        <v>20100072</v>
      </c>
      <c r="BR511" s="15" t="s">
        <v>222</v>
      </c>
      <c r="BS511" t="s">
        <v>218</v>
      </c>
      <c r="BT511" t="s">
        <v>1456</v>
      </c>
      <c r="BU511" t="s">
        <v>681</v>
      </c>
      <c r="BV511" t="s">
        <v>680</v>
      </c>
    </row>
    <row r="512" spans="68:74" x14ac:dyDescent="0.25">
      <c r="BQ512">
        <v>20100082</v>
      </c>
      <c r="BR512" s="15" t="s">
        <v>222</v>
      </c>
      <c r="BS512" t="s">
        <v>218</v>
      </c>
      <c r="BT512" t="s">
        <v>1457</v>
      </c>
      <c r="BU512" t="s">
        <v>681</v>
      </c>
      <c r="BV512" t="s">
        <v>680</v>
      </c>
    </row>
    <row r="513" spans="68:74" x14ac:dyDescent="0.25">
      <c r="BQ513">
        <v>20100532</v>
      </c>
      <c r="BR513" s="15" t="s">
        <v>222</v>
      </c>
      <c r="BS513" t="s">
        <v>218</v>
      </c>
      <c r="BT513" t="s">
        <v>1458</v>
      </c>
      <c r="BU513" t="s">
        <v>681</v>
      </c>
      <c r="BV513" t="s">
        <v>680</v>
      </c>
    </row>
    <row r="514" spans="68:74" x14ac:dyDescent="0.25">
      <c r="BP514">
        <v>11665</v>
      </c>
      <c r="BQ514">
        <v>2010028303</v>
      </c>
      <c r="BR514" s="15" t="s">
        <v>222</v>
      </c>
      <c r="BS514" t="s">
        <v>218</v>
      </c>
      <c r="BT514" t="s">
        <v>1459</v>
      </c>
      <c r="BU514" t="s">
        <v>682</v>
      </c>
      <c r="BV514" t="s">
        <v>1153</v>
      </c>
    </row>
    <row r="515" spans="68:74" x14ac:dyDescent="0.25">
      <c r="BQ515">
        <v>20100492</v>
      </c>
      <c r="BR515" s="15" t="s">
        <v>222</v>
      </c>
      <c r="BS515" t="s">
        <v>218</v>
      </c>
      <c r="BT515" t="s">
        <v>1460</v>
      </c>
      <c r="BU515" t="s">
        <v>681</v>
      </c>
      <c r="BV515" t="s">
        <v>680</v>
      </c>
    </row>
    <row r="516" spans="68:74" x14ac:dyDescent="0.25">
      <c r="BQ516">
        <v>20100502</v>
      </c>
      <c r="BR516" s="15" t="s">
        <v>222</v>
      </c>
      <c r="BS516" t="s">
        <v>218</v>
      </c>
      <c r="BT516" t="s">
        <v>1461</v>
      </c>
      <c r="BU516" t="s">
        <v>681</v>
      </c>
      <c r="BV516" t="s">
        <v>680</v>
      </c>
    </row>
    <row r="517" spans="68:74" x14ac:dyDescent="0.25">
      <c r="BQ517">
        <v>20100512</v>
      </c>
      <c r="BR517" s="15" t="s">
        <v>222</v>
      </c>
      <c r="BS517" t="s">
        <v>218</v>
      </c>
      <c r="BT517" t="s">
        <v>1462</v>
      </c>
      <c r="BU517" t="s">
        <v>681</v>
      </c>
      <c r="BV517" t="s">
        <v>680</v>
      </c>
    </row>
    <row r="518" spans="68:74" x14ac:dyDescent="0.25">
      <c r="BQ518">
        <v>20100522</v>
      </c>
      <c r="BR518" s="15" t="s">
        <v>222</v>
      </c>
      <c r="BS518" t="s">
        <v>218</v>
      </c>
      <c r="BT518" t="s">
        <v>1463</v>
      </c>
      <c r="BU518" t="s">
        <v>681</v>
      </c>
      <c r="BV518" t="s">
        <v>680</v>
      </c>
    </row>
    <row r="519" spans="68:74" x14ac:dyDescent="0.25">
      <c r="BQ519">
        <v>20100542</v>
      </c>
      <c r="BR519" s="15" t="s">
        <v>222</v>
      </c>
      <c r="BS519" t="s">
        <v>218</v>
      </c>
      <c r="BT519" t="s">
        <v>1464</v>
      </c>
      <c r="BU519" t="s">
        <v>681</v>
      </c>
      <c r="BV519" t="s">
        <v>680</v>
      </c>
    </row>
    <row r="520" spans="68:74" x14ac:dyDescent="0.25">
      <c r="BQ520">
        <v>20100552</v>
      </c>
      <c r="BR520" s="15" t="s">
        <v>222</v>
      </c>
      <c r="BS520" t="s">
        <v>218</v>
      </c>
      <c r="BT520" t="s">
        <v>1465</v>
      </c>
      <c r="BU520" t="s">
        <v>681</v>
      </c>
      <c r="BV520" t="s">
        <v>680</v>
      </c>
    </row>
    <row r="521" spans="68:74" x14ac:dyDescent="0.25">
      <c r="BP521">
        <v>11627</v>
      </c>
      <c r="BQ521">
        <v>2010018307</v>
      </c>
      <c r="BR521" s="15" t="s">
        <v>222</v>
      </c>
      <c r="BS521" t="s">
        <v>218</v>
      </c>
      <c r="BT521" t="s">
        <v>1466</v>
      </c>
      <c r="BU521" t="s">
        <v>682</v>
      </c>
      <c r="BV521" t="s">
        <v>1153</v>
      </c>
    </row>
    <row r="522" spans="68:74" x14ac:dyDescent="0.25">
      <c r="BQ522">
        <v>2010021303</v>
      </c>
      <c r="BR522" s="15" t="s">
        <v>222</v>
      </c>
      <c r="BS522" t="s">
        <v>218</v>
      </c>
      <c r="BT522" t="s">
        <v>1466</v>
      </c>
      <c r="BU522" t="s">
        <v>682</v>
      </c>
      <c r="BV522" t="s">
        <v>1153</v>
      </c>
    </row>
    <row r="523" spans="68:74" x14ac:dyDescent="0.25">
      <c r="BQ523">
        <v>2010024301</v>
      </c>
      <c r="BR523" s="15" t="s">
        <v>222</v>
      </c>
      <c r="BS523" t="s">
        <v>218</v>
      </c>
      <c r="BT523" t="s">
        <v>1466</v>
      </c>
      <c r="BU523" t="s">
        <v>682</v>
      </c>
      <c r="BV523" t="s">
        <v>1153</v>
      </c>
    </row>
    <row r="524" spans="68:74" x14ac:dyDescent="0.25">
      <c r="BP524">
        <v>11666</v>
      </c>
      <c r="BQ524">
        <v>2010030303</v>
      </c>
      <c r="BR524" s="15" t="s">
        <v>222</v>
      </c>
      <c r="BS524" t="s">
        <v>218</v>
      </c>
      <c r="BT524" t="s">
        <v>1467</v>
      </c>
      <c r="BU524" t="s">
        <v>682</v>
      </c>
      <c r="BV524" t="s">
        <v>1153</v>
      </c>
    </row>
    <row r="525" spans="68:74" x14ac:dyDescent="0.25">
      <c r="BQ525">
        <v>20100562</v>
      </c>
      <c r="BR525" s="15" t="s">
        <v>222</v>
      </c>
      <c r="BS525" t="s">
        <v>218</v>
      </c>
      <c r="BT525" t="s">
        <v>1468</v>
      </c>
      <c r="BU525" t="s">
        <v>681</v>
      </c>
      <c r="BV525" t="s">
        <v>680</v>
      </c>
    </row>
    <row r="526" spans="68:74" x14ac:dyDescent="0.25">
      <c r="BP526">
        <v>11532</v>
      </c>
      <c r="BQ526">
        <v>20100292</v>
      </c>
      <c r="BR526" s="15" t="s">
        <v>222</v>
      </c>
      <c r="BS526" t="s">
        <v>218</v>
      </c>
      <c r="BT526" t="s">
        <v>919</v>
      </c>
      <c r="BU526" t="s">
        <v>681</v>
      </c>
      <c r="BV526" t="s">
        <v>1153</v>
      </c>
    </row>
    <row r="527" spans="68:74" x14ac:dyDescent="0.25">
      <c r="BP527">
        <v>11444</v>
      </c>
      <c r="BQ527">
        <v>2010009308</v>
      </c>
      <c r="BR527" s="15" t="s">
        <v>222</v>
      </c>
      <c r="BS527" t="s">
        <v>218</v>
      </c>
      <c r="BT527" t="s">
        <v>1469</v>
      </c>
      <c r="BU527" t="s">
        <v>682</v>
      </c>
      <c r="BV527" t="s">
        <v>1153</v>
      </c>
    </row>
    <row r="528" spans="68:74" x14ac:dyDescent="0.25">
      <c r="BP528">
        <v>11446</v>
      </c>
      <c r="BQ528">
        <v>2010009309</v>
      </c>
      <c r="BR528" s="15" t="s">
        <v>222</v>
      </c>
      <c r="BS528" t="s">
        <v>218</v>
      </c>
      <c r="BT528" t="s">
        <v>1470</v>
      </c>
      <c r="BU528" t="s">
        <v>682</v>
      </c>
      <c r="BV528" t="s">
        <v>1153</v>
      </c>
    </row>
    <row r="529" spans="68:74" x14ac:dyDescent="0.25">
      <c r="BP529">
        <v>11331</v>
      </c>
      <c r="BQ529">
        <v>20100092</v>
      </c>
      <c r="BR529" s="15" t="s">
        <v>222</v>
      </c>
      <c r="BS529" t="s">
        <v>218</v>
      </c>
      <c r="BT529" t="s">
        <v>1471</v>
      </c>
      <c r="BU529" t="s">
        <v>681</v>
      </c>
      <c r="BV529" t="s">
        <v>1149</v>
      </c>
    </row>
    <row r="530" spans="68:74" x14ac:dyDescent="0.25">
      <c r="BP530">
        <v>11330</v>
      </c>
      <c r="BQ530">
        <v>20100092</v>
      </c>
      <c r="BR530" s="15" t="s">
        <v>222</v>
      </c>
      <c r="BS530" t="s">
        <v>218</v>
      </c>
      <c r="BT530" t="s">
        <v>1471</v>
      </c>
      <c r="BU530" t="s">
        <v>681</v>
      </c>
      <c r="BV530" t="s">
        <v>1153</v>
      </c>
    </row>
    <row r="531" spans="68:74" x14ac:dyDescent="0.25">
      <c r="BQ531">
        <v>20100093</v>
      </c>
      <c r="BR531" s="15" t="s">
        <v>222</v>
      </c>
      <c r="BS531" t="s">
        <v>218</v>
      </c>
      <c r="BT531" t="s">
        <v>1471</v>
      </c>
      <c r="BU531" t="s">
        <v>682</v>
      </c>
      <c r="BV531" t="s">
        <v>680</v>
      </c>
    </row>
    <row r="532" spans="68:74" x14ac:dyDescent="0.25">
      <c r="BP532">
        <v>584932</v>
      </c>
      <c r="BQ532">
        <v>20100403</v>
      </c>
      <c r="BR532" s="15" t="s">
        <v>222</v>
      </c>
      <c r="BS532" t="s">
        <v>218</v>
      </c>
      <c r="BT532" t="s">
        <v>1471</v>
      </c>
      <c r="BU532" t="s">
        <v>682</v>
      </c>
      <c r="BV532" t="s">
        <v>1153</v>
      </c>
    </row>
    <row r="533" spans="68:74" x14ac:dyDescent="0.25">
      <c r="BQ533">
        <v>2010009303</v>
      </c>
      <c r="BR533" s="15" t="s">
        <v>222</v>
      </c>
      <c r="BS533" t="s">
        <v>218</v>
      </c>
      <c r="BT533" t="s">
        <v>1472</v>
      </c>
      <c r="BU533" t="s">
        <v>682</v>
      </c>
      <c r="BV533" t="s">
        <v>1153</v>
      </c>
    </row>
    <row r="534" spans="68:74" x14ac:dyDescent="0.25">
      <c r="BQ534">
        <v>2010009304</v>
      </c>
      <c r="BR534" s="15" t="s">
        <v>222</v>
      </c>
      <c r="BS534" t="s">
        <v>218</v>
      </c>
      <c r="BT534" t="s">
        <v>1472</v>
      </c>
      <c r="BU534" t="s">
        <v>682</v>
      </c>
      <c r="BV534" t="s">
        <v>1153</v>
      </c>
    </row>
    <row r="535" spans="68:74" x14ac:dyDescent="0.25">
      <c r="BQ535">
        <v>20100693</v>
      </c>
      <c r="BR535" s="15" t="s">
        <v>222</v>
      </c>
      <c r="BS535" t="s">
        <v>218</v>
      </c>
      <c r="BT535" t="s">
        <v>1473</v>
      </c>
      <c r="BU535" t="s">
        <v>682</v>
      </c>
      <c r="BV535" t="s">
        <v>680</v>
      </c>
    </row>
    <row r="536" spans="68:74" x14ac:dyDescent="0.25">
      <c r="BP536">
        <v>11645</v>
      </c>
      <c r="BQ536">
        <v>2010022306</v>
      </c>
      <c r="BR536" s="15" t="s">
        <v>222</v>
      </c>
      <c r="BS536" t="s">
        <v>218</v>
      </c>
      <c r="BT536" t="s">
        <v>1474</v>
      </c>
      <c r="BU536" t="s">
        <v>682</v>
      </c>
      <c r="BV536" t="s">
        <v>1153</v>
      </c>
    </row>
    <row r="537" spans="68:74" x14ac:dyDescent="0.25">
      <c r="BP537">
        <v>11649</v>
      </c>
      <c r="BQ537">
        <v>2010022309</v>
      </c>
      <c r="BR537" s="15" t="s">
        <v>222</v>
      </c>
      <c r="BS537" t="s">
        <v>218</v>
      </c>
      <c r="BT537" t="s">
        <v>1474</v>
      </c>
      <c r="BU537" t="s">
        <v>682</v>
      </c>
      <c r="BV537" t="s">
        <v>1153</v>
      </c>
    </row>
    <row r="538" spans="68:74" x14ac:dyDescent="0.25">
      <c r="BP538">
        <v>628587</v>
      </c>
      <c r="BQ538">
        <v>20103943</v>
      </c>
      <c r="BR538" s="15" t="s">
        <v>222</v>
      </c>
      <c r="BS538" t="s">
        <v>218</v>
      </c>
      <c r="BT538" t="s">
        <v>7048</v>
      </c>
      <c r="BU538" t="s">
        <v>682</v>
      </c>
      <c r="BV538" t="s">
        <v>1153</v>
      </c>
    </row>
    <row r="539" spans="68:74" x14ac:dyDescent="0.25">
      <c r="BP539">
        <v>11647</v>
      </c>
      <c r="BQ539">
        <v>2010022308</v>
      </c>
      <c r="BR539" s="15" t="s">
        <v>222</v>
      </c>
      <c r="BS539" t="s">
        <v>218</v>
      </c>
      <c r="BT539" t="s">
        <v>1475</v>
      </c>
      <c r="BU539" t="s">
        <v>682</v>
      </c>
      <c r="BV539" t="s">
        <v>1153</v>
      </c>
    </row>
    <row r="540" spans="68:74" x14ac:dyDescent="0.25">
      <c r="BP540">
        <v>11539</v>
      </c>
      <c r="BQ540">
        <v>20100363</v>
      </c>
      <c r="BR540" s="15" t="s">
        <v>222</v>
      </c>
      <c r="BS540" t="s">
        <v>218</v>
      </c>
      <c r="BT540" t="s">
        <v>1476</v>
      </c>
      <c r="BU540" t="s">
        <v>682</v>
      </c>
      <c r="BV540" t="s">
        <v>1153</v>
      </c>
    </row>
    <row r="541" spans="68:74" x14ac:dyDescent="0.25">
      <c r="BP541">
        <v>11541</v>
      </c>
      <c r="BQ541">
        <v>20100882</v>
      </c>
      <c r="BR541" s="15" t="s">
        <v>222</v>
      </c>
      <c r="BS541" t="s">
        <v>218</v>
      </c>
      <c r="BT541" t="s">
        <v>1476</v>
      </c>
      <c r="BU541" t="s">
        <v>681</v>
      </c>
      <c r="BV541" t="s">
        <v>1153</v>
      </c>
    </row>
    <row r="542" spans="68:74" x14ac:dyDescent="0.25">
      <c r="BQ542">
        <v>20100572</v>
      </c>
      <c r="BR542" s="15" t="s">
        <v>222</v>
      </c>
      <c r="BS542" t="s">
        <v>218</v>
      </c>
      <c r="BT542" t="s">
        <v>1477</v>
      </c>
      <c r="BU542" t="s">
        <v>681</v>
      </c>
      <c r="BV542" t="s">
        <v>680</v>
      </c>
    </row>
    <row r="543" spans="68:74" x14ac:dyDescent="0.25">
      <c r="BQ543">
        <v>20100102</v>
      </c>
      <c r="BR543" s="15" t="s">
        <v>222</v>
      </c>
      <c r="BS543" t="s">
        <v>218</v>
      </c>
      <c r="BT543" t="s">
        <v>1478</v>
      </c>
      <c r="BU543" t="s">
        <v>681</v>
      </c>
      <c r="BV543" t="s">
        <v>680</v>
      </c>
    </row>
    <row r="544" spans="68:74" x14ac:dyDescent="0.25">
      <c r="BP544">
        <v>11333</v>
      </c>
      <c r="BQ544">
        <v>20100103</v>
      </c>
      <c r="BR544" s="15" t="s">
        <v>222</v>
      </c>
      <c r="BS544" t="s">
        <v>218</v>
      </c>
      <c r="BT544" t="s">
        <v>1478</v>
      </c>
      <c r="BU544" t="s">
        <v>682</v>
      </c>
      <c r="BV544" t="s">
        <v>1153</v>
      </c>
    </row>
    <row r="545" spans="68:74" x14ac:dyDescent="0.25">
      <c r="BP545">
        <v>11392</v>
      </c>
      <c r="BQ545">
        <v>2010003309</v>
      </c>
      <c r="BR545" s="15" t="s">
        <v>222</v>
      </c>
      <c r="BS545" t="s">
        <v>218</v>
      </c>
      <c r="BT545" t="s">
        <v>1479</v>
      </c>
      <c r="BU545" t="s">
        <v>682</v>
      </c>
      <c r="BV545" t="s">
        <v>1153</v>
      </c>
    </row>
    <row r="546" spans="68:74" x14ac:dyDescent="0.25">
      <c r="BP546">
        <v>11393</v>
      </c>
      <c r="BQ546">
        <v>2010003309</v>
      </c>
      <c r="BR546" s="15" t="s">
        <v>222</v>
      </c>
      <c r="BS546" t="s">
        <v>218</v>
      </c>
      <c r="BT546" t="s">
        <v>1479</v>
      </c>
      <c r="BU546" t="s">
        <v>682</v>
      </c>
      <c r="BV546" t="s">
        <v>1149</v>
      </c>
    </row>
    <row r="547" spans="68:74" x14ac:dyDescent="0.25">
      <c r="BP547">
        <v>11419</v>
      </c>
      <c r="BQ547">
        <v>2010003327</v>
      </c>
      <c r="BR547" s="15" t="s">
        <v>222</v>
      </c>
      <c r="BS547" t="s">
        <v>218</v>
      </c>
      <c r="BT547" t="s">
        <v>1480</v>
      </c>
      <c r="BU547" t="s">
        <v>682</v>
      </c>
      <c r="BV547" t="s">
        <v>1153</v>
      </c>
    </row>
    <row r="548" spans="68:74" x14ac:dyDescent="0.25">
      <c r="BP548">
        <v>11397</v>
      </c>
      <c r="BQ548">
        <v>2010003312</v>
      </c>
      <c r="BR548" s="15" t="s">
        <v>222</v>
      </c>
      <c r="BS548" t="s">
        <v>218</v>
      </c>
      <c r="BT548" t="s">
        <v>1481</v>
      </c>
      <c r="BU548" t="s">
        <v>682</v>
      </c>
      <c r="BV548" t="s">
        <v>1153</v>
      </c>
    </row>
    <row r="549" spans="68:74" x14ac:dyDescent="0.25">
      <c r="BQ549">
        <v>2010003313</v>
      </c>
      <c r="BR549" s="15" t="s">
        <v>222</v>
      </c>
      <c r="BS549" t="s">
        <v>218</v>
      </c>
      <c r="BT549" t="s">
        <v>1481</v>
      </c>
      <c r="BU549" t="s">
        <v>682</v>
      </c>
      <c r="BV549" t="s">
        <v>1153</v>
      </c>
    </row>
    <row r="550" spans="68:74" x14ac:dyDescent="0.25">
      <c r="BP550">
        <v>11662</v>
      </c>
      <c r="BQ550">
        <v>2010027303</v>
      </c>
      <c r="BR550" s="15" t="s">
        <v>222</v>
      </c>
      <c r="BS550" t="s">
        <v>218</v>
      </c>
      <c r="BT550" t="s">
        <v>1482</v>
      </c>
      <c r="BU550" t="s">
        <v>682</v>
      </c>
      <c r="BV550" t="s">
        <v>1153</v>
      </c>
    </row>
    <row r="551" spans="68:74" x14ac:dyDescent="0.25">
      <c r="BQ551">
        <v>2010013304</v>
      </c>
      <c r="BR551" s="15" t="s">
        <v>222</v>
      </c>
      <c r="BS551" t="s">
        <v>218</v>
      </c>
      <c r="BT551" t="s">
        <v>1483</v>
      </c>
      <c r="BU551" t="s">
        <v>682</v>
      </c>
      <c r="BV551" t="s">
        <v>1153</v>
      </c>
    </row>
    <row r="552" spans="68:74" x14ac:dyDescent="0.25">
      <c r="BQ552">
        <v>2010004304</v>
      </c>
      <c r="BR552" s="15" t="s">
        <v>222</v>
      </c>
      <c r="BS552" t="s">
        <v>218</v>
      </c>
      <c r="BT552" t="s">
        <v>1484</v>
      </c>
      <c r="BU552" t="s">
        <v>682</v>
      </c>
      <c r="BV552" t="s">
        <v>1153</v>
      </c>
    </row>
    <row r="553" spans="68:74" x14ac:dyDescent="0.25">
      <c r="BP553">
        <v>11425</v>
      </c>
      <c r="BQ553">
        <v>2010003329</v>
      </c>
      <c r="BR553" s="15" t="s">
        <v>222</v>
      </c>
      <c r="BS553" t="s">
        <v>218</v>
      </c>
      <c r="BT553" t="s">
        <v>1485</v>
      </c>
      <c r="BU553" t="s">
        <v>682</v>
      </c>
      <c r="BV553" t="s">
        <v>1149</v>
      </c>
    </row>
    <row r="554" spans="68:74" x14ac:dyDescent="0.25">
      <c r="BP554">
        <v>11423</v>
      </c>
      <c r="BQ554">
        <v>2010003329</v>
      </c>
      <c r="BR554" s="15" t="s">
        <v>222</v>
      </c>
      <c r="BS554" t="s">
        <v>218</v>
      </c>
      <c r="BT554" t="s">
        <v>1485</v>
      </c>
      <c r="BU554" t="s">
        <v>682</v>
      </c>
      <c r="BV554" t="s">
        <v>1153</v>
      </c>
    </row>
    <row r="555" spans="68:74" x14ac:dyDescent="0.25">
      <c r="BP555">
        <v>11431</v>
      </c>
      <c r="BQ555">
        <v>2010003331</v>
      </c>
      <c r="BR555" s="15" t="s">
        <v>222</v>
      </c>
      <c r="BS555" t="s">
        <v>218</v>
      </c>
      <c r="BT555" t="s">
        <v>1485</v>
      </c>
      <c r="BU555" t="s">
        <v>682</v>
      </c>
      <c r="BV555" t="s">
        <v>1149</v>
      </c>
    </row>
    <row r="556" spans="68:74" x14ac:dyDescent="0.25">
      <c r="BP556">
        <v>11429</v>
      </c>
      <c r="BQ556">
        <v>2010003331</v>
      </c>
      <c r="BR556" s="15" t="s">
        <v>222</v>
      </c>
      <c r="BS556" t="s">
        <v>218</v>
      </c>
      <c r="BT556" t="s">
        <v>1485</v>
      </c>
      <c r="BU556" t="s">
        <v>682</v>
      </c>
      <c r="BV556" t="s">
        <v>1153</v>
      </c>
    </row>
    <row r="557" spans="68:74" x14ac:dyDescent="0.25">
      <c r="BQ557">
        <v>20100423</v>
      </c>
      <c r="BR557" s="15" t="s">
        <v>222</v>
      </c>
      <c r="BS557" t="s">
        <v>218</v>
      </c>
      <c r="BT557" t="s">
        <v>1486</v>
      </c>
      <c r="BU557" t="s">
        <v>682</v>
      </c>
      <c r="BV557" t="s">
        <v>680</v>
      </c>
    </row>
    <row r="558" spans="68:74" x14ac:dyDescent="0.25">
      <c r="BQ558">
        <v>20100112</v>
      </c>
      <c r="BR558" s="15" t="s">
        <v>222</v>
      </c>
      <c r="BS558" t="s">
        <v>218</v>
      </c>
      <c r="BT558" t="s">
        <v>1487</v>
      </c>
      <c r="BU558" t="s">
        <v>681</v>
      </c>
      <c r="BV558" t="s">
        <v>680</v>
      </c>
    </row>
    <row r="559" spans="68:74" x14ac:dyDescent="0.25">
      <c r="BQ559">
        <v>20100113</v>
      </c>
      <c r="BR559" s="15" t="s">
        <v>222</v>
      </c>
      <c r="BS559" t="s">
        <v>218</v>
      </c>
      <c r="BT559" t="s">
        <v>1487</v>
      </c>
      <c r="BU559" t="s">
        <v>682</v>
      </c>
      <c r="BV559" t="s">
        <v>680</v>
      </c>
    </row>
    <row r="560" spans="68:74" x14ac:dyDescent="0.25">
      <c r="BQ560">
        <v>20100413</v>
      </c>
      <c r="BR560" s="15" t="s">
        <v>222</v>
      </c>
      <c r="BS560" t="s">
        <v>218</v>
      </c>
      <c r="BT560" t="s">
        <v>1487</v>
      </c>
      <c r="BU560" t="s">
        <v>682</v>
      </c>
      <c r="BV560" t="s">
        <v>680</v>
      </c>
    </row>
    <row r="561" spans="68:74" x14ac:dyDescent="0.25">
      <c r="BP561">
        <v>11534</v>
      </c>
      <c r="BQ561">
        <v>20100302</v>
      </c>
      <c r="BR561" s="15" t="s">
        <v>222</v>
      </c>
      <c r="BS561" t="s">
        <v>218</v>
      </c>
      <c r="BT561" t="s">
        <v>1488</v>
      </c>
      <c r="BU561" t="s">
        <v>681</v>
      </c>
      <c r="BV561" t="s">
        <v>1153</v>
      </c>
    </row>
    <row r="562" spans="68:74" x14ac:dyDescent="0.25">
      <c r="BQ562">
        <v>20100303</v>
      </c>
      <c r="BR562" s="15" t="s">
        <v>222</v>
      </c>
      <c r="BS562" t="s">
        <v>218</v>
      </c>
      <c r="BT562" t="s">
        <v>1488</v>
      </c>
      <c r="BU562" t="s">
        <v>682</v>
      </c>
      <c r="BV562" t="s">
        <v>680</v>
      </c>
    </row>
    <row r="563" spans="68:74" x14ac:dyDescent="0.25">
      <c r="BP563">
        <v>11536</v>
      </c>
      <c r="BQ563">
        <v>20100312</v>
      </c>
      <c r="BR563" s="15" t="s">
        <v>222</v>
      </c>
      <c r="BS563" t="s">
        <v>218</v>
      </c>
      <c r="BT563" t="s">
        <v>922</v>
      </c>
      <c r="BU563" t="s">
        <v>681</v>
      </c>
      <c r="BV563" t="s">
        <v>1153</v>
      </c>
    </row>
    <row r="564" spans="68:74" x14ac:dyDescent="0.25">
      <c r="BQ564">
        <v>20100313</v>
      </c>
      <c r="BR564" s="15" t="s">
        <v>222</v>
      </c>
      <c r="BS564" t="s">
        <v>218</v>
      </c>
      <c r="BT564" t="s">
        <v>922</v>
      </c>
      <c r="BU564" t="s">
        <v>682</v>
      </c>
      <c r="BV564" t="s">
        <v>680</v>
      </c>
    </row>
    <row r="565" spans="68:74" x14ac:dyDescent="0.25">
      <c r="BP565">
        <v>11641</v>
      </c>
      <c r="BQ565">
        <v>2010022302</v>
      </c>
      <c r="BR565" s="15" t="s">
        <v>222</v>
      </c>
      <c r="BS565" t="s">
        <v>218</v>
      </c>
      <c r="BT565" t="s">
        <v>1489</v>
      </c>
      <c r="BU565" t="s">
        <v>682</v>
      </c>
      <c r="BV565" t="s">
        <v>1153</v>
      </c>
    </row>
    <row r="566" spans="68:74" x14ac:dyDescent="0.25">
      <c r="BQ566">
        <v>2010022303</v>
      </c>
      <c r="BR566" s="15" t="s">
        <v>222</v>
      </c>
      <c r="BS566" t="s">
        <v>218</v>
      </c>
      <c r="BT566" t="s">
        <v>1489</v>
      </c>
      <c r="BU566" t="s">
        <v>682</v>
      </c>
      <c r="BV566" t="s">
        <v>1153</v>
      </c>
    </row>
    <row r="567" spans="68:74" x14ac:dyDescent="0.25">
      <c r="BQ567">
        <v>20100703</v>
      </c>
      <c r="BR567" s="15" t="s">
        <v>222</v>
      </c>
      <c r="BS567" t="s">
        <v>218</v>
      </c>
      <c r="BT567" t="s">
        <v>1490</v>
      </c>
      <c r="BU567" t="s">
        <v>682</v>
      </c>
      <c r="BV567" t="s">
        <v>680</v>
      </c>
    </row>
    <row r="568" spans="68:74" x14ac:dyDescent="0.25">
      <c r="BQ568">
        <v>20100793</v>
      </c>
      <c r="BR568" s="15" t="s">
        <v>222</v>
      </c>
      <c r="BS568" t="s">
        <v>218</v>
      </c>
      <c r="BT568" t="s">
        <v>1490</v>
      </c>
      <c r="BU568" t="s">
        <v>682</v>
      </c>
      <c r="BV568" t="s">
        <v>680</v>
      </c>
    </row>
    <row r="569" spans="68:74" x14ac:dyDescent="0.25">
      <c r="BP569">
        <v>11624</v>
      </c>
      <c r="BQ569">
        <v>2010013309</v>
      </c>
      <c r="BR569" s="15" t="s">
        <v>222</v>
      </c>
      <c r="BS569" t="s">
        <v>218</v>
      </c>
      <c r="BT569" t="s">
        <v>1491</v>
      </c>
      <c r="BU569" t="s">
        <v>682</v>
      </c>
      <c r="BV569" t="s">
        <v>1153</v>
      </c>
    </row>
    <row r="570" spans="68:74" x14ac:dyDescent="0.25">
      <c r="BP570">
        <v>11620</v>
      </c>
      <c r="BQ570">
        <v>2010013305</v>
      </c>
      <c r="BR570" s="15" t="s">
        <v>222</v>
      </c>
      <c r="BS570" t="s">
        <v>218</v>
      </c>
      <c r="BT570" t="s">
        <v>1492</v>
      </c>
      <c r="BU570" t="s">
        <v>682</v>
      </c>
      <c r="BV570" t="s">
        <v>1153</v>
      </c>
    </row>
    <row r="571" spans="68:74" x14ac:dyDescent="0.25">
      <c r="BP571">
        <v>11510</v>
      </c>
      <c r="BQ571">
        <v>20100132</v>
      </c>
      <c r="BR571" s="15" t="s">
        <v>222</v>
      </c>
      <c r="BS571" t="s">
        <v>218</v>
      </c>
      <c r="BT571" t="s">
        <v>1493</v>
      </c>
      <c r="BU571" t="s">
        <v>681</v>
      </c>
      <c r="BV571" t="s">
        <v>1153</v>
      </c>
    </row>
    <row r="572" spans="68:74" x14ac:dyDescent="0.25">
      <c r="BQ572">
        <v>20100133</v>
      </c>
      <c r="BR572" s="15" t="s">
        <v>222</v>
      </c>
      <c r="BS572" t="s">
        <v>218</v>
      </c>
      <c r="BT572" t="s">
        <v>1493</v>
      </c>
      <c r="BU572" t="s">
        <v>682</v>
      </c>
      <c r="BV572" t="s">
        <v>680</v>
      </c>
    </row>
    <row r="573" spans="68:74" x14ac:dyDescent="0.25">
      <c r="BQ573">
        <v>20101903</v>
      </c>
      <c r="BR573" s="15" t="s">
        <v>222</v>
      </c>
      <c r="BS573" t="s">
        <v>218</v>
      </c>
      <c r="BT573" t="s">
        <v>1493</v>
      </c>
      <c r="BU573" t="s">
        <v>682</v>
      </c>
      <c r="BV573" t="s">
        <v>1153</v>
      </c>
    </row>
    <row r="574" spans="68:74" x14ac:dyDescent="0.25">
      <c r="BQ574">
        <v>2010013306</v>
      </c>
      <c r="BR574" s="15" t="s">
        <v>222</v>
      </c>
      <c r="BS574" t="s">
        <v>218</v>
      </c>
      <c r="BT574" t="s">
        <v>1493</v>
      </c>
      <c r="BU574" t="s">
        <v>682</v>
      </c>
      <c r="BV574" t="s">
        <v>1153</v>
      </c>
    </row>
    <row r="575" spans="68:74" x14ac:dyDescent="0.25">
      <c r="BQ575">
        <v>2010031301</v>
      </c>
      <c r="BR575" s="15" t="s">
        <v>222</v>
      </c>
      <c r="BS575" t="s">
        <v>218</v>
      </c>
      <c r="BT575" t="s">
        <v>1494</v>
      </c>
      <c r="BU575" t="s">
        <v>682</v>
      </c>
      <c r="BV575" t="s">
        <v>1153</v>
      </c>
    </row>
    <row r="576" spans="68:74" x14ac:dyDescent="0.25">
      <c r="BP576">
        <v>188475</v>
      </c>
      <c r="BQ576">
        <v>20103673</v>
      </c>
      <c r="BR576" s="15" t="s">
        <v>222</v>
      </c>
      <c r="BS576" t="s">
        <v>218</v>
      </c>
      <c r="BT576" t="s">
        <v>1495</v>
      </c>
      <c r="BU576" t="s">
        <v>682</v>
      </c>
      <c r="BV576" t="s">
        <v>1153</v>
      </c>
    </row>
    <row r="577" spans="68:74" x14ac:dyDescent="0.25">
      <c r="BQ577">
        <v>20100582</v>
      </c>
      <c r="BR577" s="15" t="s">
        <v>222</v>
      </c>
      <c r="BS577" t="s">
        <v>218</v>
      </c>
      <c r="BT577" t="s">
        <v>1496</v>
      </c>
      <c r="BU577" t="s">
        <v>681</v>
      </c>
      <c r="BV577" t="s">
        <v>680</v>
      </c>
    </row>
    <row r="578" spans="68:74" x14ac:dyDescent="0.25">
      <c r="BQ578">
        <v>20100592</v>
      </c>
      <c r="BR578" s="15" t="s">
        <v>222</v>
      </c>
      <c r="BS578" t="s">
        <v>218</v>
      </c>
      <c r="BT578" t="s">
        <v>1497</v>
      </c>
      <c r="BU578" t="s">
        <v>681</v>
      </c>
      <c r="BV578" t="s">
        <v>680</v>
      </c>
    </row>
    <row r="579" spans="68:74" x14ac:dyDescent="0.25">
      <c r="BQ579">
        <v>20100602</v>
      </c>
      <c r="BR579" s="15" t="s">
        <v>222</v>
      </c>
      <c r="BS579" t="s">
        <v>218</v>
      </c>
      <c r="BT579" t="s">
        <v>1498</v>
      </c>
      <c r="BU579" t="s">
        <v>681</v>
      </c>
      <c r="BV579" t="s">
        <v>680</v>
      </c>
    </row>
    <row r="580" spans="68:74" x14ac:dyDescent="0.25">
      <c r="BQ580">
        <v>20100612</v>
      </c>
      <c r="BR580" s="15" t="s">
        <v>222</v>
      </c>
      <c r="BS580" t="s">
        <v>218</v>
      </c>
      <c r="BT580" t="s">
        <v>1499</v>
      </c>
      <c r="BU580" t="s">
        <v>681</v>
      </c>
      <c r="BV580" t="s">
        <v>680</v>
      </c>
    </row>
    <row r="581" spans="68:74" x14ac:dyDescent="0.25">
      <c r="BQ581">
        <v>20100622</v>
      </c>
      <c r="BR581" s="15" t="s">
        <v>222</v>
      </c>
      <c r="BS581" t="s">
        <v>218</v>
      </c>
      <c r="BT581" t="s">
        <v>1500</v>
      </c>
      <c r="BU581" t="s">
        <v>681</v>
      </c>
      <c r="BV581" t="s">
        <v>680</v>
      </c>
    </row>
    <row r="582" spans="68:74" x14ac:dyDescent="0.25">
      <c r="BQ582">
        <v>20100632</v>
      </c>
      <c r="BR582" s="15" t="s">
        <v>222</v>
      </c>
      <c r="BS582" t="s">
        <v>218</v>
      </c>
      <c r="BT582" t="s">
        <v>1501</v>
      </c>
      <c r="BU582" t="s">
        <v>681</v>
      </c>
      <c r="BV582" t="s">
        <v>680</v>
      </c>
    </row>
    <row r="583" spans="68:74" x14ac:dyDescent="0.25">
      <c r="BQ583">
        <v>20100642</v>
      </c>
      <c r="BR583" s="15" t="s">
        <v>222</v>
      </c>
      <c r="BS583" t="s">
        <v>218</v>
      </c>
      <c r="BT583" t="s">
        <v>1502</v>
      </c>
      <c r="BU583" t="s">
        <v>681</v>
      </c>
      <c r="BV583" t="s">
        <v>680</v>
      </c>
    </row>
    <row r="584" spans="68:74" x14ac:dyDescent="0.25">
      <c r="BQ584">
        <v>20100652</v>
      </c>
      <c r="BR584" s="15" t="s">
        <v>222</v>
      </c>
      <c r="BS584" t="s">
        <v>218</v>
      </c>
      <c r="BT584" t="s">
        <v>1503</v>
      </c>
      <c r="BU584" t="s">
        <v>681</v>
      </c>
      <c r="BV584" t="s">
        <v>680</v>
      </c>
    </row>
    <row r="585" spans="68:74" x14ac:dyDescent="0.25">
      <c r="BQ585">
        <v>20100662</v>
      </c>
      <c r="BR585" s="15" t="s">
        <v>222</v>
      </c>
      <c r="BS585" t="s">
        <v>218</v>
      </c>
      <c r="BT585" t="s">
        <v>1504</v>
      </c>
      <c r="BU585" t="s">
        <v>681</v>
      </c>
      <c r="BV585" t="s">
        <v>680</v>
      </c>
    </row>
    <row r="586" spans="68:74" x14ac:dyDescent="0.25">
      <c r="BQ586">
        <v>20100672</v>
      </c>
      <c r="BR586" s="15" t="s">
        <v>222</v>
      </c>
      <c r="BS586" t="s">
        <v>218</v>
      </c>
      <c r="BT586" t="s">
        <v>1505</v>
      </c>
      <c r="BU586" t="s">
        <v>681</v>
      </c>
      <c r="BV586" t="s">
        <v>680</v>
      </c>
    </row>
    <row r="587" spans="68:74" x14ac:dyDescent="0.25">
      <c r="BQ587">
        <v>20100682</v>
      </c>
      <c r="BR587" s="15" t="s">
        <v>222</v>
      </c>
      <c r="BS587" t="s">
        <v>218</v>
      </c>
      <c r="BT587" t="s">
        <v>1506</v>
      </c>
      <c r="BU587" t="s">
        <v>681</v>
      </c>
      <c r="BV587" t="s">
        <v>680</v>
      </c>
    </row>
    <row r="588" spans="68:74" x14ac:dyDescent="0.25">
      <c r="BP588">
        <v>11538</v>
      </c>
      <c r="BQ588">
        <v>20100322</v>
      </c>
      <c r="BR588" s="15" t="s">
        <v>222</v>
      </c>
      <c r="BS588" t="s">
        <v>218</v>
      </c>
      <c r="BT588" t="s">
        <v>929</v>
      </c>
      <c r="BU588" t="s">
        <v>681</v>
      </c>
      <c r="BV588" t="s">
        <v>1153</v>
      </c>
    </row>
    <row r="589" spans="68:74" x14ac:dyDescent="0.25">
      <c r="BQ589">
        <v>20100323</v>
      </c>
      <c r="BR589" s="15" t="s">
        <v>222</v>
      </c>
      <c r="BS589" t="s">
        <v>218</v>
      </c>
      <c r="BT589" t="s">
        <v>929</v>
      </c>
      <c r="BU589" t="s">
        <v>682</v>
      </c>
      <c r="BV589" t="s">
        <v>680</v>
      </c>
    </row>
    <row r="590" spans="68:74" x14ac:dyDescent="0.25">
      <c r="BP590">
        <v>284318</v>
      </c>
      <c r="BQ590">
        <v>20103743</v>
      </c>
      <c r="BR590" s="15" t="s">
        <v>222</v>
      </c>
      <c r="BS590" t="s">
        <v>218</v>
      </c>
      <c r="BT590" t="s">
        <v>1507</v>
      </c>
      <c r="BU590" t="s">
        <v>682</v>
      </c>
      <c r="BV590" t="s">
        <v>1153</v>
      </c>
    </row>
    <row r="591" spans="68:74" x14ac:dyDescent="0.25">
      <c r="BP591">
        <v>11671</v>
      </c>
      <c r="BQ591">
        <v>2010032303</v>
      </c>
      <c r="BR591" s="15" t="s">
        <v>222</v>
      </c>
      <c r="BS591" t="s">
        <v>218</v>
      </c>
      <c r="BT591" t="s">
        <v>1508</v>
      </c>
      <c r="BU591" t="s">
        <v>682</v>
      </c>
      <c r="BV591" t="s">
        <v>1153</v>
      </c>
    </row>
    <row r="592" spans="68:74" x14ac:dyDescent="0.25">
      <c r="BQ592">
        <v>2010032301</v>
      </c>
      <c r="BR592" s="15" t="s">
        <v>222</v>
      </c>
      <c r="BS592" t="s">
        <v>218</v>
      </c>
      <c r="BT592" t="s">
        <v>1509</v>
      </c>
      <c r="BU592" t="s">
        <v>682</v>
      </c>
      <c r="BV592" t="s">
        <v>1153</v>
      </c>
    </row>
    <row r="593" spans="68:74" x14ac:dyDescent="0.25">
      <c r="BP593">
        <v>670007</v>
      </c>
      <c r="BQ593">
        <v>20103753</v>
      </c>
      <c r="BR593" s="15" t="s">
        <v>222</v>
      </c>
      <c r="BS593" t="s">
        <v>218</v>
      </c>
      <c r="BT593" t="s">
        <v>1510</v>
      </c>
      <c r="BU593" t="s">
        <v>682</v>
      </c>
      <c r="BV593" t="s">
        <v>1153</v>
      </c>
    </row>
    <row r="594" spans="68:74" x14ac:dyDescent="0.25">
      <c r="BP594">
        <v>284319</v>
      </c>
      <c r="BQ594">
        <v>20103753</v>
      </c>
      <c r="BR594" s="15" t="s">
        <v>222</v>
      </c>
      <c r="BS594" t="s">
        <v>218</v>
      </c>
      <c r="BT594" t="s">
        <v>1510</v>
      </c>
      <c r="BU594" t="s">
        <v>682</v>
      </c>
      <c r="BV594" t="s">
        <v>1153</v>
      </c>
    </row>
    <row r="595" spans="68:74" x14ac:dyDescent="0.25">
      <c r="BP595">
        <v>670005</v>
      </c>
      <c r="BQ595">
        <v>20103753</v>
      </c>
      <c r="BR595" s="15" t="s">
        <v>222</v>
      </c>
      <c r="BS595" t="s">
        <v>218</v>
      </c>
      <c r="BT595" t="s">
        <v>1510</v>
      </c>
      <c r="BU595" t="s">
        <v>682</v>
      </c>
      <c r="BV595" t="s">
        <v>1153</v>
      </c>
    </row>
    <row r="596" spans="68:74" x14ac:dyDescent="0.25">
      <c r="BP596">
        <v>670006</v>
      </c>
      <c r="BQ596">
        <v>20103753</v>
      </c>
      <c r="BR596" s="15" t="s">
        <v>222</v>
      </c>
      <c r="BS596" t="s">
        <v>218</v>
      </c>
      <c r="BT596" t="s">
        <v>1510</v>
      </c>
      <c r="BU596" t="s">
        <v>682</v>
      </c>
      <c r="BV596" t="s">
        <v>1153</v>
      </c>
    </row>
    <row r="597" spans="68:74" x14ac:dyDescent="0.25">
      <c r="BP597">
        <v>11087</v>
      </c>
      <c r="BQ597">
        <v>2020002301</v>
      </c>
      <c r="BR597" s="15" t="s">
        <v>223</v>
      </c>
      <c r="BS597" t="s">
        <v>219</v>
      </c>
      <c r="BT597" t="s">
        <v>1511</v>
      </c>
      <c r="BU597" t="s">
        <v>682</v>
      </c>
      <c r="BV597" t="s">
        <v>1153</v>
      </c>
    </row>
    <row r="598" spans="68:74" x14ac:dyDescent="0.25">
      <c r="BP598">
        <v>11088</v>
      </c>
      <c r="BQ598">
        <v>2020002302</v>
      </c>
      <c r="BR598" s="15" t="s">
        <v>223</v>
      </c>
      <c r="BS598" t="s">
        <v>219</v>
      </c>
      <c r="BT598" t="s">
        <v>1511</v>
      </c>
      <c r="BU598" t="s">
        <v>682</v>
      </c>
      <c r="BV598" t="s">
        <v>1153</v>
      </c>
    </row>
    <row r="599" spans="68:74" x14ac:dyDescent="0.25">
      <c r="BQ599">
        <v>2020002303</v>
      </c>
      <c r="BR599" s="15" t="s">
        <v>223</v>
      </c>
      <c r="BS599" t="s">
        <v>219</v>
      </c>
      <c r="BT599" t="s">
        <v>1512</v>
      </c>
      <c r="BU599" t="s">
        <v>682</v>
      </c>
      <c r="BV599" t="s">
        <v>1153</v>
      </c>
    </row>
    <row r="600" spans="68:74" x14ac:dyDescent="0.25">
      <c r="BQ600">
        <v>2020002328</v>
      </c>
      <c r="BR600" s="15" t="s">
        <v>223</v>
      </c>
      <c r="BS600" t="s">
        <v>219</v>
      </c>
      <c r="BT600" t="s">
        <v>1512</v>
      </c>
      <c r="BU600" t="s">
        <v>682</v>
      </c>
      <c r="BV600" t="s">
        <v>1153</v>
      </c>
    </row>
    <row r="601" spans="68:74" x14ac:dyDescent="0.25">
      <c r="BP601">
        <v>11125</v>
      </c>
      <c r="BQ601">
        <v>2020002335</v>
      </c>
      <c r="BR601" s="15" t="s">
        <v>223</v>
      </c>
      <c r="BS601" t="s">
        <v>219</v>
      </c>
      <c r="BT601" t="s">
        <v>1513</v>
      </c>
      <c r="BU601" t="s">
        <v>682</v>
      </c>
      <c r="BV601" t="s">
        <v>1153</v>
      </c>
    </row>
    <row r="602" spans="68:74" x14ac:dyDescent="0.25">
      <c r="BP602">
        <v>11127</v>
      </c>
      <c r="BQ602">
        <v>2020002336</v>
      </c>
      <c r="BR602" s="15" t="s">
        <v>223</v>
      </c>
      <c r="BS602" t="s">
        <v>219</v>
      </c>
      <c r="BT602" t="s">
        <v>1514</v>
      </c>
      <c r="BU602" t="s">
        <v>682</v>
      </c>
      <c r="BV602" t="s">
        <v>1153</v>
      </c>
    </row>
    <row r="603" spans="68:74" x14ac:dyDescent="0.25">
      <c r="BP603">
        <v>11055</v>
      </c>
      <c r="BQ603">
        <v>20200743</v>
      </c>
      <c r="BR603" s="15" t="s">
        <v>223</v>
      </c>
      <c r="BS603" t="s">
        <v>219</v>
      </c>
      <c r="BT603" t="s">
        <v>1515</v>
      </c>
      <c r="BU603" t="s">
        <v>682</v>
      </c>
      <c r="BV603" t="s">
        <v>1153</v>
      </c>
    </row>
    <row r="604" spans="68:74" x14ac:dyDescent="0.25">
      <c r="BP604">
        <v>11169</v>
      </c>
      <c r="BQ604">
        <v>2020002356</v>
      </c>
      <c r="BR604" s="15" t="s">
        <v>223</v>
      </c>
      <c r="BS604" t="s">
        <v>219</v>
      </c>
      <c r="BT604" t="s">
        <v>1516</v>
      </c>
      <c r="BU604" t="s">
        <v>682</v>
      </c>
      <c r="BV604" t="s">
        <v>1153</v>
      </c>
    </row>
    <row r="605" spans="68:74" x14ac:dyDescent="0.25">
      <c r="BP605">
        <v>11053</v>
      </c>
      <c r="BQ605">
        <v>20200733</v>
      </c>
      <c r="BR605" s="15" t="s">
        <v>223</v>
      </c>
      <c r="BS605" t="s">
        <v>219</v>
      </c>
      <c r="BT605" t="s">
        <v>1517</v>
      </c>
      <c r="BU605" t="s">
        <v>682</v>
      </c>
      <c r="BV605" t="s">
        <v>1153</v>
      </c>
    </row>
    <row r="606" spans="68:74" x14ac:dyDescent="0.25">
      <c r="BP606">
        <v>11175</v>
      </c>
      <c r="BQ606">
        <v>2020002360</v>
      </c>
      <c r="BR606" s="15" t="s">
        <v>223</v>
      </c>
      <c r="BS606" t="s">
        <v>219</v>
      </c>
      <c r="BT606" t="s">
        <v>1518</v>
      </c>
      <c r="BU606" t="s">
        <v>682</v>
      </c>
      <c r="BV606" t="s">
        <v>1153</v>
      </c>
    </row>
    <row r="607" spans="68:74" x14ac:dyDescent="0.25">
      <c r="BQ607">
        <v>20200083</v>
      </c>
      <c r="BR607" s="15" t="s">
        <v>223</v>
      </c>
      <c r="BS607" t="s">
        <v>219</v>
      </c>
      <c r="BT607" t="s">
        <v>1519</v>
      </c>
      <c r="BU607" t="s">
        <v>682</v>
      </c>
      <c r="BV607" t="s">
        <v>680</v>
      </c>
    </row>
    <row r="608" spans="68:74" x14ac:dyDescent="0.25">
      <c r="BP608">
        <v>11023</v>
      </c>
      <c r="BQ608">
        <v>20200012</v>
      </c>
      <c r="BR608" s="15" t="s">
        <v>223</v>
      </c>
      <c r="BS608" t="s">
        <v>219</v>
      </c>
      <c r="BT608" t="s">
        <v>1520</v>
      </c>
      <c r="BU608" t="s">
        <v>681</v>
      </c>
      <c r="BV608" t="s">
        <v>1153</v>
      </c>
    </row>
    <row r="609" spans="68:74" x14ac:dyDescent="0.25">
      <c r="BP609">
        <v>11025</v>
      </c>
      <c r="BQ609">
        <v>20200013</v>
      </c>
      <c r="BR609" s="15" t="s">
        <v>223</v>
      </c>
      <c r="BS609" t="s">
        <v>219</v>
      </c>
      <c r="BT609" t="s">
        <v>1520</v>
      </c>
      <c r="BU609" t="s">
        <v>682</v>
      </c>
      <c r="BV609" t="s">
        <v>1153</v>
      </c>
    </row>
    <row r="610" spans="68:74" x14ac:dyDescent="0.25">
      <c r="BP610">
        <v>11080</v>
      </c>
      <c r="BQ610">
        <v>2020001301</v>
      </c>
      <c r="BR610" s="15" t="s">
        <v>223</v>
      </c>
      <c r="BS610" t="s">
        <v>219</v>
      </c>
      <c r="BT610" t="s">
        <v>1520</v>
      </c>
      <c r="BU610" t="s">
        <v>682</v>
      </c>
      <c r="BV610" t="s">
        <v>1153</v>
      </c>
    </row>
    <row r="611" spans="68:74" x14ac:dyDescent="0.25">
      <c r="BP611">
        <v>11082</v>
      </c>
      <c r="BQ611">
        <v>2020001302</v>
      </c>
      <c r="BR611" s="15" t="s">
        <v>223</v>
      </c>
      <c r="BS611" t="s">
        <v>219</v>
      </c>
      <c r="BT611" t="s">
        <v>1520</v>
      </c>
      <c r="BU611" t="s">
        <v>682</v>
      </c>
      <c r="BV611" t="s">
        <v>1153</v>
      </c>
    </row>
    <row r="612" spans="68:74" x14ac:dyDescent="0.25">
      <c r="BP612">
        <v>11084</v>
      </c>
      <c r="BQ612">
        <v>2020001303</v>
      </c>
      <c r="BR612" s="15" t="s">
        <v>223</v>
      </c>
      <c r="BS612" t="s">
        <v>219</v>
      </c>
      <c r="BT612" t="s">
        <v>1521</v>
      </c>
      <c r="BU612" t="s">
        <v>682</v>
      </c>
      <c r="BV612" t="s">
        <v>1153</v>
      </c>
    </row>
    <row r="613" spans="68:74" x14ac:dyDescent="0.25">
      <c r="BP613">
        <v>11086</v>
      </c>
      <c r="BQ613">
        <v>2020001304</v>
      </c>
      <c r="BR613" s="15" t="s">
        <v>223</v>
      </c>
      <c r="BS613" t="s">
        <v>219</v>
      </c>
      <c r="BT613" t="s">
        <v>1522</v>
      </c>
      <c r="BU613" t="s">
        <v>682</v>
      </c>
      <c r="BV613" t="s">
        <v>1153</v>
      </c>
    </row>
    <row r="614" spans="68:74" x14ac:dyDescent="0.25">
      <c r="BP614">
        <v>11036</v>
      </c>
      <c r="BQ614">
        <v>20200212</v>
      </c>
      <c r="BR614" s="15" t="s">
        <v>223</v>
      </c>
      <c r="BS614" t="s">
        <v>219</v>
      </c>
      <c r="BT614" t="s">
        <v>1523</v>
      </c>
      <c r="BU614" t="s">
        <v>681</v>
      </c>
      <c r="BV614" t="s">
        <v>1149</v>
      </c>
    </row>
    <row r="615" spans="68:74" x14ac:dyDescent="0.25">
      <c r="BP615">
        <v>11034</v>
      </c>
      <c r="BQ615">
        <v>20200212</v>
      </c>
      <c r="BR615" s="15" t="s">
        <v>223</v>
      </c>
      <c r="BS615" t="s">
        <v>219</v>
      </c>
      <c r="BT615" t="s">
        <v>1523</v>
      </c>
      <c r="BU615" t="s">
        <v>681</v>
      </c>
      <c r="BV615" t="s">
        <v>1153</v>
      </c>
    </row>
    <row r="616" spans="68:74" x14ac:dyDescent="0.25">
      <c r="BP616">
        <v>11144</v>
      </c>
      <c r="BQ616">
        <v>2020002344</v>
      </c>
      <c r="BR616" s="15" t="s">
        <v>223</v>
      </c>
      <c r="BS616" t="s">
        <v>219</v>
      </c>
      <c r="BT616" t="s">
        <v>1524</v>
      </c>
      <c r="BU616" t="s">
        <v>682</v>
      </c>
      <c r="BV616" t="s">
        <v>1153</v>
      </c>
    </row>
    <row r="617" spans="68:74" x14ac:dyDescent="0.25">
      <c r="BP617">
        <v>11145</v>
      </c>
      <c r="BQ617">
        <v>2020002345</v>
      </c>
      <c r="BR617" s="15" t="s">
        <v>223</v>
      </c>
      <c r="BS617" t="s">
        <v>219</v>
      </c>
      <c r="BT617" t="s">
        <v>1525</v>
      </c>
      <c r="BU617" t="s">
        <v>682</v>
      </c>
      <c r="BV617" t="s">
        <v>1153</v>
      </c>
    </row>
    <row r="618" spans="68:74" x14ac:dyDescent="0.25">
      <c r="BQ618">
        <v>2020002304</v>
      </c>
      <c r="BR618" s="15" t="s">
        <v>223</v>
      </c>
      <c r="BS618" t="s">
        <v>219</v>
      </c>
      <c r="BT618" t="s">
        <v>1526</v>
      </c>
      <c r="BU618" t="s">
        <v>682</v>
      </c>
      <c r="BV618" t="s">
        <v>1153</v>
      </c>
    </row>
    <row r="619" spans="68:74" x14ac:dyDescent="0.25">
      <c r="BP619">
        <v>11089</v>
      </c>
      <c r="BQ619">
        <v>2020002304</v>
      </c>
      <c r="BR619" s="15" t="s">
        <v>223</v>
      </c>
      <c r="BS619" t="s">
        <v>219</v>
      </c>
      <c r="BT619" t="s">
        <v>1526</v>
      </c>
      <c r="BU619" t="s">
        <v>682</v>
      </c>
      <c r="BV619" t="s">
        <v>1153</v>
      </c>
    </row>
    <row r="620" spans="68:74" x14ac:dyDescent="0.25">
      <c r="BP620">
        <v>11090</v>
      </c>
      <c r="BQ620">
        <v>2020002304</v>
      </c>
      <c r="BR620" s="15" t="s">
        <v>223</v>
      </c>
      <c r="BS620" t="s">
        <v>219</v>
      </c>
      <c r="BT620" t="s">
        <v>1526</v>
      </c>
      <c r="BU620" t="s">
        <v>682</v>
      </c>
      <c r="BV620" t="s">
        <v>1149</v>
      </c>
    </row>
    <row r="621" spans="68:74" x14ac:dyDescent="0.25">
      <c r="BP621">
        <v>11108</v>
      </c>
      <c r="BQ621">
        <v>2020002322</v>
      </c>
      <c r="BR621" s="15" t="s">
        <v>223</v>
      </c>
      <c r="BS621" t="s">
        <v>219</v>
      </c>
      <c r="BT621" t="s">
        <v>1526</v>
      </c>
      <c r="BU621" t="s">
        <v>682</v>
      </c>
      <c r="BV621" t="s">
        <v>1153</v>
      </c>
    </row>
    <row r="622" spans="68:74" x14ac:dyDescent="0.25">
      <c r="BQ622">
        <v>2020002332</v>
      </c>
      <c r="BR622" s="15" t="s">
        <v>223</v>
      </c>
      <c r="BS622" t="s">
        <v>219</v>
      </c>
      <c r="BT622" t="s">
        <v>1527</v>
      </c>
      <c r="BU622" t="s">
        <v>682</v>
      </c>
      <c r="BV622" t="s">
        <v>680</v>
      </c>
    </row>
    <row r="623" spans="68:74" x14ac:dyDescent="0.25">
      <c r="BQ623">
        <v>2020002333</v>
      </c>
      <c r="BR623" s="15" t="s">
        <v>223</v>
      </c>
      <c r="BS623" t="s">
        <v>219</v>
      </c>
      <c r="BT623" t="s">
        <v>1528</v>
      </c>
      <c r="BU623" t="s">
        <v>682</v>
      </c>
      <c r="BV623" t="s">
        <v>680</v>
      </c>
    </row>
    <row r="624" spans="68:74" x14ac:dyDescent="0.25">
      <c r="BQ624">
        <v>2020002305</v>
      </c>
      <c r="BR624" s="15" t="s">
        <v>223</v>
      </c>
      <c r="BS624" t="s">
        <v>219</v>
      </c>
      <c r="BT624" t="s">
        <v>1529</v>
      </c>
      <c r="BU624" t="s">
        <v>682</v>
      </c>
      <c r="BV624" t="s">
        <v>1153</v>
      </c>
    </row>
    <row r="625" spans="68:74" x14ac:dyDescent="0.25">
      <c r="BP625">
        <v>11091</v>
      </c>
      <c r="BQ625">
        <v>2020002306</v>
      </c>
      <c r="BR625" s="15" t="s">
        <v>223</v>
      </c>
      <c r="BS625" t="s">
        <v>219</v>
      </c>
      <c r="BT625" t="s">
        <v>1530</v>
      </c>
      <c r="BU625" t="s">
        <v>682</v>
      </c>
      <c r="BV625" t="s">
        <v>1153</v>
      </c>
    </row>
    <row r="626" spans="68:74" x14ac:dyDescent="0.25">
      <c r="BP626">
        <v>11092</v>
      </c>
      <c r="BQ626">
        <v>2020002306</v>
      </c>
      <c r="BR626" s="15" t="s">
        <v>223</v>
      </c>
      <c r="BS626" t="s">
        <v>219</v>
      </c>
      <c r="BT626" t="s">
        <v>1530</v>
      </c>
      <c r="BU626" t="s">
        <v>682</v>
      </c>
      <c r="BV626" t="s">
        <v>1149</v>
      </c>
    </row>
    <row r="627" spans="68:74" x14ac:dyDescent="0.25">
      <c r="BP627">
        <v>11111</v>
      </c>
      <c r="BQ627">
        <v>2020002323</v>
      </c>
      <c r="BR627" s="15" t="s">
        <v>223</v>
      </c>
      <c r="BS627" t="s">
        <v>219</v>
      </c>
      <c r="BT627" t="s">
        <v>1530</v>
      </c>
      <c r="BU627" t="s">
        <v>682</v>
      </c>
      <c r="BV627" t="s">
        <v>1149</v>
      </c>
    </row>
    <row r="628" spans="68:74" x14ac:dyDescent="0.25">
      <c r="BP628">
        <v>11110</v>
      </c>
      <c r="BQ628">
        <v>2020002323</v>
      </c>
      <c r="BR628" s="15" t="s">
        <v>223</v>
      </c>
      <c r="BS628" t="s">
        <v>219</v>
      </c>
      <c r="BT628" t="s">
        <v>1530</v>
      </c>
      <c r="BU628" t="s">
        <v>682</v>
      </c>
      <c r="BV628" t="s">
        <v>1153</v>
      </c>
    </row>
    <row r="629" spans="68:74" x14ac:dyDescent="0.25">
      <c r="BP629">
        <v>11061</v>
      </c>
      <c r="BQ629">
        <v>20200763</v>
      </c>
      <c r="BR629" s="15" t="s">
        <v>223</v>
      </c>
      <c r="BS629" t="s">
        <v>219</v>
      </c>
      <c r="BT629" t="s">
        <v>1531</v>
      </c>
      <c r="BU629" t="s">
        <v>682</v>
      </c>
      <c r="BV629" t="s">
        <v>1153</v>
      </c>
    </row>
    <row r="630" spans="68:74" x14ac:dyDescent="0.25">
      <c r="BP630">
        <v>11063</v>
      </c>
      <c r="BQ630">
        <v>20200763</v>
      </c>
      <c r="BR630" s="15" t="s">
        <v>223</v>
      </c>
      <c r="BS630" t="s">
        <v>219</v>
      </c>
      <c r="BT630" t="s">
        <v>1531</v>
      </c>
      <c r="BU630" t="s">
        <v>682</v>
      </c>
      <c r="BV630" t="s">
        <v>1149</v>
      </c>
    </row>
    <row r="631" spans="68:74" x14ac:dyDescent="0.25">
      <c r="BP631">
        <v>11057</v>
      </c>
      <c r="BQ631">
        <v>20200753</v>
      </c>
      <c r="BR631" s="15" t="s">
        <v>223</v>
      </c>
      <c r="BS631" t="s">
        <v>219</v>
      </c>
      <c r="BT631" t="s">
        <v>1532</v>
      </c>
      <c r="BU631" t="s">
        <v>682</v>
      </c>
      <c r="BV631" t="s">
        <v>1153</v>
      </c>
    </row>
    <row r="632" spans="68:74" x14ac:dyDescent="0.25">
      <c r="BP632">
        <v>11059</v>
      </c>
      <c r="BQ632">
        <v>20200753</v>
      </c>
      <c r="BR632" s="15" t="s">
        <v>223</v>
      </c>
      <c r="BS632" t="s">
        <v>219</v>
      </c>
      <c r="BT632" t="s">
        <v>1532</v>
      </c>
      <c r="BU632" t="s">
        <v>682</v>
      </c>
      <c r="BV632" t="s">
        <v>1149</v>
      </c>
    </row>
    <row r="633" spans="68:74" x14ac:dyDescent="0.25">
      <c r="BQ633">
        <v>2020002307</v>
      </c>
      <c r="BR633" s="15" t="s">
        <v>223</v>
      </c>
      <c r="BS633" t="s">
        <v>219</v>
      </c>
      <c r="BT633" t="s">
        <v>1533</v>
      </c>
      <c r="BU633" t="s">
        <v>682</v>
      </c>
      <c r="BV633" t="s">
        <v>1153</v>
      </c>
    </row>
    <row r="634" spans="68:74" x14ac:dyDescent="0.25">
      <c r="BP634">
        <v>11121</v>
      </c>
      <c r="BQ634">
        <v>2020002334</v>
      </c>
      <c r="BR634" s="15" t="s">
        <v>223</v>
      </c>
      <c r="BS634" t="s">
        <v>219</v>
      </c>
      <c r="BT634" t="s">
        <v>1534</v>
      </c>
      <c r="BU634" t="s">
        <v>682</v>
      </c>
      <c r="BV634" t="s">
        <v>1153</v>
      </c>
    </row>
    <row r="635" spans="68:74" x14ac:dyDescent="0.25">
      <c r="BP635">
        <v>11123</v>
      </c>
      <c r="BQ635">
        <v>2020002334</v>
      </c>
      <c r="BR635" s="15" t="s">
        <v>223</v>
      </c>
      <c r="BS635" t="s">
        <v>219</v>
      </c>
      <c r="BT635" t="s">
        <v>1534</v>
      </c>
      <c r="BU635" t="s">
        <v>682</v>
      </c>
      <c r="BV635" t="s">
        <v>1149</v>
      </c>
    </row>
    <row r="636" spans="68:74" x14ac:dyDescent="0.25">
      <c r="BP636">
        <v>259753</v>
      </c>
      <c r="BQ636">
        <v>20201013</v>
      </c>
      <c r="BR636" s="15" t="s">
        <v>223</v>
      </c>
      <c r="BS636" t="s">
        <v>219</v>
      </c>
      <c r="BT636" t="s">
        <v>1535</v>
      </c>
      <c r="BU636" t="s">
        <v>682</v>
      </c>
      <c r="BV636" t="s">
        <v>1149</v>
      </c>
    </row>
    <row r="637" spans="68:74" x14ac:dyDescent="0.25">
      <c r="BP637">
        <v>295149</v>
      </c>
      <c r="BQ637">
        <v>20201013</v>
      </c>
      <c r="BR637" s="15" t="s">
        <v>223</v>
      </c>
      <c r="BS637" t="s">
        <v>219</v>
      </c>
      <c r="BT637" t="s">
        <v>1535</v>
      </c>
      <c r="BU637" t="s">
        <v>682</v>
      </c>
      <c r="BV637" t="s">
        <v>1153</v>
      </c>
    </row>
    <row r="638" spans="68:74" x14ac:dyDescent="0.25">
      <c r="BP638">
        <v>11139</v>
      </c>
      <c r="BQ638">
        <v>2020002342</v>
      </c>
      <c r="BR638" s="15" t="s">
        <v>223</v>
      </c>
      <c r="BS638" t="s">
        <v>219</v>
      </c>
      <c r="BT638" t="s">
        <v>1536</v>
      </c>
      <c r="BU638" t="s">
        <v>682</v>
      </c>
      <c r="BV638" t="s">
        <v>1149</v>
      </c>
    </row>
    <row r="639" spans="68:74" x14ac:dyDescent="0.25">
      <c r="BP639">
        <v>11138</v>
      </c>
      <c r="BQ639">
        <v>2020002342</v>
      </c>
      <c r="BR639" s="15" t="s">
        <v>223</v>
      </c>
      <c r="BS639" t="s">
        <v>219</v>
      </c>
      <c r="BT639" t="s">
        <v>1536</v>
      </c>
      <c r="BU639" t="s">
        <v>682</v>
      </c>
      <c r="BV639" t="s">
        <v>1153</v>
      </c>
    </row>
    <row r="640" spans="68:74" x14ac:dyDescent="0.25">
      <c r="BP640">
        <v>141834</v>
      </c>
      <c r="BQ640">
        <v>20200923</v>
      </c>
      <c r="BR640" s="15" t="s">
        <v>223</v>
      </c>
      <c r="BS640" t="s">
        <v>219</v>
      </c>
      <c r="BT640" t="s">
        <v>1537</v>
      </c>
      <c r="BU640" t="s">
        <v>682</v>
      </c>
      <c r="BV640" t="s">
        <v>1153</v>
      </c>
    </row>
    <row r="641" spans="68:74" x14ac:dyDescent="0.25">
      <c r="BP641">
        <v>11171</v>
      </c>
      <c r="BQ641">
        <v>2020002357</v>
      </c>
      <c r="BR641" s="15" t="s">
        <v>223</v>
      </c>
      <c r="BS641" t="s">
        <v>219</v>
      </c>
      <c r="BT641" t="s">
        <v>1538</v>
      </c>
      <c r="BU641" t="s">
        <v>682</v>
      </c>
      <c r="BV641" t="s">
        <v>1153</v>
      </c>
    </row>
    <row r="642" spans="68:74" x14ac:dyDescent="0.25">
      <c r="BP642">
        <v>11176</v>
      </c>
      <c r="BQ642">
        <v>2020002361</v>
      </c>
      <c r="BR642" s="15" t="s">
        <v>223</v>
      </c>
      <c r="BS642" t="s">
        <v>219</v>
      </c>
      <c r="BT642" t="s">
        <v>1539</v>
      </c>
      <c r="BU642" t="s">
        <v>682</v>
      </c>
      <c r="BV642" t="s">
        <v>1153</v>
      </c>
    </row>
    <row r="643" spans="68:74" x14ac:dyDescent="0.25">
      <c r="BP643">
        <v>11188</v>
      </c>
      <c r="BQ643">
        <v>2020021303</v>
      </c>
      <c r="BR643" s="15" t="s">
        <v>223</v>
      </c>
      <c r="BS643" t="s">
        <v>219</v>
      </c>
      <c r="BT643" t="s">
        <v>1540</v>
      </c>
      <c r="BU643" t="s">
        <v>682</v>
      </c>
      <c r="BV643" t="s">
        <v>1149</v>
      </c>
    </row>
    <row r="644" spans="68:74" x14ac:dyDescent="0.25">
      <c r="BP644">
        <v>11187</v>
      </c>
      <c r="BQ644">
        <v>2020021303</v>
      </c>
      <c r="BR644" s="15" t="s">
        <v>223</v>
      </c>
      <c r="BS644" t="s">
        <v>219</v>
      </c>
      <c r="BT644" t="s">
        <v>1540</v>
      </c>
      <c r="BU644" t="s">
        <v>682</v>
      </c>
      <c r="BV644" t="s">
        <v>1153</v>
      </c>
    </row>
    <row r="645" spans="68:74" x14ac:dyDescent="0.25">
      <c r="BP645">
        <v>11183</v>
      </c>
      <c r="BQ645">
        <v>2020021301</v>
      </c>
      <c r="BR645" s="15" t="s">
        <v>223</v>
      </c>
      <c r="BS645" t="s">
        <v>219</v>
      </c>
      <c r="BT645" t="s">
        <v>1541</v>
      </c>
      <c r="BU645" t="s">
        <v>682</v>
      </c>
      <c r="BV645" t="s">
        <v>1153</v>
      </c>
    </row>
    <row r="646" spans="68:74" x14ac:dyDescent="0.25">
      <c r="BP646">
        <v>11184</v>
      </c>
      <c r="BQ646">
        <v>2020021301</v>
      </c>
      <c r="BR646" s="15" t="s">
        <v>223</v>
      </c>
      <c r="BS646" t="s">
        <v>219</v>
      </c>
      <c r="BT646" t="s">
        <v>1541</v>
      </c>
      <c r="BU646" t="s">
        <v>682</v>
      </c>
      <c r="BV646" t="s">
        <v>1149</v>
      </c>
    </row>
    <row r="647" spans="68:74" x14ac:dyDescent="0.25">
      <c r="BQ647">
        <v>2020002308</v>
      </c>
      <c r="BR647" s="15" t="s">
        <v>223</v>
      </c>
      <c r="BS647" t="s">
        <v>219</v>
      </c>
      <c r="BT647" t="s">
        <v>1542</v>
      </c>
      <c r="BU647" t="s">
        <v>682</v>
      </c>
      <c r="BV647" t="s">
        <v>1149</v>
      </c>
    </row>
    <row r="648" spans="68:74" x14ac:dyDescent="0.25">
      <c r="BQ648">
        <v>2020002308</v>
      </c>
      <c r="BR648" s="15" t="s">
        <v>223</v>
      </c>
      <c r="BS648" t="s">
        <v>219</v>
      </c>
      <c r="BT648" t="s">
        <v>1542</v>
      </c>
      <c r="BU648" t="s">
        <v>682</v>
      </c>
      <c r="BV648" t="s">
        <v>1153</v>
      </c>
    </row>
    <row r="649" spans="68:74" x14ac:dyDescent="0.25">
      <c r="BP649">
        <v>11192</v>
      </c>
      <c r="BQ649">
        <v>2020021306</v>
      </c>
      <c r="BR649" s="15" t="s">
        <v>223</v>
      </c>
      <c r="BS649" t="s">
        <v>219</v>
      </c>
      <c r="BT649" t="s">
        <v>1543</v>
      </c>
      <c r="BU649" t="s">
        <v>682</v>
      </c>
      <c r="BV649" t="s">
        <v>1153</v>
      </c>
    </row>
    <row r="650" spans="68:74" x14ac:dyDescent="0.25">
      <c r="BQ650">
        <v>20200093</v>
      </c>
      <c r="BR650" s="15" t="s">
        <v>223</v>
      </c>
      <c r="BS650" t="s">
        <v>219</v>
      </c>
      <c r="BT650" t="s">
        <v>1544</v>
      </c>
      <c r="BU650" t="s">
        <v>682</v>
      </c>
      <c r="BV650" t="s">
        <v>680</v>
      </c>
    </row>
    <row r="651" spans="68:74" x14ac:dyDescent="0.25">
      <c r="BP651">
        <v>11093</v>
      </c>
      <c r="BQ651">
        <v>2020002309</v>
      </c>
      <c r="BR651" s="15" t="s">
        <v>223</v>
      </c>
      <c r="BS651" t="s">
        <v>219</v>
      </c>
      <c r="BT651" t="s">
        <v>1545</v>
      </c>
      <c r="BU651" t="s">
        <v>682</v>
      </c>
      <c r="BV651" t="s">
        <v>1153</v>
      </c>
    </row>
    <row r="652" spans="68:74" x14ac:dyDescent="0.25">
      <c r="BP652">
        <v>11174</v>
      </c>
      <c r="BQ652">
        <v>2020002359</v>
      </c>
      <c r="BR652" s="15" t="s">
        <v>223</v>
      </c>
      <c r="BS652" t="s">
        <v>219</v>
      </c>
      <c r="BT652" t="s">
        <v>1546</v>
      </c>
      <c r="BU652" t="s">
        <v>682</v>
      </c>
      <c r="BV652" t="s">
        <v>1153</v>
      </c>
    </row>
    <row r="653" spans="68:74" x14ac:dyDescent="0.25">
      <c r="BP653">
        <v>11140</v>
      </c>
      <c r="BQ653">
        <v>2020002343</v>
      </c>
      <c r="BR653" s="15" t="s">
        <v>223</v>
      </c>
      <c r="BS653" t="s">
        <v>219</v>
      </c>
      <c r="BT653" t="s">
        <v>1547</v>
      </c>
      <c r="BU653" t="s">
        <v>682</v>
      </c>
      <c r="BV653" t="s">
        <v>1153</v>
      </c>
    </row>
    <row r="654" spans="68:74" x14ac:dyDescent="0.25">
      <c r="BP654">
        <v>11142</v>
      </c>
      <c r="BQ654">
        <v>2020002343</v>
      </c>
      <c r="BR654" s="15" t="s">
        <v>223</v>
      </c>
      <c r="BS654" t="s">
        <v>219</v>
      </c>
      <c r="BT654" t="s">
        <v>1547</v>
      </c>
      <c r="BU654" t="s">
        <v>682</v>
      </c>
      <c r="BV654" t="s">
        <v>1149</v>
      </c>
    </row>
    <row r="655" spans="68:74" x14ac:dyDescent="0.25">
      <c r="BP655">
        <v>11099</v>
      </c>
      <c r="BQ655">
        <v>2020002310</v>
      </c>
      <c r="BR655" s="15" t="s">
        <v>223</v>
      </c>
      <c r="BS655" t="s">
        <v>219</v>
      </c>
      <c r="BT655" t="s">
        <v>1548</v>
      </c>
      <c r="BU655" t="s">
        <v>682</v>
      </c>
      <c r="BV655" t="s">
        <v>1149</v>
      </c>
    </row>
    <row r="656" spans="68:74" x14ac:dyDescent="0.25">
      <c r="BP656">
        <v>11096</v>
      </c>
      <c r="BQ656">
        <v>2020002310</v>
      </c>
      <c r="BR656" s="15" t="s">
        <v>223</v>
      </c>
      <c r="BS656" t="s">
        <v>219</v>
      </c>
      <c r="BT656" t="s">
        <v>1548</v>
      </c>
      <c r="BU656" t="s">
        <v>682</v>
      </c>
      <c r="BV656" t="s">
        <v>1153</v>
      </c>
    </row>
    <row r="657" spans="68:74" x14ac:dyDescent="0.25">
      <c r="BP657">
        <v>11097</v>
      </c>
      <c r="BQ657">
        <v>2020002310</v>
      </c>
      <c r="BR657" s="15" t="s">
        <v>223</v>
      </c>
      <c r="BS657" t="s">
        <v>219</v>
      </c>
      <c r="BT657" t="s">
        <v>1548</v>
      </c>
      <c r="BU657" t="s">
        <v>682</v>
      </c>
      <c r="BV657" t="s">
        <v>1153</v>
      </c>
    </row>
    <row r="658" spans="68:74" x14ac:dyDescent="0.25">
      <c r="BP658">
        <v>11112</v>
      </c>
      <c r="BQ658">
        <v>2020002324</v>
      </c>
      <c r="BR658" s="15" t="s">
        <v>223</v>
      </c>
      <c r="BS658" t="s">
        <v>219</v>
      </c>
      <c r="BT658" t="s">
        <v>1549</v>
      </c>
      <c r="BU658" t="s">
        <v>682</v>
      </c>
      <c r="BV658" t="s">
        <v>1153</v>
      </c>
    </row>
    <row r="659" spans="68:74" x14ac:dyDescent="0.25">
      <c r="BP659">
        <v>11114</v>
      </c>
      <c r="BQ659">
        <v>2020002324</v>
      </c>
      <c r="BR659" s="15" t="s">
        <v>223</v>
      </c>
      <c r="BS659" t="s">
        <v>219</v>
      </c>
      <c r="BT659" t="s">
        <v>1549</v>
      </c>
      <c r="BU659" t="s">
        <v>682</v>
      </c>
      <c r="BV659" t="s">
        <v>1149</v>
      </c>
    </row>
    <row r="660" spans="68:74" x14ac:dyDescent="0.25">
      <c r="BQ660">
        <v>20200102</v>
      </c>
      <c r="BR660" s="15" t="s">
        <v>223</v>
      </c>
      <c r="BS660" t="s">
        <v>219</v>
      </c>
      <c r="BT660" t="s">
        <v>1550</v>
      </c>
      <c r="BU660" t="s">
        <v>681</v>
      </c>
      <c r="BV660" t="s">
        <v>680</v>
      </c>
    </row>
    <row r="661" spans="68:74" x14ac:dyDescent="0.25">
      <c r="BQ661">
        <v>2020002311</v>
      </c>
      <c r="BR661" s="15" t="s">
        <v>223</v>
      </c>
      <c r="BS661" t="s">
        <v>219</v>
      </c>
      <c r="BT661" t="s">
        <v>1551</v>
      </c>
      <c r="BU661" t="s">
        <v>682</v>
      </c>
      <c r="BV661" t="s">
        <v>1153</v>
      </c>
    </row>
    <row r="662" spans="68:74" x14ac:dyDescent="0.25">
      <c r="BQ662">
        <v>20200032</v>
      </c>
      <c r="BR662" s="15" t="s">
        <v>223</v>
      </c>
      <c r="BS662" t="s">
        <v>219</v>
      </c>
      <c r="BT662" t="s">
        <v>1552</v>
      </c>
      <c r="BU662" t="s">
        <v>681</v>
      </c>
      <c r="BV662" t="s">
        <v>680</v>
      </c>
    </row>
    <row r="663" spans="68:74" x14ac:dyDescent="0.25">
      <c r="BQ663">
        <v>20200033</v>
      </c>
      <c r="BR663" s="15" t="s">
        <v>223</v>
      </c>
      <c r="BS663" t="s">
        <v>219</v>
      </c>
      <c r="BT663" t="s">
        <v>1552</v>
      </c>
      <c r="BU663" t="s">
        <v>682</v>
      </c>
      <c r="BV663" t="s">
        <v>680</v>
      </c>
    </row>
    <row r="664" spans="68:74" x14ac:dyDescent="0.25">
      <c r="BP664">
        <v>11185</v>
      </c>
      <c r="BQ664">
        <v>2020021302</v>
      </c>
      <c r="BR664" s="15" t="s">
        <v>223</v>
      </c>
      <c r="BS664" t="s">
        <v>219</v>
      </c>
      <c r="BT664" t="s">
        <v>1553</v>
      </c>
      <c r="BU664" t="s">
        <v>682</v>
      </c>
      <c r="BV664" t="s">
        <v>1153</v>
      </c>
    </row>
    <row r="665" spans="68:74" x14ac:dyDescent="0.25">
      <c r="BP665">
        <v>11186</v>
      </c>
      <c r="BQ665">
        <v>2020021302</v>
      </c>
      <c r="BR665" s="15" t="s">
        <v>223</v>
      </c>
      <c r="BS665" t="s">
        <v>219</v>
      </c>
      <c r="BT665" t="s">
        <v>1553</v>
      </c>
      <c r="BU665" t="s">
        <v>682</v>
      </c>
      <c r="BV665" t="s">
        <v>1149</v>
      </c>
    </row>
    <row r="666" spans="68:74" x14ac:dyDescent="0.25">
      <c r="BP666">
        <v>11189</v>
      </c>
      <c r="BQ666">
        <v>2020021304</v>
      </c>
      <c r="BR666" s="15" t="s">
        <v>223</v>
      </c>
      <c r="BS666" t="s">
        <v>219</v>
      </c>
      <c r="BT666" t="s">
        <v>1554</v>
      </c>
      <c r="BU666" t="s">
        <v>682</v>
      </c>
      <c r="BV666" t="s">
        <v>1153</v>
      </c>
    </row>
    <row r="667" spans="68:74" x14ac:dyDescent="0.25">
      <c r="BP667">
        <v>11190</v>
      </c>
      <c r="BQ667">
        <v>2020021304</v>
      </c>
      <c r="BR667" s="15" t="s">
        <v>223</v>
      </c>
      <c r="BS667" t="s">
        <v>219</v>
      </c>
      <c r="BT667" t="s">
        <v>1554</v>
      </c>
      <c r="BU667" t="s">
        <v>682</v>
      </c>
      <c r="BV667" t="s">
        <v>1149</v>
      </c>
    </row>
    <row r="668" spans="68:74" x14ac:dyDescent="0.25">
      <c r="BP668">
        <v>11191</v>
      </c>
      <c r="BQ668">
        <v>2020021305</v>
      </c>
      <c r="BR668" s="15" t="s">
        <v>223</v>
      </c>
      <c r="BS668" t="s">
        <v>219</v>
      </c>
      <c r="BT668" t="s">
        <v>1555</v>
      </c>
      <c r="BU668" t="s">
        <v>682</v>
      </c>
      <c r="BV668" t="s">
        <v>1153</v>
      </c>
    </row>
    <row r="669" spans="68:74" x14ac:dyDescent="0.25">
      <c r="BP669">
        <v>11151</v>
      </c>
      <c r="BQ669">
        <v>2020002348</v>
      </c>
      <c r="BR669" s="15" t="s">
        <v>223</v>
      </c>
      <c r="BS669" t="s">
        <v>219</v>
      </c>
      <c r="BT669" t="s">
        <v>1556</v>
      </c>
      <c r="BU669" t="s">
        <v>682</v>
      </c>
      <c r="BV669" t="s">
        <v>1153</v>
      </c>
    </row>
    <row r="670" spans="68:74" x14ac:dyDescent="0.25">
      <c r="BP670">
        <v>11026</v>
      </c>
      <c r="BQ670">
        <v>20200022</v>
      </c>
      <c r="BR670" s="15" t="s">
        <v>223</v>
      </c>
      <c r="BS670" t="s">
        <v>219</v>
      </c>
      <c r="BT670" t="s">
        <v>1557</v>
      </c>
      <c r="BU670" t="s">
        <v>681</v>
      </c>
      <c r="BV670" t="s">
        <v>1153</v>
      </c>
    </row>
    <row r="671" spans="68:74" x14ac:dyDescent="0.25">
      <c r="BP671">
        <v>11028</v>
      </c>
      <c r="BQ671">
        <v>20200022</v>
      </c>
      <c r="BR671" s="15" t="s">
        <v>223</v>
      </c>
      <c r="BS671" t="s">
        <v>219</v>
      </c>
      <c r="BT671" t="s">
        <v>1557</v>
      </c>
      <c r="BU671" t="s">
        <v>681</v>
      </c>
      <c r="BV671" t="s">
        <v>1149</v>
      </c>
    </row>
    <row r="672" spans="68:74" x14ac:dyDescent="0.25">
      <c r="BQ672">
        <v>20200023</v>
      </c>
      <c r="BR672" s="15" t="s">
        <v>223</v>
      </c>
      <c r="BS672" t="s">
        <v>219</v>
      </c>
      <c r="BT672" t="s">
        <v>1557</v>
      </c>
      <c r="BU672" t="s">
        <v>682</v>
      </c>
      <c r="BV672" t="s">
        <v>1149</v>
      </c>
    </row>
    <row r="673" spans="68:74" x14ac:dyDescent="0.25">
      <c r="BQ673">
        <v>20200023</v>
      </c>
      <c r="BR673" s="15" t="s">
        <v>223</v>
      </c>
      <c r="BS673" t="s">
        <v>219</v>
      </c>
      <c r="BT673" t="s">
        <v>1557</v>
      </c>
      <c r="BU673" t="s">
        <v>682</v>
      </c>
      <c r="BV673" t="s">
        <v>1153</v>
      </c>
    </row>
    <row r="674" spans="68:74" x14ac:dyDescent="0.25">
      <c r="BP674">
        <v>588880</v>
      </c>
      <c r="BQ674">
        <v>20200043</v>
      </c>
      <c r="BR674" s="15" t="s">
        <v>223</v>
      </c>
      <c r="BS674" t="s">
        <v>219</v>
      </c>
      <c r="BT674" t="s">
        <v>1557</v>
      </c>
      <c r="BU674" t="s">
        <v>682</v>
      </c>
      <c r="BV674" t="s">
        <v>1153</v>
      </c>
    </row>
    <row r="675" spans="68:74" x14ac:dyDescent="0.25">
      <c r="BQ675">
        <v>20200112</v>
      </c>
      <c r="BR675" s="15" t="s">
        <v>223</v>
      </c>
      <c r="BS675" t="s">
        <v>219</v>
      </c>
      <c r="BT675" t="s">
        <v>1558</v>
      </c>
      <c r="BU675" t="s">
        <v>681</v>
      </c>
      <c r="BV675" t="s">
        <v>680</v>
      </c>
    </row>
    <row r="676" spans="68:74" x14ac:dyDescent="0.25">
      <c r="BP676">
        <v>11068</v>
      </c>
      <c r="BQ676">
        <v>20200902</v>
      </c>
      <c r="BR676" s="15" t="s">
        <v>223</v>
      </c>
      <c r="BS676" t="s">
        <v>219</v>
      </c>
      <c r="BT676" t="s">
        <v>1559</v>
      </c>
      <c r="BU676" t="s">
        <v>681</v>
      </c>
      <c r="BV676" t="s">
        <v>1153</v>
      </c>
    </row>
    <row r="677" spans="68:74" x14ac:dyDescent="0.25">
      <c r="BP677">
        <v>11160</v>
      </c>
      <c r="BQ677">
        <v>2020002351</v>
      </c>
      <c r="BR677" s="15" t="s">
        <v>223</v>
      </c>
      <c r="BS677" t="s">
        <v>219</v>
      </c>
      <c r="BT677" t="s">
        <v>1560</v>
      </c>
      <c r="BU677" t="s">
        <v>682</v>
      </c>
      <c r="BV677" t="s">
        <v>1153</v>
      </c>
    </row>
    <row r="678" spans="68:74" x14ac:dyDescent="0.25">
      <c r="BP678">
        <v>141836</v>
      </c>
      <c r="BQ678">
        <v>20200943</v>
      </c>
      <c r="BR678" s="15" t="s">
        <v>223</v>
      </c>
      <c r="BS678" t="s">
        <v>219</v>
      </c>
      <c r="BT678" t="s">
        <v>1561</v>
      </c>
      <c r="BU678" t="s">
        <v>682</v>
      </c>
      <c r="BV678" t="s">
        <v>1153</v>
      </c>
    </row>
    <row r="679" spans="68:74" x14ac:dyDescent="0.25">
      <c r="BQ679">
        <v>2020002355</v>
      </c>
      <c r="BR679" s="15" t="s">
        <v>223</v>
      </c>
      <c r="BS679" t="s">
        <v>219</v>
      </c>
      <c r="BT679" t="s">
        <v>1562</v>
      </c>
      <c r="BU679" t="s">
        <v>682</v>
      </c>
      <c r="BV679" t="s">
        <v>1153</v>
      </c>
    </row>
    <row r="680" spans="68:74" x14ac:dyDescent="0.25">
      <c r="BQ680">
        <v>2020002329</v>
      </c>
      <c r="BR680" s="15" t="s">
        <v>223</v>
      </c>
      <c r="BS680" t="s">
        <v>219</v>
      </c>
      <c r="BT680" t="s">
        <v>1563</v>
      </c>
      <c r="BU680" t="s">
        <v>682</v>
      </c>
      <c r="BV680" t="s">
        <v>1153</v>
      </c>
    </row>
    <row r="681" spans="68:74" x14ac:dyDescent="0.25">
      <c r="BP681">
        <v>11172</v>
      </c>
      <c r="BQ681">
        <v>2020002358</v>
      </c>
      <c r="BR681" s="15" t="s">
        <v>223</v>
      </c>
      <c r="BS681" t="s">
        <v>219</v>
      </c>
      <c r="BT681" t="s">
        <v>1564</v>
      </c>
      <c r="BU681" t="s">
        <v>682</v>
      </c>
      <c r="BV681" t="s">
        <v>1153</v>
      </c>
    </row>
    <row r="682" spans="68:74" x14ac:dyDescent="0.25">
      <c r="BQ682">
        <v>2020002312</v>
      </c>
      <c r="BR682" s="15" t="s">
        <v>223</v>
      </c>
      <c r="BS682" t="s">
        <v>219</v>
      </c>
      <c r="BT682" t="s">
        <v>1565</v>
      </c>
      <c r="BU682" t="s">
        <v>682</v>
      </c>
      <c r="BV682" t="s">
        <v>1153</v>
      </c>
    </row>
    <row r="683" spans="68:74" x14ac:dyDescent="0.25">
      <c r="BQ683">
        <v>20200073</v>
      </c>
      <c r="BR683" s="15" t="s">
        <v>223</v>
      </c>
      <c r="BS683" t="s">
        <v>219</v>
      </c>
      <c r="BT683" t="s">
        <v>1566</v>
      </c>
      <c r="BU683" t="s">
        <v>682</v>
      </c>
      <c r="BV683" t="s">
        <v>680</v>
      </c>
    </row>
    <row r="684" spans="68:74" x14ac:dyDescent="0.25">
      <c r="BQ684">
        <v>20200053</v>
      </c>
      <c r="BR684" s="15" t="s">
        <v>223</v>
      </c>
      <c r="BS684" t="s">
        <v>219</v>
      </c>
      <c r="BT684" t="s">
        <v>1567</v>
      </c>
      <c r="BU684" t="s">
        <v>682</v>
      </c>
      <c r="BV684" t="s">
        <v>680</v>
      </c>
    </row>
    <row r="685" spans="68:74" x14ac:dyDescent="0.25">
      <c r="BP685">
        <v>141835</v>
      </c>
      <c r="BQ685">
        <v>20200933</v>
      </c>
      <c r="BR685" s="15" t="s">
        <v>223</v>
      </c>
      <c r="BS685" t="s">
        <v>219</v>
      </c>
      <c r="BT685" t="s">
        <v>1568</v>
      </c>
      <c r="BU685" t="s">
        <v>682</v>
      </c>
      <c r="BV685" t="s">
        <v>1153</v>
      </c>
    </row>
    <row r="686" spans="68:74" x14ac:dyDescent="0.25">
      <c r="BP686">
        <v>11155</v>
      </c>
      <c r="BQ686">
        <v>2020002349</v>
      </c>
      <c r="BR686" s="15" t="s">
        <v>223</v>
      </c>
      <c r="BS686" t="s">
        <v>219</v>
      </c>
      <c r="BT686" t="s">
        <v>1569</v>
      </c>
      <c r="BU686" t="s">
        <v>682</v>
      </c>
      <c r="BV686" t="s">
        <v>1153</v>
      </c>
    </row>
    <row r="687" spans="68:74" x14ac:dyDescent="0.25">
      <c r="BP687">
        <v>11116</v>
      </c>
      <c r="BQ687">
        <v>2020002325</v>
      </c>
      <c r="BR687" s="15" t="s">
        <v>223</v>
      </c>
      <c r="BS687" t="s">
        <v>219</v>
      </c>
      <c r="BT687" t="s">
        <v>1570</v>
      </c>
      <c r="BU687" t="s">
        <v>682</v>
      </c>
      <c r="BV687" t="s">
        <v>1153</v>
      </c>
    </row>
    <row r="688" spans="68:74" x14ac:dyDescent="0.25">
      <c r="BP688">
        <v>11117</v>
      </c>
      <c r="BQ688">
        <v>2020002325</v>
      </c>
      <c r="BR688" s="15" t="s">
        <v>223</v>
      </c>
      <c r="BS688" t="s">
        <v>219</v>
      </c>
      <c r="BT688" t="s">
        <v>1570</v>
      </c>
      <c r="BU688" t="s">
        <v>682</v>
      </c>
      <c r="BV688" t="s">
        <v>1149</v>
      </c>
    </row>
    <row r="689" spans="68:74" x14ac:dyDescent="0.25">
      <c r="BP689">
        <v>11101</v>
      </c>
      <c r="BQ689">
        <v>2020002313</v>
      </c>
      <c r="BR689" s="15" t="s">
        <v>223</v>
      </c>
      <c r="BS689" t="s">
        <v>219</v>
      </c>
      <c r="BT689" t="s">
        <v>1571</v>
      </c>
      <c r="BU689" t="s">
        <v>682</v>
      </c>
      <c r="BV689" t="s">
        <v>1153</v>
      </c>
    </row>
    <row r="690" spans="68:74" x14ac:dyDescent="0.25">
      <c r="BP690">
        <v>11102</v>
      </c>
      <c r="BQ690">
        <v>2020002313</v>
      </c>
      <c r="BR690" s="15" t="s">
        <v>223</v>
      </c>
      <c r="BS690" t="s">
        <v>219</v>
      </c>
      <c r="BT690" t="s">
        <v>1571</v>
      </c>
      <c r="BU690" t="s">
        <v>682</v>
      </c>
      <c r="BV690" t="s">
        <v>1149</v>
      </c>
    </row>
    <row r="691" spans="68:74" x14ac:dyDescent="0.25">
      <c r="BQ691">
        <v>20200062</v>
      </c>
      <c r="BR691" s="15" t="s">
        <v>223</v>
      </c>
      <c r="BS691" t="s">
        <v>219</v>
      </c>
      <c r="BT691" t="s">
        <v>1572</v>
      </c>
      <c r="BU691" t="s">
        <v>681</v>
      </c>
      <c r="BV691" t="s">
        <v>680</v>
      </c>
    </row>
    <row r="692" spans="68:74" x14ac:dyDescent="0.25">
      <c r="BP692">
        <v>11103</v>
      </c>
      <c r="BQ692">
        <v>2020002314</v>
      </c>
      <c r="BR692" s="15" t="s">
        <v>223</v>
      </c>
      <c r="BS692" t="s">
        <v>219</v>
      </c>
      <c r="BT692" t="s">
        <v>1573</v>
      </c>
      <c r="BU692" t="s">
        <v>682</v>
      </c>
      <c r="BV692" t="s">
        <v>1153</v>
      </c>
    </row>
    <row r="693" spans="68:74" x14ac:dyDescent="0.25">
      <c r="BQ693">
        <v>2020002315</v>
      </c>
      <c r="BR693" s="15" t="s">
        <v>223</v>
      </c>
      <c r="BS693" t="s">
        <v>219</v>
      </c>
      <c r="BT693" t="s">
        <v>1573</v>
      </c>
      <c r="BU693" t="s">
        <v>682</v>
      </c>
      <c r="BV693" t="s">
        <v>1153</v>
      </c>
    </row>
    <row r="694" spans="68:74" x14ac:dyDescent="0.25">
      <c r="BP694">
        <v>11031</v>
      </c>
      <c r="BQ694">
        <v>20200182</v>
      </c>
      <c r="BR694" s="15" t="s">
        <v>223</v>
      </c>
      <c r="BS694" t="s">
        <v>219</v>
      </c>
      <c r="BT694" t="s">
        <v>1574</v>
      </c>
      <c r="BU694" t="s">
        <v>681</v>
      </c>
      <c r="BV694" t="s">
        <v>1153</v>
      </c>
    </row>
    <row r="695" spans="68:74" x14ac:dyDescent="0.25">
      <c r="BP695">
        <v>11148</v>
      </c>
      <c r="BQ695">
        <v>2020002346</v>
      </c>
      <c r="BR695" s="15" t="s">
        <v>223</v>
      </c>
      <c r="BS695" t="s">
        <v>219</v>
      </c>
      <c r="BT695" t="s">
        <v>1575</v>
      </c>
      <c r="BU695" t="s">
        <v>682</v>
      </c>
      <c r="BV695" t="s">
        <v>1149</v>
      </c>
    </row>
    <row r="696" spans="68:74" x14ac:dyDescent="0.25">
      <c r="BP696">
        <v>11146</v>
      </c>
      <c r="BQ696">
        <v>2020002346</v>
      </c>
      <c r="BR696" s="15" t="s">
        <v>223</v>
      </c>
      <c r="BS696" t="s">
        <v>219</v>
      </c>
      <c r="BT696" t="s">
        <v>1575</v>
      </c>
      <c r="BU696" t="s">
        <v>682</v>
      </c>
      <c r="BV696" t="s">
        <v>1153</v>
      </c>
    </row>
    <row r="697" spans="68:74" x14ac:dyDescent="0.25">
      <c r="BP697">
        <v>11150</v>
      </c>
      <c r="BQ697">
        <v>2020002347</v>
      </c>
      <c r="BR697" s="15" t="s">
        <v>223</v>
      </c>
      <c r="BS697" t="s">
        <v>219</v>
      </c>
      <c r="BT697" t="s">
        <v>1576</v>
      </c>
      <c r="BU697" t="s">
        <v>682</v>
      </c>
      <c r="BV697" t="s">
        <v>1153</v>
      </c>
    </row>
    <row r="698" spans="68:74" x14ac:dyDescent="0.25">
      <c r="BQ698">
        <v>2020002330</v>
      </c>
      <c r="BR698" s="15" t="s">
        <v>223</v>
      </c>
      <c r="BS698" t="s">
        <v>219</v>
      </c>
      <c r="BT698" t="s">
        <v>1577</v>
      </c>
      <c r="BU698" t="s">
        <v>682</v>
      </c>
      <c r="BV698" t="s">
        <v>680</v>
      </c>
    </row>
    <row r="699" spans="68:74" x14ac:dyDescent="0.25">
      <c r="BP699">
        <v>11135</v>
      </c>
      <c r="BQ699">
        <v>2020002341</v>
      </c>
      <c r="BR699" s="15" t="s">
        <v>223</v>
      </c>
      <c r="BS699" t="s">
        <v>219</v>
      </c>
      <c r="BT699" t="s">
        <v>1578</v>
      </c>
      <c r="BU699" t="s">
        <v>682</v>
      </c>
      <c r="BV699" t="s">
        <v>1149</v>
      </c>
    </row>
    <row r="700" spans="68:74" x14ac:dyDescent="0.25">
      <c r="BP700">
        <v>11133</v>
      </c>
      <c r="BQ700">
        <v>2020002341</v>
      </c>
      <c r="BR700" s="15" t="s">
        <v>223</v>
      </c>
      <c r="BS700" t="s">
        <v>219</v>
      </c>
      <c r="BT700" t="s">
        <v>1578</v>
      </c>
      <c r="BU700" t="s">
        <v>682</v>
      </c>
      <c r="BV700" t="s">
        <v>1153</v>
      </c>
    </row>
    <row r="701" spans="68:74" x14ac:dyDescent="0.25">
      <c r="BQ701">
        <v>2020002337</v>
      </c>
      <c r="BR701" s="15" t="s">
        <v>223</v>
      </c>
      <c r="BS701" t="s">
        <v>219</v>
      </c>
      <c r="BT701" t="s">
        <v>1579</v>
      </c>
      <c r="BU701" t="s">
        <v>682</v>
      </c>
      <c r="BV701" t="s">
        <v>1149</v>
      </c>
    </row>
    <row r="702" spans="68:74" x14ac:dyDescent="0.25">
      <c r="BP702">
        <v>11104</v>
      </c>
      <c r="BQ702">
        <v>2020002316</v>
      </c>
      <c r="BR702" s="15" t="s">
        <v>223</v>
      </c>
      <c r="BS702" t="s">
        <v>219</v>
      </c>
      <c r="BT702" t="s">
        <v>1580</v>
      </c>
      <c r="BU702" t="s">
        <v>682</v>
      </c>
      <c r="BV702" t="s">
        <v>1153</v>
      </c>
    </row>
    <row r="703" spans="68:74" x14ac:dyDescent="0.25">
      <c r="BP703">
        <v>11105</v>
      </c>
      <c r="BQ703">
        <v>2020002316</v>
      </c>
      <c r="BR703" s="15" t="s">
        <v>223</v>
      </c>
      <c r="BS703" t="s">
        <v>219</v>
      </c>
      <c r="BT703" t="s">
        <v>1580</v>
      </c>
      <c r="BU703" t="s">
        <v>682</v>
      </c>
      <c r="BV703" t="s">
        <v>1149</v>
      </c>
    </row>
    <row r="704" spans="68:74" x14ac:dyDescent="0.25">
      <c r="BQ704">
        <v>2020002326</v>
      </c>
      <c r="BR704" s="15" t="s">
        <v>223</v>
      </c>
      <c r="BS704" t="s">
        <v>219</v>
      </c>
      <c r="BT704" t="s">
        <v>1580</v>
      </c>
      <c r="BU704" t="s">
        <v>682</v>
      </c>
      <c r="BV704" t="s">
        <v>1153</v>
      </c>
    </row>
    <row r="705" spans="68:74" x14ac:dyDescent="0.25">
      <c r="BQ705">
        <v>2020002326</v>
      </c>
      <c r="BR705" s="15" t="s">
        <v>223</v>
      </c>
      <c r="BS705" t="s">
        <v>219</v>
      </c>
      <c r="BT705" t="s">
        <v>1580</v>
      </c>
      <c r="BU705" t="s">
        <v>682</v>
      </c>
      <c r="BV705" t="s">
        <v>1149</v>
      </c>
    </row>
    <row r="706" spans="68:74" x14ac:dyDescent="0.25">
      <c r="BQ706">
        <v>2020002317</v>
      </c>
      <c r="BR706" s="15" t="s">
        <v>223</v>
      </c>
      <c r="BS706" t="s">
        <v>219</v>
      </c>
      <c r="BT706" t="s">
        <v>1581</v>
      </c>
      <c r="BU706" t="s">
        <v>682</v>
      </c>
      <c r="BV706" t="s">
        <v>1153</v>
      </c>
    </row>
    <row r="707" spans="68:74" x14ac:dyDescent="0.25">
      <c r="BQ707">
        <v>2020002318</v>
      </c>
      <c r="BR707" s="15" t="s">
        <v>223</v>
      </c>
      <c r="BS707" t="s">
        <v>219</v>
      </c>
      <c r="BT707" t="s">
        <v>1582</v>
      </c>
      <c r="BU707" t="s">
        <v>682</v>
      </c>
      <c r="BV707" t="s">
        <v>1153</v>
      </c>
    </row>
    <row r="708" spans="68:74" x14ac:dyDescent="0.25">
      <c r="BP708">
        <v>11130</v>
      </c>
      <c r="BQ708">
        <v>2020002340</v>
      </c>
      <c r="BR708" s="15" t="s">
        <v>223</v>
      </c>
      <c r="BS708" t="s">
        <v>219</v>
      </c>
      <c r="BT708" t="s">
        <v>1583</v>
      </c>
      <c r="BU708" t="s">
        <v>682</v>
      </c>
      <c r="BV708" t="s">
        <v>1153</v>
      </c>
    </row>
    <row r="709" spans="68:74" x14ac:dyDescent="0.25">
      <c r="BP709">
        <v>11131</v>
      </c>
      <c r="BQ709">
        <v>2020002340</v>
      </c>
      <c r="BR709" s="15" t="s">
        <v>223</v>
      </c>
      <c r="BS709" t="s">
        <v>219</v>
      </c>
      <c r="BT709" t="s">
        <v>1583</v>
      </c>
      <c r="BU709" t="s">
        <v>682</v>
      </c>
      <c r="BV709" t="s">
        <v>1149</v>
      </c>
    </row>
    <row r="710" spans="68:74" x14ac:dyDescent="0.25">
      <c r="BP710">
        <v>11178</v>
      </c>
      <c r="BQ710">
        <v>2020002362</v>
      </c>
      <c r="BR710" s="15" t="s">
        <v>223</v>
      </c>
      <c r="BS710" t="s">
        <v>219</v>
      </c>
      <c r="BT710" t="s">
        <v>1584</v>
      </c>
      <c r="BU710" t="s">
        <v>682</v>
      </c>
      <c r="BV710" t="s">
        <v>1153</v>
      </c>
    </row>
    <row r="711" spans="68:74" x14ac:dyDescent="0.25">
      <c r="BP711">
        <v>11180</v>
      </c>
      <c r="BQ711">
        <v>2020002362</v>
      </c>
      <c r="BR711" s="15" t="s">
        <v>223</v>
      </c>
      <c r="BS711" t="s">
        <v>219</v>
      </c>
      <c r="BT711" t="s">
        <v>1584</v>
      </c>
      <c r="BU711" t="s">
        <v>682</v>
      </c>
      <c r="BV711" t="s">
        <v>1149</v>
      </c>
    </row>
    <row r="712" spans="68:74" x14ac:dyDescent="0.25">
      <c r="BP712">
        <v>11162</v>
      </c>
      <c r="BQ712">
        <v>2020002352</v>
      </c>
      <c r="BR712" s="15" t="s">
        <v>223</v>
      </c>
      <c r="BS712" t="s">
        <v>219</v>
      </c>
      <c r="BT712" t="s">
        <v>1585</v>
      </c>
      <c r="BU712" t="s">
        <v>682</v>
      </c>
      <c r="BV712" t="s">
        <v>1149</v>
      </c>
    </row>
    <row r="713" spans="68:74" x14ac:dyDescent="0.25">
      <c r="BP713">
        <v>11164</v>
      </c>
      <c r="BQ713">
        <v>2020002353</v>
      </c>
      <c r="BR713" s="15" t="s">
        <v>223</v>
      </c>
      <c r="BS713" t="s">
        <v>219</v>
      </c>
      <c r="BT713" t="s">
        <v>1586</v>
      </c>
      <c r="BU713" t="s">
        <v>682</v>
      </c>
      <c r="BV713" t="s">
        <v>1153</v>
      </c>
    </row>
    <row r="714" spans="68:74" x14ac:dyDescent="0.25">
      <c r="BP714">
        <v>11166</v>
      </c>
      <c r="BQ714">
        <v>2020002353</v>
      </c>
      <c r="BR714" s="15" t="s">
        <v>223</v>
      </c>
      <c r="BS714" t="s">
        <v>219</v>
      </c>
      <c r="BT714" t="s">
        <v>1586</v>
      </c>
      <c r="BU714" t="s">
        <v>682</v>
      </c>
      <c r="BV714" t="s">
        <v>1149</v>
      </c>
    </row>
    <row r="715" spans="68:74" x14ac:dyDescent="0.25">
      <c r="BQ715">
        <v>20200123</v>
      </c>
      <c r="BR715" s="15" t="s">
        <v>223</v>
      </c>
      <c r="BS715" t="s">
        <v>219</v>
      </c>
      <c r="BT715" t="s">
        <v>1587</v>
      </c>
      <c r="BU715" t="s">
        <v>682</v>
      </c>
      <c r="BV715" t="s">
        <v>680</v>
      </c>
    </row>
    <row r="716" spans="68:74" x14ac:dyDescent="0.25">
      <c r="BP716">
        <v>11159</v>
      </c>
      <c r="BQ716">
        <v>2020002350</v>
      </c>
      <c r="BR716" s="15" t="s">
        <v>223</v>
      </c>
      <c r="BS716" t="s">
        <v>219</v>
      </c>
      <c r="BT716" t="s">
        <v>1588</v>
      </c>
      <c r="BU716" t="s">
        <v>682</v>
      </c>
      <c r="BV716" t="s">
        <v>1153</v>
      </c>
    </row>
    <row r="717" spans="68:74" x14ac:dyDescent="0.25">
      <c r="BP717">
        <v>11107</v>
      </c>
      <c r="BQ717">
        <v>2020002319</v>
      </c>
      <c r="BR717" s="15" t="s">
        <v>223</v>
      </c>
      <c r="BS717" t="s">
        <v>219</v>
      </c>
      <c r="BT717" t="s">
        <v>1589</v>
      </c>
      <c r="BU717" t="s">
        <v>682</v>
      </c>
      <c r="BV717" t="s">
        <v>1149</v>
      </c>
    </row>
    <row r="718" spans="68:74" x14ac:dyDescent="0.25">
      <c r="BP718">
        <v>11106</v>
      </c>
      <c r="BQ718">
        <v>2020002319</v>
      </c>
      <c r="BR718" s="15" t="s">
        <v>223</v>
      </c>
      <c r="BS718" t="s">
        <v>219</v>
      </c>
      <c r="BT718" t="s">
        <v>1589</v>
      </c>
      <c r="BU718" t="s">
        <v>682</v>
      </c>
      <c r="BV718" t="s">
        <v>1153</v>
      </c>
    </row>
    <row r="719" spans="68:74" x14ac:dyDescent="0.25">
      <c r="BP719">
        <v>11119</v>
      </c>
      <c r="BQ719">
        <v>2020002327</v>
      </c>
      <c r="BR719" s="15" t="s">
        <v>223</v>
      </c>
      <c r="BS719" t="s">
        <v>219</v>
      </c>
      <c r="BT719" t="s">
        <v>1589</v>
      </c>
      <c r="BU719" t="s">
        <v>682</v>
      </c>
      <c r="BV719" t="s">
        <v>1149</v>
      </c>
    </row>
    <row r="720" spans="68:74" x14ac:dyDescent="0.25">
      <c r="BP720">
        <v>11118</v>
      </c>
      <c r="BQ720">
        <v>2020002327</v>
      </c>
      <c r="BR720" s="15" t="s">
        <v>223</v>
      </c>
      <c r="BS720" t="s">
        <v>219</v>
      </c>
      <c r="BT720" t="s">
        <v>1589</v>
      </c>
      <c r="BU720" t="s">
        <v>682</v>
      </c>
      <c r="BV720" t="s">
        <v>1153</v>
      </c>
    </row>
    <row r="721" spans="68:74" x14ac:dyDescent="0.25">
      <c r="BQ721">
        <v>2020002331</v>
      </c>
      <c r="BR721" s="15" t="s">
        <v>223</v>
      </c>
      <c r="BS721" t="s">
        <v>219</v>
      </c>
      <c r="BT721" t="s">
        <v>1590</v>
      </c>
      <c r="BU721" t="s">
        <v>682</v>
      </c>
      <c r="BV721" t="s">
        <v>680</v>
      </c>
    </row>
    <row r="722" spans="68:74" x14ac:dyDescent="0.25">
      <c r="BP722">
        <v>11168</v>
      </c>
      <c r="BQ722">
        <v>2020002354</v>
      </c>
      <c r="BR722" s="15" t="s">
        <v>223</v>
      </c>
      <c r="BS722" t="s">
        <v>219</v>
      </c>
      <c r="BT722" t="s">
        <v>1591</v>
      </c>
      <c r="BU722" t="s">
        <v>682</v>
      </c>
      <c r="BV722" t="s">
        <v>1149</v>
      </c>
    </row>
    <row r="723" spans="68:74" x14ac:dyDescent="0.25">
      <c r="BQ723">
        <v>2020002338</v>
      </c>
      <c r="BR723" s="15" t="s">
        <v>223</v>
      </c>
      <c r="BS723" t="s">
        <v>219</v>
      </c>
      <c r="BT723" t="s">
        <v>1592</v>
      </c>
      <c r="BU723" t="s">
        <v>682</v>
      </c>
      <c r="BV723" t="s">
        <v>680</v>
      </c>
    </row>
    <row r="724" spans="68:74" x14ac:dyDescent="0.25">
      <c r="BQ724">
        <v>2020002320</v>
      </c>
      <c r="BR724" s="15" t="s">
        <v>223</v>
      </c>
      <c r="BS724" t="s">
        <v>219</v>
      </c>
      <c r="BT724" t="s">
        <v>1593</v>
      </c>
      <c r="BU724" t="s">
        <v>682</v>
      </c>
      <c r="BV724" t="s">
        <v>1153</v>
      </c>
    </row>
    <row r="725" spans="68:74" x14ac:dyDescent="0.25">
      <c r="BQ725">
        <v>2020002321</v>
      </c>
      <c r="BR725" s="15" t="s">
        <v>223</v>
      </c>
      <c r="BS725" t="s">
        <v>219</v>
      </c>
      <c r="BT725" t="s">
        <v>1594</v>
      </c>
      <c r="BU725" t="s">
        <v>682</v>
      </c>
      <c r="BV725" t="s">
        <v>1153</v>
      </c>
    </row>
    <row r="726" spans="68:74" x14ac:dyDescent="0.25">
      <c r="BQ726">
        <v>20200133</v>
      </c>
      <c r="BR726" s="15" t="s">
        <v>223</v>
      </c>
      <c r="BS726" t="s">
        <v>219</v>
      </c>
      <c r="BT726" t="s">
        <v>1595</v>
      </c>
      <c r="BU726" t="s">
        <v>682</v>
      </c>
      <c r="BV726" t="s">
        <v>680</v>
      </c>
    </row>
    <row r="727" spans="68:74" x14ac:dyDescent="0.25">
      <c r="BQ727">
        <v>2020002339</v>
      </c>
      <c r="BR727" s="15" t="s">
        <v>223</v>
      </c>
      <c r="BS727" t="s">
        <v>219</v>
      </c>
      <c r="BT727" t="s">
        <v>1596</v>
      </c>
      <c r="BU727" t="s">
        <v>682</v>
      </c>
      <c r="BV727" t="s">
        <v>680</v>
      </c>
    </row>
    <row r="728" spans="68:74" x14ac:dyDescent="0.25">
      <c r="BP728">
        <v>11182</v>
      </c>
      <c r="BQ728">
        <v>2020002363</v>
      </c>
      <c r="BR728" s="15" t="s">
        <v>223</v>
      </c>
      <c r="BS728" t="s">
        <v>219</v>
      </c>
      <c r="BT728" t="s">
        <v>1597</v>
      </c>
      <c r="BU728" t="s">
        <v>682</v>
      </c>
      <c r="BV728" t="s">
        <v>1153</v>
      </c>
    </row>
    <row r="729" spans="68:74" x14ac:dyDescent="0.25">
      <c r="BP729">
        <v>10876</v>
      </c>
      <c r="BQ729">
        <v>2030001301</v>
      </c>
      <c r="BR729" s="15" t="s">
        <v>224</v>
      </c>
      <c r="BS729" t="s">
        <v>220</v>
      </c>
      <c r="BT729" t="s">
        <v>1598</v>
      </c>
      <c r="BU729" t="s">
        <v>682</v>
      </c>
      <c r="BV729" t="s">
        <v>1153</v>
      </c>
    </row>
    <row r="730" spans="68:74" x14ac:dyDescent="0.25">
      <c r="BP730">
        <v>10877</v>
      </c>
      <c r="BQ730">
        <v>2030001302</v>
      </c>
      <c r="BR730" s="15" t="s">
        <v>224</v>
      </c>
      <c r="BS730" t="s">
        <v>220</v>
      </c>
      <c r="BT730" t="s">
        <v>1599</v>
      </c>
      <c r="BU730" t="s">
        <v>682</v>
      </c>
      <c r="BV730" t="s">
        <v>1153</v>
      </c>
    </row>
    <row r="731" spans="68:74" x14ac:dyDescent="0.25">
      <c r="BP731">
        <v>10894</v>
      </c>
      <c r="BQ731">
        <v>2030001318</v>
      </c>
      <c r="BR731" s="15" t="s">
        <v>224</v>
      </c>
      <c r="BS731" t="s">
        <v>220</v>
      </c>
      <c r="BT731" t="s">
        <v>1600</v>
      </c>
      <c r="BU731" t="s">
        <v>682</v>
      </c>
      <c r="BV731" t="s">
        <v>1153</v>
      </c>
    </row>
    <row r="732" spans="68:74" x14ac:dyDescent="0.25">
      <c r="BQ732">
        <v>2030001303</v>
      </c>
      <c r="BR732" s="15" t="s">
        <v>224</v>
      </c>
      <c r="BS732" t="s">
        <v>220</v>
      </c>
      <c r="BT732" t="s">
        <v>1601</v>
      </c>
      <c r="BU732" t="s">
        <v>682</v>
      </c>
      <c r="BV732" t="s">
        <v>1153</v>
      </c>
    </row>
    <row r="733" spans="68:74" x14ac:dyDescent="0.25">
      <c r="BP733">
        <v>10898</v>
      </c>
      <c r="BQ733">
        <v>2030001320</v>
      </c>
      <c r="BR733" s="15" t="s">
        <v>224</v>
      </c>
      <c r="BS733" t="s">
        <v>220</v>
      </c>
      <c r="BT733" t="s">
        <v>1602</v>
      </c>
      <c r="BU733" t="s">
        <v>682</v>
      </c>
      <c r="BV733" t="s">
        <v>1153</v>
      </c>
    </row>
    <row r="734" spans="68:74" x14ac:dyDescent="0.25">
      <c r="BP734">
        <v>10900</v>
      </c>
      <c r="BQ734">
        <v>2030001321</v>
      </c>
      <c r="BR734" s="15" t="s">
        <v>224</v>
      </c>
      <c r="BS734" t="s">
        <v>220</v>
      </c>
      <c r="BT734" t="s">
        <v>1603</v>
      </c>
      <c r="BU734" t="s">
        <v>682</v>
      </c>
      <c r="BV734" t="s">
        <v>1153</v>
      </c>
    </row>
    <row r="735" spans="68:74" x14ac:dyDescent="0.25">
      <c r="BP735">
        <v>10891</v>
      </c>
      <c r="BQ735">
        <v>2030001314</v>
      </c>
      <c r="BR735" s="15" t="s">
        <v>224</v>
      </c>
      <c r="BS735" t="s">
        <v>220</v>
      </c>
      <c r="BT735" t="s">
        <v>1604</v>
      </c>
      <c r="BU735" t="s">
        <v>682</v>
      </c>
      <c r="BV735" t="s">
        <v>1153</v>
      </c>
    </row>
    <row r="736" spans="68:74" x14ac:dyDescent="0.25">
      <c r="BP736">
        <v>10892</v>
      </c>
      <c r="BQ736">
        <v>2030001315</v>
      </c>
      <c r="BR736" s="15" t="s">
        <v>224</v>
      </c>
      <c r="BS736" t="s">
        <v>220</v>
      </c>
      <c r="BT736" t="s">
        <v>1605</v>
      </c>
      <c r="BU736" t="s">
        <v>682</v>
      </c>
      <c r="BV736" t="s">
        <v>1153</v>
      </c>
    </row>
    <row r="737" spans="68:74" x14ac:dyDescent="0.25">
      <c r="BQ737">
        <v>2030001313</v>
      </c>
      <c r="BR737" s="15" t="s">
        <v>224</v>
      </c>
      <c r="BS737" t="s">
        <v>220</v>
      </c>
      <c r="BT737" t="s">
        <v>1606</v>
      </c>
      <c r="BU737" t="s">
        <v>682</v>
      </c>
      <c r="BV737" t="s">
        <v>1153</v>
      </c>
    </row>
    <row r="738" spans="68:74" x14ac:dyDescent="0.25">
      <c r="BP738">
        <v>10905</v>
      </c>
      <c r="BQ738">
        <v>2030002305</v>
      </c>
      <c r="BR738" s="15" t="s">
        <v>224</v>
      </c>
      <c r="BS738" t="s">
        <v>220</v>
      </c>
      <c r="BT738" t="s">
        <v>1607</v>
      </c>
      <c r="BU738" t="s">
        <v>682</v>
      </c>
      <c r="BV738" t="s">
        <v>1149</v>
      </c>
    </row>
    <row r="739" spans="68:74" x14ac:dyDescent="0.25">
      <c r="BP739">
        <v>10904</v>
      </c>
      <c r="BQ739">
        <v>2030002305</v>
      </c>
      <c r="BR739" s="15" t="s">
        <v>224</v>
      </c>
      <c r="BS739" t="s">
        <v>220</v>
      </c>
      <c r="BT739" t="s">
        <v>1607</v>
      </c>
      <c r="BU739" t="s">
        <v>682</v>
      </c>
      <c r="BV739" t="s">
        <v>1153</v>
      </c>
    </row>
    <row r="740" spans="68:74" x14ac:dyDescent="0.25">
      <c r="BP740">
        <v>10746</v>
      </c>
      <c r="BQ740">
        <v>20300023</v>
      </c>
      <c r="BR740" s="15" t="s">
        <v>224</v>
      </c>
      <c r="BS740" t="s">
        <v>220</v>
      </c>
      <c r="BT740" t="s">
        <v>1608</v>
      </c>
      <c r="BU740" t="s">
        <v>682</v>
      </c>
      <c r="BV740" t="s">
        <v>1149</v>
      </c>
    </row>
    <row r="741" spans="68:74" x14ac:dyDescent="0.25">
      <c r="BP741">
        <v>10743</v>
      </c>
      <c r="BQ741">
        <v>20300023</v>
      </c>
      <c r="BR741" s="15" t="s">
        <v>224</v>
      </c>
      <c r="BS741" t="s">
        <v>220</v>
      </c>
      <c r="BT741" t="s">
        <v>1608</v>
      </c>
      <c r="BU741" t="s">
        <v>682</v>
      </c>
      <c r="BV741" t="s">
        <v>1153</v>
      </c>
    </row>
    <row r="742" spans="68:74" x14ac:dyDescent="0.25">
      <c r="BQ742">
        <v>2030002304</v>
      </c>
      <c r="BR742" s="15" t="s">
        <v>224</v>
      </c>
      <c r="BS742" t="s">
        <v>220</v>
      </c>
      <c r="BT742" t="s">
        <v>1609</v>
      </c>
      <c r="BU742" t="s">
        <v>682</v>
      </c>
      <c r="BV742" t="s">
        <v>1153</v>
      </c>
    </row>
    <row r="743" spans="68:74" x14ac:dyDescent="0.25">
      <c r="BQ743">
        <v>2030002307</v>
      </c>
      <c r="BR743" s="15" t="s">
        <v>224</v>
      </c>
      <c r="BS743" t="s">
        <v>220</v>
      </c>
      <c r="BT743" t="s">
        <v>1610</v>
      </c>
      <c r="BU743" t="s">
        <v>682</v>
      </c>
      <c r="BV743" t="s">
        <v>1153</v>
      </c>
    </row>
    <row r="744" spans="68:74" x14ac:dyDescent="0.25">
      <c r="BQ744">
        <v>2030002303</v>
      </c>
      <c r="BR744" s="15" t="s">
        <v>224</v>
      </c>
      <c r="BS744" t="s">
        <v>220</v>
      </c>
      <c r="BT744" t="s">
        <v>1611</v>
      </c>
      <c r="BU744" t="s">
        <v>682</v>
      </c>
      <c r="BV744" t="s">
        <v>680</v>
      </c>
    </row>
    <row r="745" spans="68:74" x14ac:dyDescent="0.25">
      <c r="BQ745">
        <v>2030001304</v>
      </c>
      <c r="BR745" s="15" t="s">
        <v>224</v>
      </c>
      <c r="BS745" t="s">
        <v>220</v>
      </c>
      <c r="BT745" t="s">
        <v>1612</v>
      </c>
      <c r="BU745" t="s">
        <v>682</v>
      </c>
      <c r="BV745" t="s">
        <v>1153</v>
      </c>
    </row>
    <row r="746" spans="68:74" x14ac:dyDescent="0.25">
      <c r="BP746">
        <v>10878</v>
      </c>
      <c r="BQ746">
        <v>2030001305</v>
      </c>
      <c r="BR746" s="15" t="s">
        <v>224</v>
      </c>
      <c r="BS746" t="s">
        <v>220</v>
      </c>
      <c r="BT746" t="s">
        <v>1613</v>
      </c>
      <c r="BU746" t="s">
        <v>682</v>
      </c>
      <c r="BV746" t="s">
        <v>1153</v>
      </c>
    </row>
    <row r="747" spans="68:74" x14ac:dyDescent="0.25">
      <c r="BP747">
        <v>10879</v>
      </c>
      <c r="BQ747">
        <v>2030001305</v>
      </c>
      <c r="BR747" s="15" t="s">
        <v>224</v>
      </c>
      <c r="BS747" t="s">
        <v>220</v>
      </c>
      <c r="BT747" t="s">
        <v>1613</v>
      </c>
      <c r="BU747" t="s">
        <v>682</v>
      </c>
      <c r="BV747" t="s">
        <v>1149</v>
      </c>
    </row>
    <row r="748" spans="68:74" x14ac:dyDescent="0.25">
      <c r="BQ748">
        <v>2030001316</v>
      </c>
      <c r="BR748" s="15" t="s">
        <v>224</v>
      </c>
      <c r="BS748" t="s">
        <v>220</v>
      </c>
      <c r="BT748" t="s">
        <v>1613</v>
      </c>
      <c r="BU748" t="s">
        <v>682</v>
      </c>
      <c r="BV748" t="s">
        <v>680</v>
      </c>
    </row>
    <row r="749" spans="68:74" x14ac:dyDescent="0.25">
      <c r="BQ749">
        <v>2030001306</v>
      </c>
      <c r="BR749" s="15" t="s">
        <v>224</v>
      </c>
      <c r="BS749" t="s">
        <v>220</v>
      </c>
      <c r="BT749" t="s">
        <v>1614</v>
      </c>
      <c r="BU749" t="s">
        <v>682</v>
      </c>
      <c r="BV749" t="s">
        <v>1153</v>
      </c>
    </row>
    <row r="750" spans="68:74" x14ac:dyDescent="0.25">
      <c r="BQ750">
        <v>20300033</v>
      </c>
      <c r="BR750" s="15" t="s">
        <v>224</v>
      </c>
      <c r="BS750" t="s">
        <v>220</v>
      </c>
      <c r="BT750" t="s">
        <v>1615</v>
      </c>
      <c r="BU750" t="s">
        <v>682</v>
      </c>
      <c r="BV750" t="s">
        <v>680</v>
      </c>
    </row>
    <row r="751" spans="68:74" x14ac:dyDescent="0.25">
      <c r="BQ751">
        <v>2030001307</v>
      </c>
      <c r="BR751" s="15" t="s">
        <v>224</v>
      </c>
      <c r="BS751" t="s">
        <v>220</v>
      </c>
      <c r="BT751" t="s">
        <v>1615</v>
      </c>
      <c r="BU751" t="s">
        <v>682</v>
      </c>
      <c r="BV751" t="s">
        <v>1153</v>
      </c>
    </row>
    <row r="752" spans="68:74" x14ac:dyDescent="0.25">
      <c r="BP752">
        <v>10740</v>
      </c>
      <c r="BQ752">
        <v>20300012</v>
      </c>
      <c r="BR752" s="15" t="s">
        <v>224</v>
      </c>
      <c r="BS752" t="s">
        <v>220</v>
      </c>
      <c r="BT752" t="s">
        <v>220</v>
      </c>
      <c r="BU752" t="s">
        <v>681</v>
      </c>
      <c r="BV752" t="s">
        <v>1149</v>
      </c>
    </row>
    <row r="753" spans="68:74" x14ac:dyDescent="0.25">
      <c r="BP753">
        <v>10738</v>
      </c>
      <c r="BQ753">
        <v>20300012</v>
      </c>
      <c r="BR753" s="15" t="s">
        <v>224</v>
      </c>
      <c r="BS753" t="s">
        <v>220</v>
      </c>
      <c r="BT753" t="s">
        <v>220</v>
      </c>
      <c r="BU753" t="s">
        <v>681</v>
      </c>
      <c r="BV753" t="s">
        <v>1153</v>
      </c>
    </row>
    <row r="754" spans="68:74" x14ac:dyDescent="0.25">
      <c r="BQ754">
        <v>20300013</v>
      </c>
      <c r="BR754" s="15" t="s">
        <v>224</v>
      </c>
      <c r="BS754" t="s">
        <v>220</v>
      </c>
      <c r="BT754" t="s">
        <v>220</v>
      </c>
      <c r="BU754" t="s">
        <v>682</v>
      </c>
      <c r="BV754" t="s">
        <v>680</v>
      </c>
    </row>
    <row r="755" spans="68:74" x14ac:dyDescent="0.25">
      <c r="BP755">
        <v>10893</v>
      </c>
      <c r="BQ755">
        <v>2030001317</v>
      </c>
      <c r="BR755" s="15" t="s">
        <v>224</v>
      </c>
      <c r="BS755" t="s">
        <v>220</v>
      </c>
      <c r="BT755" t="s">
        <v>1616</v>
      </c>
      <c r="BU755" t="s">
        <v>682</v>
      </c>
      <c r="BV755" t="s">
        <v>1153</v>
      </c>
    </row>
    <row r="756" spans="68:74" x14ac:dyDescent="0.25">
      <c r="BP756">
        <v>10880</v>
      </c>
      <c r="BQ756">
        <v>2030001308</v>
      </c>
      <c r="BR756" s="15" t="s">
        <v>224</v>
      </c>
      <c r="BS756" t="s">
        <v>220</v>
      </c>
      <c r="BT756" t="s">
        <v>1617</v>
      </c>
      <c r="BU756" t="s">
        <v>682</v>
      </c>
      <c r="BV756" t="s">
        <v>1153</v>
      </c>
    </row>
    <row r="757" spans="68:74" x14ac:dyDescent="0.25">
      <c r="BP757">
        <v>10882</v>
      </c>
      <c r="BQ757">
        <v>2030001308</v>
      </c>
      <c r="BR757" s="15" t="s">
        <v>224</v>
      </c>
      <c r="BS757" t="s">
        <v>220</v>
      </c>
      <c r="BT757" t="s">
        <v>1617</v>
      </c>
      <c r="BU757" t="s">
        <v>682</v>
      </c>
      <c r="BV757" t="s">
        <v>1149</v>
      </c>
    </row>
    <row r="758" spans="68:74" x14ac:dyDescent="0.25">
      <c r="BP758">
        <v>10772</v>
      </c>
      <c r="BQ758">
        <v>20300302</v>
      </c>
      <c r="BR758" s="15" t="s">
        <v>224</v>
      </c>
      <c r="BS758" t="s">
        <v>220</v>
      </c>
      <c r="BT758" t="s">
        <v>1618</v>
      </c>
      <c r="BU758" t="s">
        <v>681</v>
      </c>
      <c r="BV758" t="s">
        <v>1153</v>
      </c>
    </row>
    <row r="759" spans="68:74" x14ac:dyDescent="0.25">
      <c r="BP759">
        <v>10883</v>
      </c>
      <c r="BQ759">
        <v>2030001309</v>
      </c>
      <c r="BR759" s="15" t="s">
        <v>224</v>
      </c>
      <c r="BS759" t="s">
        <v>220</v>
      </c>
      <c r="BT759" t="s">
        <v>1619</v>
      </c>
      <c r="BU759" t="s">
        <v>682</v>
      </c>
      <c r="BV759" t="s">
        <v>1153</v>
      </c>
    </row>
    <row r="760" spans="68:74" x14ac:dyDescent="0.25">
      <c r="BP760">
        <v>10884</v>
      </c>
      <c r="BQ760">
        <v>2030001310</v>
      </c>
      <c r="BR760" s="15" t="s">
        <v>224</v>
      </c>
      <c r="BS760" t="s">
        <v>220</v>
      </c>
      <c r="BT760" t="s">
        <v>1619</v>
      </c>
      <c r="BU760" t="s">
        <v>682</v>
      </c>
      <c r="BV760" t="s">
        <v>1153</v>
      </c>
    </row>
    <row r="761" spans="68:74" x14ac:dyDescent="0.25">
      <c r="BQ761">
        <v>2030002301</v>
      </c>
      <c r="BR761" s="15" t="s">
        <v>224</v>
      </c>
      <c r="BS761" t="s">
        <v>220</v>
      </c>
      <c r="BT761" t="s">
        <v>1620</v>
      </c>
      <c r="BU761" t="s">
        <v>682</v>
      </c>
      <c r="BV761" t="s">
        <v>1153</v>
      </c>
    </row>
    <row r="762" spans="68:74" x14ac:dyDescent="0.25">
      <c r="BQ762">
        <v>2030002306</v>
      </c>
      <c r="BR762" s="15" t="s">
        <v>224</v>
      </c>
      <c r="BS762" t="s">
        <v>220</v>
      </c>
      <c r="BT762" t="s">
        <v>1621</v>
      </c>
      <c r="BU762" t="s">
        <v>682</v>
      </c>
      <c r="BV762" t="s">
        <v>1153</v>
      </c>
    </row>
    <row r="763" spans="68:74" x14ac:dyDescent="0.25">
      <c r="BP763">
        <v>10902</v>
      </c>
      <c r="BQ763">
        <v>2030001322</v>
      </c>
      <c r="BR763" s="15" t="s">
        <v>224</v>
      </c>
      <c r="BS763" t="s">
        <v>220</v>
      </c>
      <c r="BT763" t="s">
        <v>1622</v>
      </c>
      <c r="BU763" t="s">
        <v>682</v>
      </c>
      <c r="BV763" t="s">
        <v>1149</v>
      </c>
    </row>
    <row r="764" spans="68:74" x14ac:dyDescent="0.25">
      <c r="BP764">
        <v>10885</v>
      </c>
      <c r="BQ764">
        <v>2030001311</v>
      </c>
      <c r="BR764" s="15" t="s">
        <v>224</v>
      </c>
      <c r="BS764" t="s">
        <v>220</v>
      </c>
      <c r="BT764" t="s">
        <v>1623</v>
      </c>
      <c r="BU764" t="s">
        <v>682</v>
      </c>
      <c r="BV764" t="s">
        <v>1149</v>
      </c>
    </row>
    <row r="765" spans="68:74" x14ac:dyDescent="0.25">
      <c r="BP765">
        <v>10887</v>
      </c>
      <c r="BQ765">
        <v>2030001312</v>
      </c>
      <c r="BR765" s="15" t="s">
        <v>224</v>
      </c>
      <c r="BS765" t="s">
        <v>220</v>
      </c>
      <c r="BT765" t="s">
        <v>1624</v>
      </c>
      <c r="BU765" t="s">
        <v>682</v>
      </c>
      <c r="BV765" t="s">
        <v>1153</v>
      </c>
    </row>
    <row r="766" spans="68:74" x14ac:dyDescent="0.25">
      <c r="BP766">
        <v>10889</v>
      </c>
      <c r="BQ766">
        <v>2030001312</v>
      </c>
      <c r="BR766" s="15" t="s">
        <v>224</v>
      </c>
      <c r="BS766" t="s">
        <v>220</v>
      </c>
      <c r="BT766" t="s">
        <v>1624</v>
      </c>
      <c r="BU766" t="s">
        <v>682</v>
      </c>
      <c r="BV766" t="s">
        <v>1149</v>
      </c>
    </row>
    <row r="767" spans="68:74" x14ac:dyDescent="0.25">
      <c r="BP767">
        <v>289866</v>
      </c>
      <c r="BQ767">
        <v>20300323</v>
      </c>
      <c r="BR767" s="15" t="s">
        <v>224</v>
      </c>
      <c r="BS767" t="s">
        <v>220</v>
      </c>
      <c r="BT767" t="s">
        <v>1625</v>
      </c>
      <c r="BU767" t="s">
        <v>682</v>
      </c>
      <c r="BV767" t="s">
        <v>1149</v>
      </c>
    </row>
    <row r="768" spans="68:74" x14ac:dyDescent="0.25">
      <c r="BP768">
        <v>283995</v>
      </c>
      <c r="BQ768">
        <v>20300323</v>
      </c>
      <c r="BR768" s="15" t="s">
        <v>224</v>
      </c>
      <c r="BS768" t="s">
        <v>220</v>
      </c>
      <c r="BT768" t="s">
        <v>1625</v>
      </c>
      <c r="BU768" t="s">
        <v>682</v>
      </c>
      <c r="BV768" t="s">
        <v>1153</v>
      </c>
    </row>
    <row r="769" spans="68:74" x14ac:dyDescent="0.25">
      <c r="BP769">
        <v>10896</v>
      </c>
      <c r="BQ769">
        <v>2030001319</v>
      </c>
      <c r="BR769" s="15" t="s">
        <v>224</v>
      </c>
      <c r="BS769" t="s">
        <v>220</v>
      </c>
      <c r="BT769" t="s">
        <v>1626</v>
      </c>
      <c r="BU769" t="s">
        <v>682</v>
      </c>
      <c r="BV769" t="s">
        <v>1153</v>
      </c>
    </row>
    <row r="770" spans="68:74" x14ac:dyDescent="0.25">
      <c r="BQ770">
        <v>2040001301</v>
      </c>
      <c r="BR770" s="15" t="s">
        <v>225</v>
      </c>
      <c r="BS770" t="s">
        <v>221</v>
      </c>
      <c r="BT770" t="s">
        <v>1627</v>
      </c>
      <c r="BU770" t="s">
        <v>682</v>
      </c>
      <c r="BV770" t="s">
        <v>1153</v>
      </c>
    </row>
    <row r="771" spans="68:74" x14ac:dyDescent="0.25">
      <c r="BQ771">
        <v>2040001302</v>
      </c>
      <c r="BR771" s="15" t="s">
        <v>225</v>
      </c>
      <c r="BS771" t="s">
        <v>221</v>
      </c>
      <c r="BT771" t="s">
        <v>1628</v>
      </c>
      <c r="BU771" t="s">
        <v>682</v>
      </c>
      <c r="BV771" t="s">
        <v>1153</v>
      </c>
    </row>
    <row r="772" spans="68:74" x14ac:dyDescent="0.25">
      <c r="BP772">
        <v>11463</v>
      </c>
      <c r="BQ772">
        <v>2040001308</v>
      </c>
      <c r="BR772" s="15" t="s">
        <v>225</v>
      </c>
      <c r="BS772" t="s">
        <v>221</v>
      </c>
      <c r="BT772" t="s">
        <v>1629</v>
      </c>
      <c r="BU772" t="s">
        <v>682</v>
      </c>
      <c r="BV772" t="s">
        <v>1149</v>
      </c>
    </row>
    <row r="773" spans="68:74" x14ac:dyDescent="0.25">
      <c r="BP773">
        <v>11461</v>
      </c>
      <c r="BQ773">
        <v>2040001308</v>
      </c>
      <c r="BR773" s="15" t="s">
        <v>225</v>
      </c>
      <c r="BS773" t="s">
        <v>221</v>
      </c>
      <c r="BT773" t="s">
        <v>1629</v>
      </c>
      <c r="BU773" t="s">
        <v>682</v>
      </c>
      <c r="BV773" t="s">
        <v>1153</v>
      </c>
    </row>
    <row r="774" spans="68:74" x14ac:dyDescent="0.25">
      <c r="BP774">
        <v>11467</v>
      </c>
      <c r="BQ774">
        <v>2040001309</v>
      </c>
      <c r="BR774" s="15" t="s">
        <v>225</v>
      </c>
      <c r="BS774" t="s">
        <v>221</v>
      </c>
      <c r="BT774" t="s">
        <v>1629</v>
      </c>
      <c r="BU774" t="s">
        <v>682</v>
      </c>
      <c r="BV774" t="s">
        <v>1149</v>
      </c>
    </row>
    <row r="775" spans="68:74" x14ac:dyDescent="0.25">
      <c r="BP775">
        <v>11465</v>
      </c>
      <c r="BQ775">
        <v>2040001309</v>
      </c>
      <c r="BR775" s="15" t="s">
        <v>225</v>
      </c>
      <c r="BS775" t="s">
        <v>221</v>
      </c>
      <c r="BT775" t="s">
        <v>1629</v>
      </c>
      <c r="BU775" t="s">
        <v>682</v>
      </c>
      <c r="BV775" t="s">
        <v>1153</v>
      </c>
    </row>
    <row r="776" spans="68:74" x14ac:dyDescent="0.25">
      <c r="BP776">
        <v>11481</v>
      </c>
      <c r="BQ776">
        <v>2040001315</v>
      </c>
      <c r="BR776" s="15" t="s">
        <v>225</v>
      </c>
      <c r="BS776" t="s">
        <v>221</v>
      </c>
      <c r="BT776" t="s">
        <v>1630</v>
      </c>
      <c r="BU776" t="s">
        <v>682</v>
      </c>
      <c r="BV776" t="s">
        <v>1149</v>
      </c>
    </row>
    <row r="777" spans="68:74" x14ac:dyDescent="0.25">
      <c r="BP777">
        <v>11486</v>
      </c>
      <c r="BQ777">
        <v>2040001318</v>
      </c>
      <c r="BR777" s="15" t="s">
        <v>225</v>
      </c>
      <c r="BS777" t="s">
        <v>221</v>
      </c>
      <c r="BT777" t="s">
        <v>1631</v>
      </c>
      <c r="BU777" t="s">
        <v>682</v>
      </c>
      <c r="BV777" t="s">
        <v>1153</v>
      </c>
    </row>
    <row r="778" spans="68:74" x14ac:dyDescent="0.25">
      <c r="BP778">
        <v>11487</v>
      </c>
      <c r="BQ778">
        <v>2040001318</v>
      </c>
      <c r="BR778" s="15" t="s">
        <v>225</v>
      </c>
      <c r="BS778" t="s">
        <v>221</v>
      </c>
      <c r="BT778" t="s">
        <v>1631</v>
      </c>
      <c r="BU778" t="s">
        <v>682</v>
      </c>
      <c r="BV778" t="s">
        <v>1149</v>
      </c>
    </row>
    <row r="779" spans="68:74" x14ac:dyDescent="0.25">
      <c r="BQ779">
        <v>20400033</v>
      </c>
      <c r="BR779" s="15" t="s">
        <v>225</v>
      </c>
      <c r="BS779" t="s">
        <v>221</v>
      </c>
      <c r="BT779" t="s">
        <v>1632</v>
      </c>
      <c r="BU779" t="s">
        <v>682</v>
      </c>
      <c r="BV779" t="s">
        <v>680</v>
      </c>
    </row>
    <row r="780" spans="68:74" x14ac:dyDescent="0.25">
      <c r="BP780">
        <v>11483</v>
      </c>
      <c r="BQ780">
        <v>2040001316</v>
      </c>
      <c r="BR780" s="15" t="s">
        <v>225</v>
      </c>
      <c r="BS780" t="s">
        <v>221</v>
      </c>
      <c r="BT780" t="s">
        <v>1633</v>
      </c>
      <c r="BU780" t="s">
        <v>682</v>
      </c>
      <c r="BV780" t="s">
        <v>1149</v>
      </c>
    </row>
    <row r="781" spans="68:74" x14ac:dyDescent="0.25">
      <c r="BP781">
        <v>11485</v>
      </c>
      <c r="BQ781">
        <v>2040001317</v>
      </c>
      <c r="BR781" s="15" t="s">
        <v>225</v>
      </c>
      <c r="BS781" t="s">
        <v>221</v>
      </c>
      <c r="BT781" t="s">
        <v>1634</v>
      </c>
      <c r="BU781" t="s">
        <v>682</v>
      </c>
      <c r="BV781" t="s">
        <v>1149</v>
      </c>
    </row>
    <row r="782" spans="68:74" x14ac:dyDescent="0.25">
      <c r="BP782">
        <v>11475</v>
      </c>
      <c r="BQ782">
        <v>2040001312</v>
      </c>
      <c r="BR782" s="15" t="s">
        <v>225</v>
      </c>
      <c r="BS782" t="s">
        <v>221</v>
      </c>
      <c r="BT782" t="s">
        <v>1635</v>
      </c>
      <c r="BU782" t="s">
        <v>682</v>
      </c>
      <c r="BV782" t="s">
        <v>1149</v>
      </c>
    </row>
    <row r="783" spans="68:74" x14ac:dyDescent="0.25">
      <c r="BP783">
        <v>11477</v>
      </c>
      <c r="BQ783">
        <v>2040001313</v>
      </c>
      <c r="BR783" s="15" t="s">
        <v>225</v>
      </c>
      <c r="BS783" t="s">
        <v>221</v>
      </c>
      <c r="BT783" t="s">
        <v>1635</v>
      </c>
      <c r="BU783" t="s">
        <v>682</v>
      </c>
      <c r="BV783" t="s">
        <v>1149</v>
      </c>
    </row>
    <row r="784" spans="68:74" x14ac:dyDescent="0.25">
      <c r="BP784">
        <v>11457</v>
      </c>
      <c r="BQ784">
        <v>20400162</v>
      </c>
      <c r="BR784" s="15" t="s">
        <v>225</v>
      </c>
      <c r="BS784" t="s">
        <v>221</v>
      </c>
      <c r="BT784" t="s">
        <v>1636</v>
      </c>
      <c r="BU784" t="s">
        <v>681</v>
      </c>
      <c r="BV784" t="s">
        <v>1153</v>
      </c>
    </row>
    <row r="785" spans="68:74" x14ac:dyDescent="0.25">
      <c r="BP785">
        <v>11459</v>
      </c>
      <c r="BQ785">
        <v>20400162</v>
      </c>
      <c r="BR785" s="15" t="s">
        <v>225</v>
      </c>
      <c r="BS785" t="s">
        <v>221</v>
      </c>
      <c r="BT785" t="s">
        <v>1636</v>
      </c>
      <c r="BU785" t="s">
        <v>681</v>
      </c>
      <c r="BV785" t="s">
        <v>1149</v>
      </c>
    </row>
    <row r="786" spans="68:74" x14ac:dyDescent="0.25">
      <c r="BQ786">
        <v>2040001303</v>
      </c>
      <c r="BR786" s="15" t="s">
        <v>225</v>
      </c>
      <c r="BS786" t="s">
        <v>221</v>
      </c>
      <c r="BT786" t="s">
        <v>1637</v>
      </c>
      <c r="BU786" t="s">
        <v>682</v>
      </c>
      <c r="BV786" t="s">
        <v>1153</v>
      </c>
    </row>
    <row r="787" spans="68:74" x14ac:dyDescent="0.25">
      <c r="BP787">
        <v>11470</v>
      </c>
      <c r="BQ787">
        <v>2040001310</v>
      </c>
      <c r="BR787" s="15" t="s">
        <v>225</v>
      </c>
      <c r="BS787" t="s">
        <v>221</v>
      </c>
      <c r="BT787" t="s">
        <v>1638</v>
      </c>
      <c r="BU787" t="s">
        <v>682</v>
      </c>
      <c r="BV787" t="s">
        <v>1149</v>
      </c>
    </row>
    <row r="788" spans="68:74" x14ac:dyDescent="0.25">
      <c r="BP788">
        <v>11468</v>
      </c>
      <c r="BQ788">
        <v>2040001310</v>
      </c>
      <c r="BR788" s="15" t="s">
        <v>225</v>
      </c>
      <c r="BS788" t="s">
        <v>221</v>
      </c>
      <c r="BT788" t="s">
        <v>1638</v>
      </c>
      <c r="BU788" t="s">
        <v>682</v>
      </c>
      <c r="BV788" t="s">
        <v>1153</v>
      </c>
    </row>
    <row r="789" spans="68:74" x14ac:dyDescent="0.25">
      <c r="BP789">
        <v>11473</v>
      </c>
      <c r="BQ789">
        <v>2040001311</v>
      </c>
      <c r="BR789" s="15" t="s">
        <v>225</v>
      </c>
      <c r="BS789" t="s">
        <v>221</v>
      </c>
      <c r="BT789" t="s">
        <v>1638</v>
      </c>
      <c r="BU789" t="s">
        <v>682</v>
      </c>
      <c r="BV789" t="s">
        <v>1149</v>
      </c>
    </row>
    <row r="790" spans="68:74" x14ac:dyDescent="0.25">
      <c r="BP790">
        <v>11471</v>
      </c>
      <c r="BQ790">
        <v>2040001311</v>
      </c>
      <c r="BR790" s="15" t="s">
        <v>225</v>
      </c>
      <c r="BS790" t="s">
        <v>221</v>
      </c>
      <c r="BT790" t="s">
        <v>1638</v>
      </c>
      <c r="BU790" t="s">
        <v>682</v>
      </c>
      <c r="BV790" t="s">
        <v>1153</v>
      </c>
    </row>
    <row r="791" spans="68:74" x14ac:dyDescent="0.25">
      <c r="BQ791">
        <v>2040001304</v>
      </c>
      <c r="BR791" s="15" t="s">
        <v>225</v>
      </c>
      <c r="BS791" t="s">
        <v>221</v>
      </c>
      <c r="BT791" t="s">
        <v>1639</v>
      </c>
      <c r="BU791" t="s">
        <v>682</v>
      </c>
      <c r="BV791" t="s">
        <v>1149</v>
      </c>
    </row>
    <row r="792" spans="68:74" x14ac:dyDescent="0.25">
      <c r="BQ792">
        <v>2040001304</v>
      </c>
      <c r="BR792" s="15" t="s">
        <v>225</v>
      </c>
      <c r="BS792" t="s">
        <v>221</v>
      </c>
      <c r="BT792" t="s">
        <v>1639</v>
      </c>
      <c r="BU792" t="s">
        <v>682</v>
      </c>
      <c r="BV792" t="s">
        <v>1153</v>
      </c>
    </row>
    <row r="793" spans="68:74" x14ac:dyDescent="0.25">
      <c r="BQ793">
        <v>2040001305</v>
      </c>
      <c r="BR793" s="15" t="s">
        <v>225</v>
      </c>
      <c r="BS793" t="s">
        <v>221</v>
      </c>
      <c r="BT793" t="s">
        <v>1639</v>
      </c>
      <c r="BU793" t="s">
        <v>682</v>
      </c>
      <c r="BV793" t="s">
        <v>1149</v>
      </c>
    </row>
    <row r="794" spans="68:74" x14ac:dyDescent="0.25">
      <c r="BQ794">
        <v>2040001305</v>
      </c>
      <c r="BR794" s="15" t="s">
        <v>225</v>
      </c>
      <c r="BS794" t="s">
        <v>221</v>
      </c>
      <c r="BT794" t="s">
        <v>1639</v>
      </c>
      <c r="BU794" t="s">
        <v>682</v>
      </c>
      <c r="BV794" t="s">
        <v>1153</v>
      </c>
    </row>
    <row r="795" spans="68:74" x14ac:dyDescent="0.25">
      <c r="BP795">
        <v>11448</v>
      </c>
      <c r="BQ795">
        <v>20400012</v>
      </c>
      <c r="BR795" s="15" t="s">
        <v>225</v>
      </c>
      <c r="BS795" t="s">
        <v>221</v>
      </c>
      <c r="BT795" t="s">
        <v>1640</v>
      </c>
      <c r="BU795" t="s">
        <v>681</v>
      </c>
      <c r="BV795" t="s">
        <v>1153</v>
      </c>
    </row>
    <row r="796" spans="68:74" x14ac:dyDescent="0.25">
      <c r="BP796">
        <v>11449</v>
      </c>
      <c r="BQ796">
        <v>20400012</v>
      </c>
      <c r="BR796" s="15" t="s">
        <v>225</v>
      </c>
      <c r="BS796" t="s">
        <v>221</v>
      </c>
      <c r="BT796" t="s">
        <v>1640</v>
      </c>
      <c r="BU796" t="s">
        <v>681</v>
      </c>
      <c r="BV796" t="s">
        <v>1149</v>
      </c>
    </row>
    <row r="797" spans="68:74" x14ac:dyDescent="0.25">
      <c r="BP797">
        <v>11450</v>
      </c>
      <c r="BQ797">
        <v>20400012</v>
      </c>
      <c r="BR797" s="15" t="s">
        <v>225</v>
      </c>
      <c r="BS797" t="s">
        <v>221</v>
      </c>
      <c r="BT797" t="s">
        <v>1640</v>
      </c>
      <c r="BU797" t="s">
        <v>681</v>
      </c>
      <c r="BV797" t="s">
        <v>1149</v>
      </c>
    </row>
    <row r="798" spans="68:74" x14ac:dyDescent="0.25">
      <c r="BQ798">
        <v>20400013</v>
      </c>
      <c r="BR798" s="15" t="s">
        <v>225</v>
      </c>
      <c r="BS798" t="s">
        <v>221</v>
      </c>
      <c r="BT798" t="s">
        <v>1640</v>
      </c>
      <c r="BU798" t="s">
        <v>682</v>
      </c>
      <c r="BV798" t="s">
        <v>680</v>
      </c>
    </row>
    <row r="799" spans="68:74" x14ac:dyDescent="0.25">
      <c r="BQ799">
        <v>20400023</v>
      </c>
      <c r="BR799" s="15" t="s">
        <v>225</v>
      </c>
      <c r="BS799" t="s">
        <v>221</v>
      </c>
      <c r="BT799" t="s">
        <v>1640</v>
      </c>
      <c r="BU799" t="s">
        <v>682</v>
      </c>
      <c r="BV799" t="s">
        <v>680</v>
      </c>
    </row>
    <row r="800" spans="68:74" x14ac:dyDescent="0.25">
      <c r="BP800">
        <v>11479</v>
      </c>
      <c r="BQ800">
        <v>2040001314</v>
      </c>
      <c r="BR800" s="15" t="s">
        <v>225</v>
      </c>
      <c r="BS800" t="s">
        <v>221</v>
      </c>
      <c r="BT800" t="s">
        <v>1641</v>
      </c>
      <c r="BU800" t="s">
        <v>682</v>
      </c>
      <c r="BV800" t="s">
        <v>1149</v>
      </c>
    </row>
    <row r="801" spans="68:74" x14ac:dyDescent="0.25">
      <c r="BP801">
        <v>11491</v>
      </c>
      <c r="BQ801">
        <v>2040001320</v>
      </c>
      <c r="BR801" s="15" t="s">
        <v>225</v>
      </c>
      <c r="BS801" t="s">
        <v>221</v>
      </c>
      <c r="BT801" t="s">
        <v>1642</v>
      </c>
      <c r="BU801" t="s">
        <v>682</v>
      </c>
      <c r="BV801" t="s">
        <v>1149</v>
      </c>
    </row>
    <row r="802" spans="68:74" x14ac:dyDescent="0.25">
      <c r="BP802">
        <v>11456</v>
      </c>
      <c r="BQ802">
        <v>20400153</v>
      </c>
      <c r="BR802" s="15" t="s">
        <v>225</v>
      </c>
      <c r="BS802" t="s">
        <v>221</v>
      </c>
      <c r="BT802" t="s">
        <v>1643</v>
      </c>
      <c r="BU802" t="s">
        <v>682</v>
      </c>
      <c r="BV802" t="s">
        <v>1149</v>
      </c>
    </row>
    <row r="803" spans="68:74" x14ac:dyDescent="0.25">
      <c r="BP803">
        <v>11497</v>
      </c>
      <c r="BQ803">
        <v>2040001324</v>
      </c>
      <c r="BR803" s="15" t="s">
        <v>225</v>
      </c>
      <c r="BS803" t="s">
        <v>221</v>
      </c>
      <c r="BT803" t="s">
        <v>1644</v>
      </c>
      <c r="BU803" t="s">
        <v>682</v>
      </c>
      <c r="BV803" t="s">
        <v>1149</v>
      </c>
    </row>
    <row r="804" spans="68:74" x14ac:dyDescent="0.25">
      <c r="BP804">
        <v>11493</v>
      </c>
      <c r="BQ804">
        <v>2040001321</v>
      </c>
      <c r="BR804" s="15" t="s">
        <v>225</v>
      </c>
      <c r="BS804" t="s">
        <v>221</v>
      </c>
      <c r="BT804" t="s">
        <v>1645</v>
      </c>
      <c r="BU804" t="s">
        <v>682</v>
      </c>
      <c r="BV804" t="s">
        <v>1149</v>
      </c>
    </row>
    <row r="805" spans="68:74" x14ac:dyDescent="0.25">
      <c r="BP805">
        <v>11495</v>
      </c>
      <c r="BQ805">
        <v>2040001322</v>
      </c>
      <c r="BR805" s="15" t="s">
        <v>225</v>
      </c>
      <c r="BS805" t="s">
        <v>221</v>
      </c>
      <c r="BT805" t="s">
        <v>1646</v>
      </c>
      <c r="BU805" t="s">
        <v>682</v>
      </c>
      <c r="BV805" t="s">
        <v>1149</v>
      </c>
    </row>
    <row r="806" spans="68:74" x14ac:dyDescent="0.25">
      <c r="BP806">
        <v>11498</v>
      </c>
      <c r="BQ806">
        <v>2040001325</v>
      </c>
      <c r="BR806" s="15" t="s">
        <v>225</v>
      </c>
      <c r="BS806" t="s">
        <v>221</v>
      </c>
      <c r="BT806" t="s">
        <v>1647</v>
      </c>
      <c r="BU806" t="s">
        <v>682</v>
      </c>
      <c r="BV806" t="s">
        <v>1149</v>
      </c>
    </row>
    <row r="807" spans="68:74" x14ac:dyDescent="0.25">
      <c r="BP807">
        <v>11499</v>
      </c>
      <c r="BQ807">
        <v>2040001326</v>
      </c>
      <c r="BR807" s="15" t="s">
        <v>225</v>
      </c>
      <c r="BS807" t="s">
        <v>221</v>
      </c>
      <c r="BT807" t="s">
        <v>1648</v>
      </c>
      <c r="BU807" t="s">
        <v>682</v>
      </c>
      <c r="BV807" t="s">
        <v>1149</v>
      </c>
    </row>
    <row r="808" spans="68:74" x14ac:dyDescent="0.25">
      <c r="BP808">
        <v>11496</v>
      </c>
      <c r="BQ808">
        <v>2040001323</v>
      </c>
      <c r="BR808" s="15" t="s">
        <v>225</v>
      </c>
      <c r="BS808" t="s">
        <v>221</v>
      </c>
      <c r="BT808" t="s">
        <v>1649</v>
      </c>
      <c r="BU808" t="s">
        <v>682</v>
      </c>
      <c r="BV808" t="s">
        <v>1149</v>
      </c>
    </row>
    <row r="809" spans="68:74" x14ac:dyDescent="0.25">
      <c r="BP809">
        <v>11489</v>
      </c>
      <c r="BQ809">
        <v>2040001319</v>
      </c>
      <c r="BR809" s="15" t="s">
        <v>225</v>
      </c>
      <c r="BS809" t="s">
        <v>221</v>
      </c>
      <c r="BT809" t="s">
        <v>1650</v>
      </c>
      <c r="BU809" t="s">
        <v>682</v>
      </c>
      <c r="BV809" t="s">
        <v>1149</v>
      </c>
    </row>
    <row r="810" spans="68:74" x14ac:dyDescent="0.25">
      <c r="BP810">
        <v>11460</v>
      </c>
      <c r="BQ810">
        <v>2040001306</v>
      </c>
      <c r="BR810" s="15" t="s">
        <v>225</v>
      </c>
      <c r="BS810" t="s">
        <v>221</v>
      </c>
      <c r="BT810" t="s">
        <v>1651</v>
      </c>
      <c r="BU810" t="s">
        <v>682</v>
      </c>
      <c r="BV810" t="s">
        <v>1153</v>
      </c>
    </row>
    <row r="811" spans="68:74" x14ac:dyDescent="0.25">
      <c r="BQ811">
        <v>2040001307</v>
      </c>
      <c r="BR811" s="15" t="s">
        <v>225</v>
      </c>
      <c r="BS811" t="s">
        <v>221</v>
      </c>
      <c r="BT811" t="s">
        <v>1651</v>
      </c>
      <c r="BU811" t="s">
        <v>682</v>
      </c>
      <c r="BV811" t="s">
        <v>1153</v>
      </c>
    </row>
    <row r="812" spans="68:74" x14ac:dyDescent="0.25">
      <c r="BQ812">
        <v>30100102</v>
      </c>
      <c r="BR812" s="15" t="s">
        <v>235</v>
      </c>
      <c r="BS812" t="s">
        <v>226</v>
      </c>
      <c r="BT812" t="s">
        <v>1652</v>
      </c>
      <c r="BU812" t="s">
        <v>681</v>
      </c>
      <c r="BV812" t="s">
        <v>680</v>
      </c>
    </row>
    <row r="813" spans="68:74" x14ac:dyDescent="0.25">
      <c r="BQ813">
        <v>30100112</v>
      </c>
      <c r="BR813" s="15" t="s">
        <v>235</v>
      </c>
      <c r="BS813" t="s">
        <v>226</v>
      </c>
      <c r="BT813" t="s">
        <v>1653</v>
      </c>
      <c r="BU813" t="s">
        <v>681</v>
      </c>
      <c r="BV813" t="s">
        <v>680</v>
      </c>
    </row>
    <row r="814" spans="68:74" x14ac:dyDescent="0.25">
      <c r="BP814">
        <v>10911</v>
      </c>
      <c r="BQ814">
        <v>3010003305</v>
      </c>
      <c r="BR814" s="15" t="s">
        <v>235</v>
      </c>
      <c r="BS814" t="s">
        <v>226</v>
      </c>
      <c r="BT814" t="s">
        <v>1654</v>
      </c>
      <c r="BU814" t="s">
        <v>682</v>
      </c>
      <c r="BV814" t="s">
        <v>1153</v>
      </c>
    </row>
    <row r="815" spans="68:74" x14ac:dyDescent="0.25">
      <c r="BQ815">
        <v>30100012</v>
      </c>
      <c r="BR815" s="15" t="s">
        <v>235</v>
      </c>
      <c r="BS815" t="s">
        <v>226</v>
      </c>
      <c r="BT815" t="s">
        <v>1655</v>
      </c>
      <c r="BU815" t="s">
        <v>681</v>
      </c>
      <c r="BV815" t="s">
        <v>680</v>
      </c>
    </row>
    <row r="816" spans="68:74" x14ac:dyDescent="0.25">
      <c r="BQ816">
        <v>30100013</v>
      </c>
      <c r="BR816" s="15" t="s">
        <v>235</v>
      </c>
      <c r="BS816" t="s">
        <v>226</v>
      </c>
      <c r="BT816" t="s">
        <v>1655</v>
      </c>
      <c r="BU816" t="s">
        <v>682</v>
      </c>
      <c r="BV816" t="s">
        <v>680</v>
      </c>
    </row>
    <row r="817" spans="68:74" x14ac:dyDescent="0.25">
      <c r="BQ817">
        <v>3010001301</v>
      </c>
      <c r="BR817" s="15" t="s">
        <v>235</v>
      </c>
      <c r="BS817" t="s">
        <v>226</v>
      </c>
      <c r="BT817" t="s">
        <v>1656</v>
      </c>
      <c r="BU817" t="s">
        <v>682</v>
      </c>
      <c r="BV817" t="s">
        <v>680</v>
      </c>
    </row>
    <row r="818" spans="68:74" x14ac:dyDescent="0.25">
      <c r="BQ818">
        <v>3010001302</v>
      </c>
      <c r="BR818" s="15" t="s">
        <v>235</v>
      </c>
      <c r="BS818" t="s">
        <v>226</v>
      </c>
      <c r="BT818" t="s">
        <v>1657</v>
      </c>
      <c r="BU818" t="s">
        <v>682</v>
      </c>
      <c r="BV818" t="s">
        <v>680</v>
      </c>
    </row>
    <row r="819" spans="68:74" x14ac:dyDescent="0.25">
      <c r="BQ819">
        <v>3010001303</v>
      </c>
      <c r="BR819" s="15" t="s">
        <v>235</v>
      </c>
      <c r="BS819" t="s">
        <v>226</v>
      </c>
      <c r="BT819" t="s">
        <v>1658</v>
      </c>
      <c r="BU819" t="s">
        <v>682</v>
      </c>
      <c r="BV819" t="s">
        <v>680</v>
      </c>
    </row>
    <row r="820" spans="68:74" x14ac:dyDescent="0.25">
      <c r="BP820">
        <v>11071</v>
      </c>
      <c r="BQ820">
        <v>30100022</v>
      </c>
      <c r="BR820" s="15" t="s">
        <v>235</v>
      </c>
      <c r="BS820" t="s">
        <v>226</v>
      </c>
      <c r="BT820" t="s">
        <v>1552</v>
      </c>
      <c r="BU820" t="s">
        <v>681</v>
      </c>
      <c r="BV820" t="s">
        <v>1153</v>
      </c>
    </row>
    <row r="821" spans="68:74" x14ac:dyDescent="0.25">
      <c r="BQ821">
        <v>30100063</v>
      </c>
      <c r="BR821" s="15" t="s">
        <v>235</v>
      </c>
      <c r="BS821" t="s">
        <v>226</v>
      </c>
      <c r="BT821" t="s">
        <v>1552</v>
      </c>
      <c r="BU821" t="s">
        <v>682</v>
      </c>
      <c r="BV821" t="s">
        <v>680</v>
      </c>
    </row>
    <row r="822" spans="68:74" x14ac:dyDescent="0.25">
      <c r="BP822">
        <v>588879</v>
      </c>
      <c r="BQ822">
        <v>3010002301</v>
      </c>
      <c r="BR822" s="15" t="s">
        <v>235</v>
      </c>
      <c r="BS822" t="s">
        <v>226</v>
      </c>
      <c r="BT822" t="s">
        <v>1552</v>
      </c>
      <c r="BU822" t="s">
        <v>682</v>
      </c>
      <c r="BV822" t="s">
        <v>1153</v>
      </c>
    </row>
    <row r="823" spans="68:74" x14ac:dyDescent="0.25">
      <c r="BQ823">
        <v>3010006301</v>
      </c>
      <c r="BR823" s="15" t="s">
        <v>235</v>
      </c>
      <c r="BS823" t="s">
        <v>226</v>
      </c>
      <c r="BT823" t="s">
        <v>1552</v>
      </c>
      <c r="BU823" t="s">
        <v>682</v>
      </c>
      <c r="BV823" t="s">
        <v>680</v>
      </c>
    </row>
    <row r="824" spans="68:74" x14ac:dyDescent="0.25">
      <c r="BQ824">
        <v>3010002305</v>
      </c>
      <c r="BR824" s="15" t="s">
        <v>235</v>
      </c>
      <c r="BS824" t="s">
        <v>226</v>
      </c>
      <c r="BT824" t="s">
        <v>1659</v>
      </c>
      <c r="BU824" t="s">
        <v>682</v>
      </c>
      <c r="BV824" t="s">
        <v>1153</v>
      </c>
    </row>
    <row r="825" spans="68:74" x14ac:dyDescent="0.25">
      <c r="BP825">
        <v>11079</v>
      </c>
      <c r="BQ825">
        <v>30100762</v>
      </c>
      <c r="BR825" s="15" t="s">
        <v>235</v>
      </c>
      <c r="BS825" t="s">
        <v>226</v>
      </c>
      <c r="BT825" t="s">
        <v>1660</v>
      </c>
      <c r="BU825" t="s">
        <v>681</v>
      </c>
      <c r="BV825" t="s">
        <v>1153</v>
      </c>
    </row>
    <row r="826" spans="68:74" x14ac:dyDescent="0.25">
      <c r="BQ826">
        <v>3010006302</v>
      </c>
      <c r="BR826" s="15" t="s">
        <v>235</v>
      </c>
      <c r="BS826" t="s">
        <v>226</v>
      </c>
      <c r="BT826" t="s">
        <v>1660</v>
      </c>
      <c r="BU826" t="s">
        <v>682</v>
      </c>
      <c r="BV826" t="s">
        <v>680</v>
      </c>
    </row>
    <row r="827" spans="68:74" x14ac:dyDescent="0.25">
      <c r="BQ827">
        <v>3010006303</v>
      </c>
      <c r="BR827" s="15" t="s">
        <v>235</v>
      </c>
      <c r="BS827" t="s">
        <v>226</v>
      </c>
      <c r="BT827" t="s">
        <v>1660</v>
      </c>
      <c r="BU827" t="s">
        <v>682</v>
      </c>
      <c r="BV827" t="s">
        <v>680</v>
      </c>
    </row>
    <row r="828" spans="68:74" x14ac:dyDescent="0.25">
      <c r="BP828">
        <v>11193</v>
      </c>
      <c r="BQ828">
        <v>3010002302</v>
      </c>
      <c r="BR828" s="15" t="s">
        <v>235</v>
      </c>
      <c r="BS828" t="s">
        <v>226</v>
      </c>
      <c r="BT828" t="s">
        <v>1661</v>
      </c>
      <c r="BU828" t="s">
        <v>682</v>
      </c>
      <c r="BV828" t="s">
        <v>1153</v>
      </c>
    </row>
    <row r="829" spans="68:74" x14ac:dyDescent="0.25">
      <c r="BP829">
        <v>11196</v>
      </c>
      <c r="BQ829">
        <v>3010002303</v>
      </c>
      <c r="BR829" s="15" t="s">
        <v>235</v>
      </c>
      <c r="BS829" t="s">
        <v>226</v>
      </c>
      <c r="BT829" t="s">
        <v>1661</v>
      </c>
      <c r="BU829" t="s">
        <v>682</v>
      </c>
      <c r="BV829" t="s">
        <v>1153</v>
      </c>
    </row>
    <row r="830" spans="68:74" x14ac:dyDescent="0.25">
      <c r="BP830">
        <v>11200</v>
      </c>
      <c r="BQ830">
        <v>3010002307</v>
      </c>
      <c r="BR830" s="15" t="s">
        <v>235</v>
      </c>
      <c r="BS830" t="s">
        <v>226</v>
      </c>
      <c r="BT830" t="s">
        <v>1662</v>
      </c>
      <c r="BU830" t="s">
        <v>682</v>
      </c>
      <c r="BV830" t="s">
        <v>1153</v>
      </c>
    </row>
    <row r="831" spans="68:74" x14ac:dyDescent="0.25">
      <c r="BP831">
        <v>259752</v>
      </c>
      <c r="BQ831">
        <v>30100813</v>
      </c>
      <c r="BR831" s="15" t="s">
        <v>235</v>
      </c>
      <c r="BS831" t="s">
        <v>226</v>
      </c>
      <c r="BT831" t="s">
        <v>1663</v>
      </c>
      <c r="BU831" t="s">
        <v>682</v>
      </c>
      <c r="BV831" t="s">
        <v>1153</v>
      </c>
    </row>
    <row r="832" spans="68:74" x14ac:dyDescent="0.25">
      <c r="BP832">
        <v>11203</v>
      </c>
      <c r="BQ832">
        <v>3010002308</v>
      </c>
      <c r="BR832" s="15" t="s">
        <v>235</v>
      </c>
      <c r="BS832" t="s">
        <v>226</v>
      </c>
      <c r="BT832" t="s">
        <v>1664</v>
      </c>
      <c r="BU832" t="s">
        <v>682</v>
      </c>
      <c r="BV832" t="s">
        <v>1153</v>
      </c>
    </row>
    <row r="833" spans="68:74" x14ac:dyDescent="0.25">
      <c r="BP833">
        <v>10914</v>
      </c>
      <c r="BQ833">
        <v>3010005301</v>
      </c>
      <c r="BR833" s="15" t="s">
        <v>235</v>
      </c>
      <c r="BS833" t="s">
        <v>226</v>
      </c>
      <c r="BT833" t="s">
        <v>1665</v>
      </c>
      <c r="BU833" t="s">
        <v>682</v>
      </c>
      <c r="BV833" t="s">
        <v>1153</v>
      </c>
    </row>
    <row r="834" spans="68:74" x14ac:dyDescent="0.25">
      <c r="BQ834">
        <v>3010002306</v>
      </c>
      <c r="BR834" s="15" t="s">
        <v>235</v>
      </c>
      <c r="BS834" t="s">
        <v>226</v>
      </c>
      <c r="BT834" t="s">
        <v>1666</v>
      </c>
      <c r="BU834" t="s">
        <v>682</v>
      </c>
      <c r="BV834" t="s">
        <v>680</v>
      </c>
    </row>
    <row r="835" spans="68:74" x14ac:dyDescent="0.25">
      <c r="BP835">
        <v>10918</v>
      </c>
      <c r="BQ835">
        <v>3010005306</v>
      </c>
      <c r="BR835" s="15" t="s">
        <v>235</v>
      </c>
      <c r="BS835" t="s">
        <v>226</v>
      </c>
      <c r="BT835" t="s">
        <v>1667</v>
      </c>
      <c r="BU835" t="s">
        <v>682</v>
      </c>
      <c r="BV835" t="s">
        <v>1153</v>
      </c>
    </row>
    <row r="836" spans="68:74" x14ac:dyDescent="0.25">
      <c r="BP836">
        <v>10923</v>
      </c>
      <c r="BQ836">
        <v>3010005309</v>
      </c>
      <c r="BR836" s="15" t="s">
        <v>235</v>
      </c>
      <c r="BS836" t="s">
        <v>226</v>
      </c>
      <c r="BT836" t="s">
        <v>1668</v>
      </c>
      <c r="BU836" t="s">
        <v>682</v>
      </c>
      <c r="BV836" t="s">
        <v>1153</v>
      </c>
    </row>
    <row r="837" spans="68:74" x14ac:dyDescent="0.25">
      <c r="BQ837">
        <v>30100072</v>
      </c>
      <c r="BR837" s="15" t="s">
        <v>235</v>
      </c>
      <c r="BS837" t="s">
        <v>226</v>
      </c>
      <c r="BT837" t="s">
        <v>1669</v>
      </c>
      <c r="BU837" t="s">
        <v>681</v>
      </c>
      <c r="BV837" t="s">
        <v>680</v>
      </c>
    </row>
    <row r="838" spans="68:74" x14ac:dyDescent="0.25">
      <c r="BQ838">
        <v>3010003301</v>
      </c>
      <c r="BR838" s="15" t="s">
        <v>235</v>
      </c>
      <c r="BS838" t="s">
        <v>226</v>
      </c>
      <c r="BT838" t="s">
        <v>1670</v>
      </c>
      <c r="BU838" t="s">
        <v>682</v>
      </c>
      <c r="BV838" t="s">
        <v>1153</v>
      </c>
    </row>
    <row r="839" spans="68:74" x14ac:dyDescent="0.25">
      <c r="BQ839">
        <v>30100082</v>
      </c>
      <c r="BR839" s="15" t="s">
        <v>235</v>
      </c>
      <c r="BS839" t="s">
        <v>226</v>
      </c>
      <c r="BT839" t="s">
        <v>1671</v>
      </c>
      <c r="BU839" t="s">
        <v>681</v>
      </c>
      <c r="BV839" t="s">
        <v>680</v>
      </c>
    </row>
    <row r="840" spans="68:74" x14ac:dyDescent="0.25">
      <c r="BP840">
        <v>10925</v>
      </c>
      <c r="BQ840">
        <v>3010005310</v>
      </c>
      <c r="BR840" s="15" t="s">
        <v>235</v>
      </c>
      <c r="BS840" t="s">
        <v>226</v>
      </c>
      <c r="BT840" t="s">
        <v>1672</v>
      </c>
      <c r="BU840" t="s">
        <v>682</v>
      </c>
      <c r="BV840" t="s">
        <v>1153</v>
      </c>
    </row>
    <row r="841" spans="68:74" x14ac:dyDescent="0.25">
      <c r="BP841">
        <v>274375</v>
      </c>
      <c r="BQ841">
        <v>30100823</v>
      </c>
      <c r="BR841" s="15" t="s">
        <v>235</v>
      </c>
      <c r="BS841" t="s">
        <v>226</v>
      </c>
      <c r="BT841" t="s">
        <v>1673</v>
      </c>
      <c r="BU841" t="s">
        <v>682</v>
      </c>
      <c r="BV841" t="s">
        <v>1153</v>
      </c>
    </row>
    <row r="842" spans="68:74" x14ac:dyDescent="0.25">
      <c r="BQ842">
        <v>30100823</v>
      </c>
      <c r="BR842" s="15" t="s">
        <v>235</v>
      </c>
      <c r="BS842" t="s">
        <v>226</v>
      </c>
      <c r="BT842" t="s">
        <v>1673</v>
      </c>
      <c r="BU842" t="s">
        <v>682</v>
      </c>
      <c r="BV842" t="s">
        <v>1149</v>
      </c>
    </row>
    <row r="843" spans="68:74" x14ac:dyDescent="0.25">
      <c r="BQ843">
        <v>3010005302</v>
      </c>
      <c r="BR843" s="15" t="s">
        <v>235</v>
      </c>
      <c r="BS843" t="s">
        <v>226</v>
      </c>
      <c r="BT843" t="s">
        <v>1674</v>
      </c>
      <c r="BU843" t="s">
        <v>682</v>
      </c>
      <c r="BV843" t="s">
        <v>680</v>
      </c>
    </row>
    <row r="844" spans="68:74" x14ac:dyDescent="0.25">
      <c r="BP844">
        <v>10919</v>
      </c>
      <c r="BQ844">
        <v>3010005307</v>
      </c>
      <c r="BR844" s="15" t="s">
        <v>235</v>
      </c>
      <c r="BS844" t="s">
        <v>226</v>
      </c>
      <c r="BT844" t="s">
        <v>1675</v>
      </c>
      <c r="BU844" t="s">
        <v>682</v>
      </c>
      <c r="BV844" t="s">
        <v>1153</v>
      </c>
    </row>
    <row r="845" spans="68:74" x14ac:dyDescent="0.25">
      <c r="BQ845">
        <v>30100093</v>
      </c>
      <c r="BR845" s="15" t="s">
        <v>235</v>
      </c>
      <c r="BS845" t="s">
        <v>226</v>
      </c>
      <c r="BT845" t="s">
        <v>1676</v>
      </c>
      <c r="BU845" t="s">
        <v>682</v>
      </c>
      <c r="BV845" t="s">
        <v>680</v>
      </c>
    </row>
    <row r="846" spans="68:74" x14ac:dyDescent="0.25">
      <c r="BP846">
        <v>10776</v>
      </c>
      <c r="BQ846">
        <v>30100052</v>
      </c>
      <c r="BR846" s="15" t="s">
        <v>235</v>
      </c>
      <c r="BS846" t="s">
        <v>226</v>
      </c>
      <c r="BT846" t="s">
        <v>1677</v>
      </c>
      <c r="BU846" t="s">
        <v>681</v>
      </c>
      <c r="BV846" t="s">
        <v>1153</v>
      </c>
    </row>
    <row r="847" spans="68:74" x14ac:dyDescent="0.25">
      <c r="BQ847">
        <v>30100053</v>
      </c>
      <c r="BR847" s="15" t="s">
        <v>235</v>
      </c>
      <c r="BS847" t="s">
        <v>226</v>
      </c>
      <c r="BT847" t="s">
        <v>1677</v>
      </c>
      <c r="BU847" t="s">
        <v>682</v>
      </c>
      <c r="BV847" t="s">
        <v>1153</v>
      </c>
    </row>
    <row r="848" spans="68:74" x14ac:dyDescent="0.25">
      <c r="BQ848">
        <v>3010005303</v>
      </c>
      <c r="BR848" s="15" t="s">
        <v>235</v>
      </c>
      <c r="BS848" t="s">
        <v>226</v>
      </c>
      <c r="BT848" t="s">
        <v>1678</v>
      </c>
      <c r="BU848" t="s">
        <v>682</v>
      </c>
      <c r="BV848" t="s">
        <v>1153</v>
      </c>
    </row>
    <row r="849" spans="68:74" x14ac:dyDescent="0.25">
      <c r="BP849">
        <v>10917</v>
      </c>
      <c r="BQ849">
        <v>3010005305</v>
      </c>
      <c r="BR849" s="15" t="s">
        <v>235</v>
      </c>
      <c r="BS849" t="s">
        <v>226</v>
      </c>
      <c r="BT849" t="s">
        <v>1679</v>
      </c>
      <c r="BU849" t="s">
        <v>682</v>
      </c>
      <c r="BV849" t="s">
        <v>1153</v>
      </c>
    </row>
    <row r="850" spans="68:74" x14ac:dyDescent="0.25">
      <c r="BP850">
        <v>10921</v>
      </c>
      <c r="BQ850">
        <v>3010005308</v>
      </c>
      <c r="BR850" s="15" t="s">
        <v>235</v>
      </c>
      <c r="BS850" t="s">
        <v>226</v>
      </c>
      <c r="BT850" t="s">
        <v>1680</v>
      </c>
      <c r="BU850" t="s">
        <v>682</v>
      </c>
      <c r="BV850" t="s">
        <v>1153</v>
      </c>
    </row>
    <row r="851" spans="68:74" x14ac:dyDescent="0.25">
      <c r="BP851">
        <v>10916</v>
      </c>
      <c r="BQ851">
        <v>3010005304</v>
      </c>
      <c r="BR851" s="15" t="s">
        <v>235</v>
      </c>
      <c r="BS851" t="s">
        <v>226</v>
      </c>
      <c r="BT851" t="s">
        <v>1681</v>
      </c>
      <c r="BU851" t="s">
        <v>682</v>
      </c>
      <c r="BV851" t="s">
        <v>1153</v>
      </c>
    </row>
    <row r="852" spans="68:74" x14ac:dyDescent="0.25">
      <c r="BP852">
        <v>10927</v>
      </c>
      <c r="BQ852">
        <v>3010005311</v>
      </c>
      <c r="BR852" s="15" t="s">
        <v>235</v>
      </c>
      <c r="BS852" t="s">
        <v>226</v>
      </c>
      <c r="BT852" t="s">
        <v>1682</v>
      </c>
      <c r="BU852" t="s">
        <v>682</v>
      </c>
      <c r="BV852" t="s">
        <v>1153</v>
      </c>
    </row>
    <row r="853" spans="68:74" x14ac:dyDescent="0.25">
      <c r="BP853">
        <v>11197</v>
      </c>
      <c r="BQ853">
        <v>3010002304</v>
      </c>
      <c r="BR853" s="15" t="s">
        <v>235</v>
      </c>
      <c r="BS853" t="s">
        <v>226</v>
      </c>
      <c r="BT853" t="s">
        <v>1683</v>
      </c>
      <c r="BU853" t="s">
        <v>682</v>
      </c>
      <c r="BV853" t="s">
        <v>1149</v>
      </c>
    </row>
    <row r="854" spans="68:74" x14ac:dyDescent="0.25">
      <c r="BP854">
        <v>10907</v>
      </c>
      <c r="BQ854">
        <v>3010003302</v>
      </c>
      <c r="BR854" s="15" t="s">
        <v>235</v>
      </c>
      <c r="BS854" t="s">
        <v>226</v>
      </c>
      <c r="BT854" t="s">
        <v>1684</v>
      </c>
      <c r="BU854" t="s">
        <v>682</v>
      </c>
      <c r="BV854" t="s">
        <v>1153</v>
      </c>
    </row>
    <row r="855" spans="68:74" x14ac:dyDescent="0.25">
      <c r="BP855">
        <v>10912</v>
      </c>
      <c r="BQ855">
        <v>3010003306</v>
      </c>
      <c r="BR855" s="15" t="s">
        <v>235</v>
      </c>
      <c r="BS855" t="s">
        <v>226</v>
      </c>
      <c r="BT855" t="s">
        <v>1685</v>
      </c>
      <c r="BU855" t="s">
        <v>682</v>
      </c>
      <c r="BV855" t="s">
        <v>1153</v>
      </c>
    </row>
    <row r="856" spans="68:74" x14ac:dyDescent="0.25">
      <c r="BP856">
        <v>10913</v>
      </c>
      <c r="BQ856">
        <v>3010003307</v>
      </c>
      <c r="BR856" s="15" t="s">
        <v>235</v>
      </c>
      <c r="BS856" t="s">
        <v>226</v>
      </c>
      <c r="BT856" t="s">
        <v>1686</v>
      </c>
      <c r="BU856" t="s">
        <v>682</v>
      </c>
      <c r="BV856" t="s">
        <v>1153</v>
      </c>
    </row>
    <row r="857" spans="68:74" x14ac:dyDescent="0.25">
      <c r="BP857">
        <v>10908</v>
      </c>
      <c r="BQ857">
        <v>3010003303</v>
      </c>
      <c r="BR857" s="15" t="s">
        <v>235</v>
      </c>
      <c r="BS857" t="s">
        <v>226</v>
      </c>
      <c r="BT857" t="s">
        <v>1687</v>
      </c>
      <c r="BU857" t="s">
        <v>682</v>
      </c>
      <c r="BV857" t="s">
        <v>1153</v>
      </c>
    </row>
    <row r="858" spans="68:74" x14ac:dyDescent="0.25">
      <c r="BP858">
        <v>10775</v>
      </c>
      <c r="BQ858">
        <v>30100032</v>
      </c>
      <c r="BR858" s="15" t="s">
        <v>235</v>
      </c>
      <c r="BS858" t="s">
        <v>226</v>
      </c>
      <c r="BT858" t="s">
        <v>1688</v>
      </c>
      <c r="BU858" t="s">
        <v>681</v>
      </c>
      <c r="BV858" t="s">
        <v>1153</v>
      </c>
    </row>
    <row r="859" spans="68:74" x14ac:dyDescent="0.25">
      <c r="BQ859">
        <v>30100033</v>
      </c>
      <c r="BR859" s="15" t="s">
        <v>235</v>
      </c>
      <c r="BS859" t="s">
        <v>226</v>
      </c>
      <c r="BT859" t="s">
        <v>1688</v>
      </c>
      <c r="BU859" t="s">
        <v>682</v>
      </c>
      <c r="BV859" t="s">
        <v>680</v>
      </c>
    </row>
    <row r="860" spans="68:74" x14ac:dyDescent="0.25">
      <c r="BP860">
        <v>10910</v>
      </c>
      <c r="BQ860">
        <v>3010003304</v>
      </c>
      <c r="BR860" s="15" t="s">
        <v>235</v>
      </c>
      <c r="BS860" t="s">
        <v>226</v>
      </c>
      <c r="BT860" t="s">
        <v>1689</v>
      </c>
      <c r="BU860" t="s">
        <v>682</v>
      </c>
      <c r="BV860" t="s">
        <v>1153</v>
      </c>
    </row>
    <row r="861" spans="68:74" x14ac:dyDescent="0.25">
      <c r="BP861">
        <v>11077</v>
      </c>
      <c r="BQ861">
        <v>30100682</v>
      </c>
      <c r="BR861" s="15" t="s">
        <v>235</v>
      </c>
      <c r="BS861" t="s">
        <v>226</v>
      </c>
      <c r="BT861" t="s">
        <v>926</v>
      </c>
      <c r="BU861" t="s">
        <v>681</v>
      </c>
      <c r="BV861" t="s">
        <v>1153</v>
      </c>
    </row>
    <row r="862" spans="68:74" x14ac:dyDescent="0.25">
      <c r="BQ862">
        <v>30100042</v>
      </c>
      <c r="BR862" s="15" t="s">
        <v>235</v>
      </c>
      <c r="BS862" t="s">
        <v>226</v>
      </c>
      <c r="BT862" t="s">
        <v>1690</v>
      </c>
      <c r="BU862" t="s">
        <v>681</v>
      </c>
      <c r="BV862" t="s">
        <v>680</v>
      </c>
    </row>
    <row r="863" spans="68:74" x14ac:dyDescent="0.25">
      <c r="BP863">
        <v>11584</v>
      </c>
      <c r="BQ863">
        <v>30100392</v>
      </c>
      <c r="BR863" s="15" t="s">
        <v>235</v>
      </c>
      <c r="BS863" t="s">
        <v>226</v>
      </c>
      <c r="BT863" t="s">
        <v>1691</v>
      </c>
      <c r="BU863" t="s">
        <v>681</v>
      </c>
      <c r="BV863" t="s">
        <v>1153</v>
      </c>
    </row>
    <row r="864" spans="68:74" x14ac:dyDescent="0.25">
      <c r="BP864">
        <v>11680</v>
      </c>
      <c r="BQ864">
        <v>3010039301</v>
      </c>
      <c r="BR864" s="15" t="s">
        <v>235</v>
      </c>
      <c r="BS864" t="s">
        <v>226</v>
      </c>
      <c r="BT864" t="s">
        <v>1692</v>
      </c>
      <c r="BU864" t="s">
        <v>682</v>
      </c>
      <c r="BV864" t="s">
        <v>1153</v>
      </c>
    </row>
    <row r="865" spans="68:74" x14ac:dyDescent="0.25">
      <c r="BP865">
        <v>10929</v>
      </c>
      <c r="BQ865">
        <v>3020001301</v>
      </c>
      <c r="BR865" s="15" t="s">
        <v>236</v>
      </c>
      <c r="BS865" t="s">
        <v>227</v>
      </c>
      <c r="BT865" t="s">
        <v>1693</v>
      </c>
      <c r="BU865" t="s">
        <v>682</v>
      </c>
      <c r="BV865" t="s">
        <v>1153</v>
      </c>
    </row>
    <row r="866" spans="68:74" x14ac:dyDescent="0.25">
      <c r="BP866">
        <v>10936</v>
      </c>
      <c r="BQ866">
        <v>3020001307</v>
      </c>
      <c r="BR866" s="15" t="s">
        <v>236</v>
      </c>
      <c r="BS866" t="s">
        <v>227</v>
      </c>
      <c r="BT866" t="s">
        <v>1694</v>
      </c>
      <c r="BU866" t="s">
        <v>682</v>
      </c>
      <c r="BV866" t="s">
        <v>1153</v>
      </c>
    </row>
    <row r="867" spans="68:74" x14ac:dyDescent="0.25">
      <c r="BP867">
        <v>10938</v>
      </c>
      <c r="BQ867">
        <v>3020001308</v>
      </c>
      <c r="BR867" s="15" t="s">
        <v>236</v>
      </c>
      <c r="BS867" t="s">
        <v>227</v>
      </c>
      <c r="BT867" t="s">
        <v>1694</v>
      </c>
      <c r="BU867" t="s">
        <v>682</v>
      </c>
      <c r="BV867" t="s">
        <v>1153</v>
      </c>
    </row>
    <row r="868" spans="68:74" x14ac:dyDescent="0.25">
      <c r="BQ868">
        <v>3020001302</v>
      </c>
      <c r="BR868" s="15" t="s">
        <v>236</v>
      </c>
      <c r="BS868" t="s">
        <v>227</v>
      </c>
      <c r="BT868" t="s">
        <v>1695</v>
      </c>
      <c r="BU868" t="s">
        <v>682</v>
      </c>
      <c r="BV868" t="s">
        <v>1153</v>
      </c>
    </row>
    <row r="869" spans="68:74" x14ac:dyDescent="0.25">
      <c r="BQ869">
        <v>3020001310</v>
      </c>
      <c r="BR869" s="15" t="s">
        <v>236</v>
      </c>
      <c r="BS869" t="s">
        <v>227</v>
      </c>
      <c r="BT869" t="s">
        <v>1696</v>
      </c>
      <c r="BU869" t="s">
        <v>682</v>
      </c>
      <c r="BV869" t="s">
        <v>680</v>
      </c>
    </row>
    <row r="870" spans="68:74" x14ac:dyDescent="0.25">
      <c r="BP870">
        <v>10930</v>
      </c>
      <c r="BQ870">
        <v>3020001303</v>
      </c>
      <c r="BR870" s="15" t="s">
        <v>236</v>
      </c>
      <c r="BS870" t="s">
        <v>227</v>
      </c>
      <c r="BT870" t="s">
        <v>1697</v>
      </c>
      <c r="BU870" t="s">
        <v>682</v>
      </c>
      <c r="BV870" t="s">
        <v>1153</v>
      </c>
    </row>
    <row r="871" spans="68:74" x14ac:dyDescent="0.25">
      <c r="BQ871">
        <v>30200043</v>
      </c>
      <c r="BR871" s="15" t="s">
        <v>236</v>
      </c>
      <c r="BS871" t="s">
        <v>227</v>
      </c>
      <c r="BT871" t="s">
        <v>1698</v>
      </c>
      <c r="BU871" t="s">
        <v>682</v>
      </c>
      <c r="BV871" t="s">
        <v>680</v>
      </c>
    </row>
    <row r="872" spans="68:74" x14ac:dyDescent="0.25">
      <c r="BP872">
        <v>10944</v>
      </c>
      <c r="BQ872">
        <v>3020001313</v>
      </c>
      <c r="BR872" s="15" t="s">
        <v>236</v>
      </c>
      <c r="BS872" t="s">
        <v>227</v>
      </c>
      <c r="BT872" t="s">
        <v>1698</v>
      </c>
      <c r="BU872" t="s">
        <v>682</v>
      </c>
      <c r="BV872" t="s">
        <v>1153</v>
      </c>
    </row>
    <row r="873" spans="68:74" x14ac:dyDescent="0.25">
      <c r="BP873">
        <v>10951</v>
      </c>
      <c r="BQ873">
        <v>3020001317</v>
      </c>
      <c r="BR873" s="15" t="s">
        <v>236</v>
      </c>
      <c r="BS873" t="s">
        <v>227</v>
      </c>
      <c r="BT873" t="s">
        <v>1699</v>
      </c>
      <c r="BU873" t="s">
        <v>682</v>
      </c>
      <c r="BV873" t="s">
        <v>1153</v>
      </c>
    </row>
    <row r="874" spans="68:74" x14ac:dyDescent="0.25">
      <c r="BQ874">
        <v>30200053</v>
      </c>
      <c r="BR874" s="15" t="s">
        <v>236</v>
      </c>
      <c r="BS874" t="s">
        <v>227</v>
      </c>
      <c r="BT874" t="s">
        <v>1700</v>
      </c>
      <c r="BU874" t="s">
        <v>682</v>
      </c>
      <c r="BV874" t="s">
        <v>680</v>
      </c>
    </row>
    <row r="875" spans="68:74" x14ac:dyDescent="0.25">
      <c r="BQ875">
        <v>30200063</v>
      </c>
      <c r="BR875" s="15" t="s">
        <v>236</v>
      </c>
      <c r="BS875" t="s">
        <v>227</v>
      </c>
      <c r="BT875" t="s">
        <v>1701</v>
      </c>
      <c r="BU875" t="s">
        <v>682</v>
      </c>
      <c r="BV875" t="s">
        <v>680</v>
      </c>
    </row>
    <row r="876" spans="68:74" x14ac:dyDescent="0.25">
      <c r="BQ876">
        <v>30200073</v>
      </c>
      <c r="BR876" s="15" t="s">
        <v>236</v>
      </c>
      <c r="BS876" t="s">
        <v>227</v>
      </c>
      <c r="BT876" t="s">
        <v>1182</v>
      </c>
      <c r="BU876" t="s">
        <v>682</v>
      </c>
      <c r="BV876" t="s">
        <v>680</v>
      </c>
    </row>
    <row r="877" spans="68:74" x14ac:dyDescent="0.25">
      <c r="BP877">
        <v>10942</v>
      </c>
      <c r="BQ877">
        <v>3020001312</v>
      </c>
      <c r="BR877" s="15" t="s">
        <v>236</v>
      </c>
      <c r="BS877" t="s">
        <v>227</v>
      </c>
      <c r="BT877" t="s">
        <v>1702</v>
      </c>
      <c r="BU877" t="s">
        <v>682</v>
      </c>
      <c r="BV877" t="s">
        <v>1149</v>
      </c>
    </row>
    <row r="878" spans="68:74" x14ac:dyDescent="0.25">
      <c r="BQ878">
        <v>3020001311</v>
      </c>
      <c r="BR878" s="15" t="s">
        <v>236</v>
      </c>
      <c r="BS878" t="s">
        <v>227</v>
      </c>
      <c r="BT878" t="s">
        <v>1703</v>
      </c>
      <c r="BU878" t="s">
        <v>682</v>
      </c>
      <c r="BV878" t="s">
        <v>680</v>
      </c>
    </row>
    <row r="879" spans="68:74" x14ac:dyDescent="0.25">
      <c r="BP879">
        <v>557882</v>
      </c>
      <c r="BQ879">
        <v>30200623</v>
      </c>
      <c r="BR879" s="15" t="s">
        <v>236</v>
      </c>
      <c r="BS879" t="s">
        <v>227</v>
      </c>
      <c r="BT879" t="s">
        <v>6544</v>
      </c>
      <c r="BU879" t="s">
        <v>682</v>
      </c>
      <c r="BV879" t="s">
        <v>1149</v>
      </c>
    </row>
    <row r="880" spans="68:74" x14ac:dyDescent="0.25">
      <c r="BP880">
        <v>10945</v>
      </c>
      <c r="BQ880">
        <v>3020001314</v>
      </c>
      <c r="BR880" s="15" t="s">
        <v>236</v>
      </c>
      <c r="BS880" t="s">
        <v>227</v>
      </c>
      <c r="BT880" t="s">
        <v>1704</v>
      </c>
      <c r="BU880" t="s">
        <v>682</v>
      </c>
      <c r="BV880" t="s">
        <v>1149</v>
      </c>
    </row>
    <row r="881" spans="68:74" x14ac:dyDescent="0.25">
      <c r="BP881">
        <v>10953</v>
      </c>
      <c r="BQ881">
        <v>3020001318</v>
      </c>
      <c r="BR881" s="15" t="s">
        <v>236</v>
      </c>
      <c r="BS881" t="s">
        <v>227</v>
      </c>
      <c r="BT881" t="s">
        <v>1705</v>
      </c>
      <c r="BU881" t="s">
        <v>682</v>
      </c>
      <c r="BV881" t="s">
        <v>1153</v>
      </c>
    </row>
    <row r="882" spans="68:74" x14ac:dyDescent="0.25">
      <c r="BP882">
        <v>10931</v>
      </c>
      <c r="BQ882">
        <v>3020001304</v>
      </c>
      <c r="BR882" s="15" t="s">
        <v>236</v>
      </c>
      <c r="BS882" t="s">
        <v>227</v>
      </c>
      <c r="BT882" t="s">
        <v>1706</v>
      </c>
      <c r="BU882" t="s">
        <v>682</v>
      </c>
      <c r="BV882" t="s">
        <v>1153</v>
      </c>
    </row>
    <row r="883" spans="68:74" x14ac:dyDescent="0.25">
      <c r="BQ883">
        <v>30200082</v>
      </c>
      <c r="BR883" s="15" t="s">
        <v>236</v>
      </c>
      <c r="BS883" t="s">
        <v>227</v>
      </c>
      <c r="BT883" t="s">
        <v>1707</v>
      </c>
      <c r="BU883" t="s">
        <v>681</v>
      </c>
      <c r="BV883" t="s">
        <v>680</v>
      </c>
    </row>
    <row r="884" spans="68:74" x14ac:dyDescent="0.25">
      <c r="BP884">
        <v>10791</v>
      </c>
      <c r="BQ884">
        <v>30200012</v>
      </c>
      <c r="BR884" s="15" t="s">
        <v>236</v>
      </c>
      <c r="BS884" t="s">
        <v>227</v>
      </c>
      <c r="BT884" t="s">
        <v>227</v>
      </c>
      <c r="BU884" t="s">
        <v>681</v>
      </c>
      <c r="BV884" t="s">
        <v>1153</v>
      </c>
    </row>
    <row r="885" spans="68:74" x14ac:dyDescent="0.25">
      <c r="BQ885">
        <v>30200013</v>
      </c>
      <c r="BR885" s="15" t="s">
        <v>236</v>
      </c>
      <c r="BS885" t="s">
        <v>227</v>
      </c>
      <c r="BT885" t="s">
        <v>227</v>
      </c>
      <c r="BU885" t="s">
        <v>682</v>
      </c>
      <c r="BV885" t="s">
        <v>680</v>
      </c>
    </row>
    <row r="886" spans="68:74" x14ac:dyDescent="0.25">
      <c r="BQ886">
        <v>30200023</v>
      </c>
      <c r="BR886" s="15" t="s">
        <v>236</v>
      </c>
      <c r="BS886" t="s">
        <v>227</v>
      </c>
      <c r="BT886" t="s">
        <v>1708</v>
      </c>
      <c r="BU886" t="s">
        <v>682</v>
      </c>
      <c r="BV886" t="s">
        <v>680</v>
      </c>
    </row>
    <row r="887" spans="68:74" x14ac:dyDescent="0.25">
      <c r="BP887">
        <v>10947</v>
      </c>
      <c r="BQ887">
        <v>3020001315</v>
      </c>
      <c r="BR887" s="15" t="s">
        <v>236</v>
      </c>
      <c r="BS887" t="s">
        <v>227</v>
      </c>
      <c r="BT887" t="s">
        <v>1709</v>
      </c>
      <c r="BU887" t="s">
        <v>682</v>
      </c>
      <c r="BV887" t="s">
        <v>1153</v>
      </c>
    </row>
    <row r="888" spans="68:74" x14ac:dyDescent="0.25">
      <c r="BP888">
        <v>10949</v>
      </c>
      <c r="BQ888">
        <v>3020001316</v>
      </c>
      <c r="BR888" s="15" t="s">
        <v>236</v>
      </c>
      <c r="BS888" t="s">
        <v>227</v>
      </c>
      <c r="BT888" t="s">
        <v>1710</v>
      </c>
      <c r="BU888" t="s">
        <v>682</v>
      </c>
      <c r="BV888" t="s">
        <v>1153</v>
      </c>
    </row>
    <row r="889" spans="68:74" x14ac:dyDescent="0.25">
      <c r="BP889">
        <v>141646</v>
      </c>
      <c r="BQ889">
        <v>30200583</v>
      </c>
      <c r="BR889" s="15" t="s">
        <v>236</v>
      </c>
      <c r="BS889" t="s">
        <v>227</v>
      </c>
      <c r="BT889" t="s">
        <v>1711</v>
      </c>
      <c r="BU889" t="s">
        <v>682</v>
      </c>
      <c r="BV889" t="s">
        <v>1153</v>
      </c>
    </row>
    <row r="890" spans="68:74" x14ac:dyDescent="0.25">
      <c r="BP890">
        <v>557880</v>
      </c>
      <c r="BQ890">
        <v>30200653</v>
      </c>
      <c r="BR890" s="15" t="s">
        <v>236</v>
      </c>
      <c r="BS890" t="s">
        <v>227</v>
      </c>
      <c r="BT890" t="s">
        <v>7077</v>
      </c>
      <c r="BU890" t="s">
        <v>682</v>
      </c>
      <c r="BV890" t="s">
        <v>1153</v>
      </c>
    </row>
    <row r="891" spans="68:74" x14ac:dyDescent="0.25">
      <c r="BP891">
        <v>557881</v>
      </c>
      <c r="BQ891">
        <v>30200663</v>
      </c>
      <c r="BR891" s="15" t="s">
        <v>236</v>
      </c>
      <c r="BS891" t="s">
        <v>227</v>
      </c>
      <c r="BT891" t="s">
        <v>7081</v>
      </c>
      <c r="BU891" t="s">
        <v>682</v>
      </c>
      <c r="BV891" t="s">
        <v>1153</v>
      </c>
    </row>
    <row r="892" spans="68:74" x14ac:dyDescent="0.25">
      <c r="BQ892">
        <v>3020001305</v>
      </c>
      <c r="BR892" s="15" t="s">
        <v>236</v>
      </c>
      <c r="BS892" t="s">
        <v>227</v>
      </c>
      <c r="BT892" t="s">
        <v>1712</v>
      </c>
      <c r="BU892" t="s">
        <v>682</v>
      </c>
      <c r="BV892" t="s">
        <v>1153</v>
      </c>
    </row>
    <row r="893" spans="68:74" x14ac:dyDescent="0.25">
      <c r="BP893">
        <v>10940</v>
      </c>
      <c r="BQ893">
        <v>3020001309</v>
      </c>
      <c r="BR893" s="15" t="s">
        <v>236</v>
      </c>
      <c r="BS893" t="s">
        <v>227</v>
      </c>
      <c r="BT893" t="s">
        <v>1712</v>
      </c>
      <c r="BU893" t="s">
        <v>682</v>
      </c>
      <c r="BV893" t="s">
        <v>1153</v>
      </c>
    </row>
    <row r="894" spans="68:74" x14ac:dyDescent="0.25">
      <c r="BQ894">
        <v>30200033</v>
      </c>
      <c r="BR894" s="15" t="s">
        <v>236</v>
      </c>
      <c r="BS894" t="s">
        <v>227</v>
      </c>
      <c r="BT894" t="s">
        <v>1713</v>
      </c>
      <c r="BU894" t="s">
        <v>682</v>
      </c>
      <c r="BV894" t="s">
        <v>680</v>
      </c>
    </row>
    <row r="895" spans="68:74" x14ac:dyDescent="0.25">
      <c r="BP895">
        <v>10934</v>
      </c>
      <c r="BQ895">
        <v>3020001306</v>
      </c>
      <c r="BR895" s="15" t="s">
        <v>236</v>
      </c>
      <c r="BS895" t="s">
        <v>227</v>
      </c>
      <c r="BT895" t="s">
        <v>1714</v>
      </c>
      <c r="BU895" t="s">
        <v>682</v>
      </c>
      <c r="BV895" t="s">
        <v>1149</v>
      </c>
    </row>
    <row r="896" spans="68:74" x14ac:dyDescent="0.25">
      <c r="BP896">
        <v>10932</v>
      </c>
      <c r="BQ896">
        <v>3020001306</v>
      </c>
      <c r="BR896" s="15" t="s">
        <v>236</v>
      </c>
      <c r="BS896" t="s">
        <v>227</v>
      </c>
      <c r="BT896" t="s">
        <v>1714</v>
      </c>
      <c r="BU896" t="s">
        <v>682</v>
      </c>
      <c r="BV896" t="s">
        <v>1153</v>
      </c>
    </row>
    <row r="897" spans="68:74" x14ac:dyDescent="0.25">
      <c r="BP897">
        <v>569738</v>
      </c>
      <c r="BQ897">
        <v>30200643</v>
      </c>
      <c r="BR897" s="15" t="s">
        <v>236</v>
      </c>
      <c r="BS897" t="s">
        <v>227</v>
      </c>
      <c r="BT897" t="s">
        <v>7335</v>
      </c>
      <c r="BU897" t="s">
        <v>682</v>
      </c>
      <c r="BV897" t="s">
        <v>1149</v>
      </c>
    </row>
    <row r="898" spans="68:74" x14ac:dyDescent="0.25">
      <c r="BP898">
        <v>557879</v>
      </c>
      <c r="BQ898">
        <v>30200643</v>
      </c>
      <c r="BR898" s="15" t="s">
        <v>236</v>
      </c>
      <c r="BS898" t="s">
        <v>227</v>
      </c>
      <c r="BT898" t="s">
        <v>7335</v>
      </c>
      <c r="BU898" t="s">
        <v>682</v>
      </c>
      <c r="BV898" t="s">
        <v>1153</v>
      </c>
    </row>
    <row r="899" spans="68:74" x14ac:dyDescent="0.25">
      <c r="BP899">
        <v>557878</v>
      </c>
      <c r="BQ899">
        <v>30200633</v>
      </c>
      <c r="BR899" s="15" t="s">
        <v>236</v>
      </c>
      <c r="BS899" t="s">
        <v>227</v>
      </c>
      <c r="BT899" t="s">
        <v>7342</v>
      </c>
      <c r="BU899" t="s">
        <v>682</v>
      </c>
      <c r="BV899" t="s">
        <v>1153</v>
      </c>
    </row>
    <row r="900" spans="68:74" x14ac:dyDescent="0.25">
      <c r="BQ900">
        <v>3030005308</v>
      </c>
      <c r="BR900" s="15" t="s">
        <v>237</v>
      </c>
      <c r="BS900" t="s">
        <v>228</v>
      </c>
      <c r="BT900" t="s">
        <v>1715</v>
      </c>
      <c r="BU900" t="s">
        <v>682</v>
      </c>
      <c r="BV900" t="s">
        <v>680</v>
      </c>
    </row>
    <row r="901" spans="68:74" x14ac:dyDescent="0.25">
      <c r="BQ901">
        <v>30300083</v>
      </c>
      <c r="BR901" s="15" t="s">
        <v>237</v>
      </c>
      <c r="BS901" t="s">
        <v>228</v>
      </c>
      <c r="BT901" t="s">
        <v>1716</v>
      </c>
      <c r="BU901" t="s">
        <v>682</v>
      </c>
      <c r="BV901" t="s">
        <v>680</v>
      </c>
    </row>
    <row r="902" spans="68:74" x14ac:dyDescent="0.25">
      <c r="BQ902">
        <v>30300093</v>
      </c>
      <c r="BR902" s="15" t="s">
        <v>237</v>
      </c>
      <c r="BS902" t="s">
        <v>228</v>
      </c>
      <c r="BT902" t="s">
        <v>1717</v>
      </c>
      <c r="BU902" t="s">
        <v>682</v>
      </c>
      <c r="BV902" t="s">
        <v>680</v>
      </c>
    </row>
    <row r="903" spans="68:74" x14ac:dyDescent="0.25">
      <c r="BP903">
        <v>10976</v>
      </c>
      <c r="BQ903">
        <v>3030003306</v>
      </c>
      <c r="BR903" s="15" t="s">
        <v>237</v>
      </c>
      <c r="BS903" t="s">
        <v>228</v>
      </c>
      <c r="BT903" t="s">
        <v>1718</v>
      </c>
      <c r="BU903" t="s">
        <v>682</v>
      </c>
      <c r="BV903" t="s">
        <v>1153</v>
      </c>
    </row>
    <row r="904" spans="68:74" x14ac:dyDescent="0.25">
      <c r="BP904">
        <v>10982</v>
      </c>
      <c r="BQ904">
        <v>3030003310</v>
      </c>
      <c r="BR904" s="15" t="s">
        <v>237</v>
      </c>
      <c r="BS904" t="s">
        <v>228</v>
      </c>
      <c r="BT904" t="s">
        <v>1719</v>
      </c>
      <c r="BU904" t="s">
        <v>682</v>
      </c>
      <c r="BV904" t="s">
        <v>1153</v>
      </c>
    </row>
    <row r="905" spans="68:74" x14ac:dyDescent="0.25">
      <c r="BP905">
        <v>11686</v>
      </c>
      <c r="BQ905">
        <v>3030026302</v>
      </c>
      <c r="BR905" s="15" t="s">
        <v>237</v>
      </c>
      <c r="BS905" t="s">
        <v>228</v>
      </c>
      <c r="BT905" t="s">
        <v>1720</v>
      </c>
      <c r="BU905" t="s">
        <v>682</v>
      </c>
      <c r="BV905" t="s">
        <v>1153</v>
      </c>
    </row>
    <row r="906" spans="68:74" x14ac:dyDescent="0.25">
      <c r="BP906">
        <v>10838</v>
      </c>
      <c r="BQ906">
        <v>30300032</v>
      </c>
      <c r="BR906" s="15" t="s">
        <v>237</v>
      </c>
      <c r="BS906" t="s">
        <v>228</v>
      </c>
      <c r="BT906" t="s">
        <v>1655</v>
      </c>
      <c r="BU906" t="s">
        <v>681</v>
      </c>
      <c r="BV906" t="s">
        <v>1153</v>
      </c>
    </row>
    <row r="907" spans="68:74" x14ac:dyDescent="0.25">
      <c r="BQ907">
        <v>30300063</v>
      </c>
      <c r="BR907" s="15" t="s">
        <v>237</v>
      </c>
      <c r="BS907" t="s">
        <v>228</v>
      </c>
      <c r="BT907" t="s">
        <v>1721</v>
      </c>
      <c r="BU907" t="s">
        <v>682</v>
      </c>
      <c r="BV907" t="s">
        <v>680</v>
      </c>
    </row>
    <row r="908" spans="68:74" x14ac:dyDescent="0.25">
      <c r="BP908">
        <v>10972</v>
      </c>
      <c r="BQ908">
        <v>3030003301</v>
      </c>
      <c r="BR908" s="15" t="s">
        <v>237</v>
      </c>
      <c r="BS908" t="s">
        <v>228</v>
      </c>
      <c r="BT908" t="s">
        <v>1656</v>
      </c>
      <c r="BU908" t="s">
        <v>682</v>
      </c>
      <c r="BV908" t="s">
        <v>1149</v>
      </c>
    </row>
    <row r="909" spans="68:74" x14ac:dyDescent="0.25">
      <c r="BQ909">
        <v>3030003305</v>
      </c>
      <c r="BR909" s="15" t="s">
        <v>237</v>
      </c>
      <c r="BS909" t="s">
        <v>228</v>
      </c>
      <c r="BT909" t="s">
        <v>1722</v>
      </c>
      <c r="BU909" t="s">
        <v>682</v>
      </c>
      <c r="BV909" t="s">
        <v>1153</v>
      </c>
    </row>
    <row r="910" spans="68:74" x14ac:dyDescent="0.25">
      <c r="BP910">
        <v>10973</v>
      </c>
      <c r="BQ910">
        <v>3030003302</v>
      </c>
      <c r="BR910" s="15" t="s">
        <v>237</v>
      </c>
      <c r="BS910" t="s">
        <v>228</v>
      </c>
      <c r="BT910" t="s">
        <v>1723</v>
      </c>
      <c r="BU910" t="s">
        <v>682</v>
      </c>
      <c r="BV910" t="s">
        <v>1153</v>
      </c>
    </row>
    <row r="911" spans="68:74" x14ac:dyDescent="0.25">
      <c r="BP911">
        <v>10977</v>
      </c>
      <c r="BQ911">
        <v>3030003307</v>
      </c>
      <c r="BR911" s="15" t="s">
        <v>237</v>
      </c>
      <c r="BS911" t="s">
        <v>228</v>
      </c>
      <c r="BT911" t="s">
        <v>1724</v>
      </c>
      <c r="BU911" t="s">
        <v>682</v>
      </c>
      <c r="BV911" t="s">
        <v>1153</v>
      </c>
    </row>
    <row r="912" spans="68:74" x14ac:dyDescent="0.25">
      <c r="BP912">
        <v>10980</v>
      </c>
      <c r="BQ912">
        <v>3030003309</v>
      </c>
      <c r="BR912" s="15" t="s">
        <v>237</v>
      </c>
      <c r="BS912" t="s">
        <v>228</v>
      </c>
      <c r="BT912" t="s">
        <v>1725</v>
      </c>
      <c r="BU912" t="s">
        <v>682</v>
      </c>
      <c r="BV912" t="s">
        <v>1153</v>
      </c>
    </row>
    <row r="913" spans="68:74" x14ac:dyDescent="0.25">
      <c r="BQ913">
        <v>3030005301</v>
      </c>
      <c r="BR913" s="15" t="s">
        <v>237</v>
      </c>
      <c r="BS913" t="s">
        <v>228</v>
      </c>
      <c r="BT913" t="s">
        <v>1726</v>
      </c>
      <c r="BU913" t="s">
        <v>682</v>
      </c>
      <c r="BV913" t="s">
        <v>680</v>
      </c>
    </row>
    <row r="914" spans="68:74" x14ac:dyDescent="0.25">
      <c r="BP914">
        <v>10974</v>
      </c>
      <c r="BQ914">
        <v>3030003303</v>
      </c>
      <c r="BR914" s="15" t="s">
        <v>237</v>
      </c>
      <c r="BS914" t="s">
        <v>228</v>
      </c>
      <c r="BT914" t="s">
        <v>1727</v>
      </c>
      <c r="BU914" t="s">
        <v>682</v>
      </c>
      <c r="BV914" t="s">
        <v>1153</v>
      </c>
    </row>
    <row r="915" spans="68:74" x14ac:dyDescent="0.25">
      <c r="BP915">
        <v>12547</v>
      </c>
      <c r="BQ915">
        <v>3030010302</v>
      </c>
      <c r="BR915" s="15" t="s">
        <v>237</v>
      </c>
      <c r="BS915" t="s">
        <v>228</v>
      </c>
      <c r="BT915" t="s">
        <v>1728</v>
      </c>
      <c r="BU915" t="s">
        <v>682</v>
      </c>
      <c r="BV915" t="s">
        <v>1153</v>
      </c>
    </row>
    <row r="916" spans="68:74" x14ac:dyDescent="0.25">
      <c r="BP916">
        <v>12546</v>
      </c>
      <c r="BQ916">
        <v>3030010301</v>
      </c>
      <c r="BR916" s="15" t="s">
        <v>237</v>
      </c>
      <c r="BS916" t="s">
        <v>228</v>
      </c>
      <c r="BT916" t="s">
        <v>1729</v>
      </c>
      <c r="BU916" t="s">
        <v>682</v>
      </c>
      <c r="BV916" t="s">
        <v>1153</v>
      </c>
    </row>
    <row r="917" spans="68:74" x14ac:dyDescent="0.25">
      <c r="BP917">
        <v>10975</v>
      </c>
      <c r="BQ917">
        <v>3030003304</v>
      </c>
      <c r="BR917" s="15" t="s">
        <v>237</v>
      </c>
      <c r="BS917" t="s">
        <v>228</v>
      </c>
      <c r="BT917" t="s">
        <v>1730</v>
      </c>
      <c r="BU917" t="s">
        <v>682</v>
      </c>
      <c r="BV917" t="s">
        <v>1153</v>
      </c>
    </row>
    <row r="918" spans="68:74" x14ac:dyDescent="0.25">
      <c r="BP918">
        <v>10978</v>
      </c>
      <c r="BQ918">
        <v>3030003308</v>
      </c>
      <c r="BR918" s="15" t="s">
        <v>237</v>
      </c>
      <c r="BS918" t="s">
        <v>228</v>
      </c>
      <c r="BT918" t="s">
        <v>1730</v>
      </c>
      <c r="BU918" t="s">
        <v>682</v>
      </c>
      <c r="BV918" t="s">
        <v>1153</v>
      </c>
    </row>
    <row r="919" spans="68:74" x14ac:dyDescent="0.25">
      <c r="BP919">
        <v>10984</v>
      </c>
      <c r="BQ919">
        <v>3030003311</v>
      </c>
      <c r="BR919" s="15" t="s">
        <v>237</v>
      </c>
      <c r="BS919" t="s">
        <v>228</v>
      </c>
      <c r="BT919" t="s">
        <v>1731</v>
      </c>
      <c r="BU919" t="s">
        <v>682</v>
      </c>
      <c r="BV919" t="s">
        <v>1153</v>
      </c>
    </row>
    <row r="920" spans="68:74" x14ac:dyDescent="0.25">
      <c r="BP920">
        <v>11585</v>
      </c>
      <c r="BQ920">
        <v>30300262</v>
      </c>
      <c r="BR920" s="15" t="s">
        <v>237</v>
      </c>
      <c r="BS920" t="s">
        <v>228</v>
      </c>
      <c r="BT920" t="s">
        <v>1373</v>
      </c>
      <c r="BU920" t="s">
        <v>681</v>
      </c>
      <c r="BV920" t="s">
        <v>1153</v>
      </c>
    </row>
    <row r="921" spans="68:74" x14ac:dyDescent="0.25">
      <c r="BP921">
        <v>143521</v>
      </c>
      <c r="BQ921">
        <v>30300683</v>
      </c>
      <c r="BR921" s="15" t="s">
        <v>237</v>
      </c>
      <c r="BS921" t="s">
        <v>228</v>
      </c>
      <c r="BT921" t="s">
        <v>1732</v>
      </c>
      <c r="BU921" t="s">
        <v>682</v>
      </c>
      <c r="BV921" t="s">
        <v>1153</v>
      </c>
    </row>
    <row r="922" spans="68:74" x14ac:dyDescent="0.25">
      <c r="BP922">
        <v>11684</v>
      </c>
      <c r="BQ922">
        <v>3030026301</v>
      </c>
      <c r="BR922" s="15" t="s">
        <v>237</v>
      </c>
      <c r="BS922" t="s">
        <v>228</v>
      </c>
      <c r="BT922" t="s">
        <v>1733</v>
      </c>
      <c r="BU922" t="s">
        <v>682</v>
      </c>
      <c r="BV922" t="s">
        <v>1149</v>
      </c>
    </row>
    <row r="923" spans="68:74" x14ac:dyDescent="0.25">
      <c r="BP923">
        <v>11681</v>
      </c>
      <c r="BQ923">
        <v>3030026301</v>
      </c>
      <c r="BR923" s="15" t="s">
        <v>237</v>
      </c>
      <c r="BS923" t="s">
        <v>228</v>
      </c>
      <c r="BT923" t="s">
        <v>1733</v>
      </c>
      <c r="BU923" t="s">
        <v>682</v>
      </c>
      <c r="BV923" t="s">
        <v>1153</v>
      </c>
    </row>
    <row r="924" spans="68:74" x14ac:dyDescent="0.25">
      <c r="BP924">
        <v>258840</v>
      </c>
      <c r="BQ924">
        <v>30300733</v>
      </c>
      <c r="BR924" s="15" t="s">
        <v>237</v>
      </c>
      <c r="BS924" t="s">
        <v>228</v>
      </c>
      <c r="BT924" t="s">
        <v>1734</v>
      </c>
      <c r="BU924" t="s">
        <v>682</v>
      </c>
      <c r="BV924" t="s">
        <v>1153</v>
      </c>
    </row>
    <row r="925" spans="68:74" x14ac:dyDescent="0.25">
      <c r="BP925">
        <v>12550</v>
      </c>
      <c r="BQ925">
        <v>3030010304</v>
      </c>
      <c r="BR925" s="15" t="s">
        <v>237</v>
      </c>
      <c r="BS925" t="s">
        <v>228</v>
      </c>
      <c r="BT925" t="s">
        <v>1735</v>
      </c>
      <c r="BU925" t="s">
        <v>682</v>
      </c>
      <c r="BV925" t="s">
        <v>1153</v>
      </c>
    </row>
    <row r="926" spans="68:74" x14ac:dyDescent="0.25">
      <c r="BP926">
        <v>12548</v>
      </c>
      <c r="BQ926">
        <v>3030010303</v>
      </c>
      <c r="BR926" s="15" t="s">
        <v>237</v>
      </c>
      <c r="BS926" t="s">
        <v>228</v>
      </c>
      <c r="BT926" t="s">
        <v>1736</v>
      </c>
      <c r="BU926" t="s">
        <v>682</v>
      </c>
      <c r="BV926" t="s">
        <v>1153</v>
      </c>
    </row>
    <row r="927" spans="68:74" x14ac:dyDescent="0.25">
      <c r="BP927">
        <v>564883</v>
      </c>
      <c r="BQ927">
        <v>30300773</v>
      </c>
      <c r="BR927" s="15" t="s">
        <v>237</v>
      </c>
      <c r="BS927" t="s">
        <v>228</v>
      </c>
      <c r="BT927" t="s">
        <v>6176</v>
      </c>
      <c r="BU927" t="s">
        <v>682</v>
      </c>
      <c r="BV927" t="s">
        <v>1153</v>
      </c>
    </row>
    <row r="928" spans="68:74" x14ac:dyDescent="0.25">
      <c r="BP928">
        <v>12556</v>
      </c>
      <c r="BQ928">
        <v>3030010307</v>
      </c>
      <c r="BR928" s="15" t="s">
        <v>237</v>
      </c>
      <c r="BS928" t="s">
        <v>228</v>
      </c>
      <c r="BT928" t="s">
        <v>1737</v>
      </c>
      <c r="BU928" t="s">
        <v>682</v>
      </c>
      <c r="BV928" t="s">
        <v>1153</v>
      </c>
    </row>
    <row r="929" spans="68:74" x14ac:dyDescent="0.25">
      <c r="BP929">
        <v>12557</v>
      </c>
      <c r="BQ929">
        <v>3030010308</v>
      </c>
      <c r="BR929" s="15" t="s">
        <v>237</v>
      </c>
      <c r="BS929" t="s">
        <v>228</v>
      </c>
      <c r="BT929" t="s">
        <v>1738</v>
      </c>
      <c r="BU929" t="s">
        <v>682</v>
      </c>
      <c r="BV929" t="s">
        <v>1153</v>
      </c>
    </row>
    <row r="930" spans="68:74" x14ac:dyDescent="0.25">
      <c r="BP930">
        <v>12552</v>
      </c>
      <c r="BQ930">
        <v>3030010305</v>
      </c>
      <c r="BR930" s="15" t="s">
        <v>237</v>
      </c>
      <c r="BS930" t="s">
        <v>228</v>
      </c>
      <c r="BT930" t="s">
        <v>1739</v>
      </c>
      <c r="BU930" t="s">
        <v>682</v>
      </c>
      <c r="BV930" t="s">
        <v>1153</v>
      </c>
    </row>
    <row r="931" spans="68:74" x14ac:dyDescent="0.25">
      <c r="BP931">
        <v>12554</v>
      </c>
      <c r="BQ931">
        <v>3030010306</v>
      </c>
      <c r="BR931" s="15" t="s">
        <v>237</v>
      </c>
      <c r="BS931" t="s">
        <v>228</v>
      </c>
      <c r="BT931" t="s">
        <v>1740</v>
      </c>
      <c r="BU931" t="s">
        <v>682</v>
      </c>
      <c r="BV931" t="s">
        <v>1153</v>
      </c>
    </row>
    <row r="932" spans="68:74" x14ac:dyDescent="0.25">
      <c r="BP932">
        <v>12475</v>
      </c>
      <c r="BQ932">
        <v>30300102</v>
      </c>
      <c r="BR932" s="15" t="s">
        <v>237</v>
      </c>
      <c r="BS932" t="s">
        <v>228</v>
      </c>
      <c r="BT932" t="s">
        <v>1741</v>
      </c>
      <c r="BU932" t="s">
        <v>681</v>
      </c>
      <c r="BV932" t="s">
        <v>1153</v>
      </c>
    </row>
    <row r="933" spans="68:74" x14ac:dyDescent="0.25">
      <c r="BP933">
        <v>12477</v>
      </c>
      <c r="BQ933">
        <v>30300103</v>
      </c>
      <c r="BR933" s="15" t="s">
        <v>237</v>
      </c>
      <c r="BS933" t="s">
        <v>228</v>
      </c>
      <c r="BT933" t="s">
        <v>1742</v>
      </c>
      <c r="BU933" t="s">
        <v>682</v>
      </c>
      <c r="BV933" t="s">
        <v>1153</v>
      </c>
    </row>
    <row r="934" spans="68:74" x14ac:dyDescent="0.25">
      <c r="BP934">
        <v>10957</v>
      </c>
      <c r="BQ934">
        <v>3030001301</v>
      </c>
      <c r="BR934" s="15" t="s">
        <v>237</v>
      </c>
      <c r="BS934" t="s">
        <v>228</v>
      </c>
      <c r="BT934" t="s">
        <v>1743</v>
      </c>
      <c r="BU934" t="s">
        <v>682</v>
      </c>
      <c r="BV934" t="s">
        <v>1149</v>
      </c>
    </row>
    <row r="935" spans="68:74" x14ac:dyDescent="0.25">
      <c r="BP935">
        <v>10955</v>
      </c>
      <c r="BQ935">
        <v>3030001301</v>
      </c>
      <c r="BR935" s="15" t="s">
        <v>237</v>
      </c>
      <c r="BS935" t="s">
        <v>228</v>
      </c>
      <c r="BT935" t="s">
        <v>1743</v>
      </c>
      <c r="BU935" t="s">
        <v>682</v>
      </c>
      <c r="BV935" t="s">
        <v>1153</v>
      </c>
    </row>
    <row r="936" spans="68:74" x14ac:dyDescent="0.25">
      <c r="BP936">
        <v>10959</v>
      </c>
      <c r="BQ936">
        <v>3030001302</v>
      </c>
      <c r="BR936" s="15" t="s">
        <v>237</v>
      </c>
      <c r="BS936" t="s">
        <v>228</v>
      </c>
      <c r="BT936" t="s">
        <v>1743</v>
      </c>
      <c r="BU936" t="s">
        <v>682</v>
      </c>
      <c r="BV936" t="s">
        <v>1153</v>
      </c>
    </row>
    <row r="937" spans="68:74" x14ac:dyDescent="0.25">
      <c r="BP937">
        <v>10961</v>
      </c>
      <c r="BQ937">
        <v>3030001302</v>
      </c>
      <c r="BR937" s="15" t="s">
        <v>237</v>
      </c>
      <c r="BS937" t="s">
        <v>228</v>
      </c>
      <c r="BT937" t="s">
        <v>1743</v>
      </c>
      <c r="BU937" t="s">
        <v>682</v>
      </c>
      <c r="BV937" t="s">
        <v>1149</v>
      </c>
    </row>
    <row r="938" spans="68:74" x14ac:dyDescent="0.25">
      <c r="BQ938">
        <v>3030001310</v>
      </c>
      <c r="BR938" s="15" t="s">
        <v>237</v>
      </c>
      <c r="BS938" t="s">
        <v>228</v>
      </c>
      <c r="BT938" t="s">
        <v>1744</v>
      </c>
      <c r="BU938" t="s">
        <v>682</v>
      </c>
      <c r="BV938" t="s">
        <v>680</v>
      </c>
    </row>
    <row r="939" spans="68:74" x14ac:dyDescent="0.25">
      <c r="BP939">
        <v>10986</v>
      </c>
      <c r="BQ939">
        <v>3030003312</v>
      </c>
      <c r="BR939" s="15" t="s">
        <v>237</v>
      </c>
      <c r="BS939" t="s">
        <v>228</v>
      </c>
      <c r="BT939" t="s">
        <v>1745</v>
      </c>
      <c r="BU939" t="s">
        <v>682</v>
      </c>
      <c r="BV939" t="s">
        <v>1153</v>
      </c>
    </row>
    <row r="940" spans="68:74" x14ac:dyDescent="0.25">
      <c r="BQ940">
        <v>30300112</v>
      </c>
      <c r="BR940" s="15" t="s">
        <v>237</v>
      </c>
      <c r="BS940" t="s">
        <v>228</v>
      </c>
      <c r="BT940" t="s">
        <v>1746</v>
      </c>
      <c r="BU940" t="s">
        <v>681</v>
      </c>
      <c r="BV940" t="s">
        <v>680</v>
      </c>
    </row>
    <row r="941" spans="68:74" x14ac:dyDescent="0.25">
      <c r="BQ941">
        <v>30300122</v>
      </c>
      <c r="BR941" s="15" t="s">
        <v>237</v>
      </c>
      <c r="BS941" t="s">
        <v>228</v>
      </c>
      <c r="BT941" t="s">
        <v>1747</v>
      </c>
      <c r="BU941" t="s">
        <v>681</v>
      </c>
      <c r="BV941" t="s">
        <v>680</v>
      </c>
    </row>
    <row r="942" spans="68:74" x14ac:dyDescent="0.25">
      <c r="BQ942">
        <v>3030001308</v>
      </c>
      <c r="BR942" s="15" t="s">
        <v>237</v>
      </c>
      <c r="BS942" t="s">
        <v>228</v>
      </c>
      <c r="BT942" t="s">
        <v>1748</v>
      </c>
      <c r="BU942" t="s">
        <v>682</v>
      </c>
      <c r="BV942" t="s">
        <v>1153</v>
      </c>
    </row>
    <row r="943" spans="68:74" x14ac:dyDescent="0.25">
      <c r="BQ943">
        <v>3030001303</v>
      </c>
      <c r="BR943" s="15" t="s">
        <v>237</v>
      </c>
      <c r="BS943" t="s">
        <v>228</v>
      </c>
      <c r="BT943" t="s">
        <v>1749</v>
      </c>
      <c r="BU943" t="s">
        <v>682</v>
      </c>
      <c r="BV943" t="s">
        <v>1149</v>
      </c>
    </row>
    <row r="944" spans="68:74" x14ac:dyDescent="0.25">
      <c r="BQ944">
        <v>30300073</v>
      </c>
      <c r="BR944" s="15" t="s">
        <v>237</v>
      </c>
      <c r="BS944" t="s">
        <v>228</v>
      </c>
      <c r="BT944" t="s">
        <v>1750</v>
      </c>
      <c r="BU944" t="s">
        <v>682</v>
      </c>
      <c r="BV944" t="s">
        <v>680</v>
      </c>
    </row>
    <row r="945" spans="68:74" x14ac:dyDescent="0.25">
      <c r="BP945">
        <v>10963</v>
      </c>
      <c r="BQ945">
        <v>3030001304</v>
      </c>
      <c r="BR945" s="15" t="s">
        <v>237</v>
      </c>
      <c r="BS945" t="s">
        <v>228</v>
      </c>
      <c r="BT945" t="s">
        <v>1750</v>
      </c>
      <c r="BU945" t="s">
        <v>682</v>
      </c>
      <c r="BV945" t="s">
        <v>1153</v>
      </c>
    </row>
    <row r="946" spans="68:74" x14ac:dyDescent="0.25">
      <c r="BP946">
        <v>10965</v>
      </c>
      <c r="BQ946">
        <v>3030001304</v>
      </c>
      <c r="BR946" s="15" t="s">
        <v>237</v>
      </c>
      <c r="BS946" t="s">
        <v>228</v>
      </c>
      <c r="BT946" t="s">
        <v>1750</v>
      </c>
      <c r="BU946" t="s">
        <v>682</v>
      </c>
      <c r="BV946" t="s">
        <v>1149</v>
      </c>
    </row>
    <row r="947" spans="68:74" x14ac:dyDescent="0.25">
      <c r="BP947">
        <v>10968</v>
      </c>
      <c r="BQ947">
        <v>3030001305</v>
      </c>
      <c r="BR947" s="15" t="s">
        <v>237</v>
      </c>
      <c r="BS947" t="s">
        <v>228</v>
      </c>
      <c r="BT947" t="s">
        <v>1750</v>
      </c>
      <c r="BU947" t="s">
        <v>682</v>
      </c>
      <c r="BV947" t="s">
        <v>1149</v>
      </c>
    </row>
    <row r="948" spans="68:74" x14ac:dyDescent="0.25">
      <c r="BP948">
        <v>10966</v>
      </c>
      <c r="BQ948">
        <v>3030001305</v>
      </c>
      <c r="BR948" s="15" t="s">
        <v>237</v>
      </c>
      <c r="BS948" t="s">
        <v>228</v>
      </c>
      <c r="BT948" t="s">
        <v>1750</v>
      </c>
      <c r="BU948" t="s">
        <v>682</v>
      </c>
      <c r="BV948" t="s">
        <v>1153</v>
      </c>
    </row>
    <row r="949" spans="68:74" x14ac:dyDescent="0.25">
      <c r="BP949">
        <v>283998</v>
      </c>
      <c r="BQ949">
        <v>30300753</v>
      </c>
      <c r="BR949" s="15" t="s">
        <v>237</v>
      </c>
      <c r="BS949" t="s">
        <v>228</v>
      </c>
      <c r="BT949" t="s">
        <v>1751</v>
      </c>
      <c r="BU949" t="s">
        <v>682</v>
      </c>
      <c r="BV949" t="s">
        <v>1153</v>
      </c>
    </row>
    <row r="950" spans="68:74" x14ac:dyDescent="0.25">
      <c r="BQ950">
        <v>30300132</v>
      </c>
      <c r="BR950" s="15" t="s">
        <v>237</v>
      </c>
      <c r="BS950" t="s">
        <v>228</v>
      </c>
      <c r="BT950" t="s">
        <v>228</v>
      </c>
      <c r="BU950" t="s">
        <v>681</v>
      </c>
      <c r="BV950" t="s">
        <v>680</v>
      </c>
    </row>
    <row r="951" spans="68:74" x14ac:dyDescent="0.25">
      <c r="BQ951">
        <v>30300142</v>
      </c>
      <c r="BR951" s="15" t="s">
        <v>237</v>
      </c>
      <c r="BS951" t="s">
        <v>228</v>
      </c>
      <c r="BT951" t="s">
        <v>1752</v>
      </c>
      <c r="BU951" t="s">
        <v>681</v>
      </c>
      <c r="BV951" t="s">
        <v>680</v>
      </c>
    </row>
    <row r="952" spans="68:74" x14ac:dyDescent="0.25">
      <c r="BP952">
        <v>10971</v>
      </c>
      <c r="BQ952">
        <v>3030001312</v>
      </c>
      <c r="BR952" s="15" t="s">
        <v>237</v>
      </c>
      <c r="BS952" t="s">
        <v>228</v>
      </c>
      <c r="BT952" t="s">
        <v>1753</v>
      </c>
      <c r="BU952" t="s">
        <v>682</v>
      </c>
      <c r="BV952" t="s">
        <v>1167</v>
      </c>
    </row>
    <row r="953" spans="68:74" x14ac:dyDescent="0.25">
      <c r="BQ953">
        <v>3030001307</v>
      </c>
      <c r="BR953" s="15" t="s">
        <v>237</v>
      </c>
      <c r="BS953" t="s">
        <v>228</v>
      </c>
      <c r="BT953" t="s">
        <v>1754</v>
      </c>
      <c r="BU953" t="s">
        <v>682</v>
      </c>
      <c r="BV953" t="s">
        <v>1149</v>
      </c>
    </row>
    <row r="954" spans="68:74" x14ac:dyDescent="0.25">
      <c r="BP954">
        <v>10969</v>
      </c>
      <c r="BQ954">
        <v>3030001311</v>
      </c>
      <c r="BR954" s="15" t="s">
        <v>237</v>
      </c>
      <c r="BS954" t="s">
        <v>228</v>
      </c>
      <c r="BT954" t="s">
        <v>1755</v>
      </c>
      <c r="BU954" t="s">
        <v>682</v>
      </c>
      <c r="BV954" t="s">
        <v>1153</v>
      </c>
    </row>
    <row r="955" spans="68:74" x14ac:dyDescent="0.25">
      <c r="BP955">
        <v>10847</v>
      </c>
      <c r="BQ955">
        <v>30300563</v>
      </c>
      <c r="BR955" s="15" t="s">
        <v>237</v>
      </c>
      <c r="BS955" t="s">
        <v>228</v>
      </c>
      <c r="BT955" t="s">
        <v>1756</v>
      </c>
      <c r="BU955" t="s">
        <v>682</v>
      </c>
      <c r="BV955" t="s">
        <v>1153</v>
      </c>
    </row>
    <row r="956" spans="68:74" x14ac:dyDescent="0.25">
      <c r="BP956">
        <v>10831</v>
      </c>
      <c r="BQ956">
        <v>30300012</v>
      </c>
      <c r="BR956" s="15" t="s">
        <v>237</v>
      </c>
      <c r="BS956" t="s">
        <v>228</v>
      </c>
      <c r="BT956" t="s">
        <v>1757</v>
      </c>
      <c r="BU956" t="s">
        <v>681</v>
      </c>
      <c r="BV956" t="s">
        <v>1153</v>
      </c>
    </row>
    <row r="957" spans="68:74" x14ac:dyDescent="0.25">
      <c r="BQ957">
        <v>30300013</v>
      </c>
      <c r="BR957" s="15" t="s">
        <v>237</v>
      </c>
      <c r="BS957" t="s">
        <v>228</v>
      </c>
      <c r="BT957" t="s">
        <v>1757</v>
      </c>
      <c r="BU957" t="s">
        <v>682</v>
      </c>
      <c r="BV957" t="s">
        <v>680</v>
      </c>
    </row>
    <row r="958" spans="68:74" x14ac:dyDescent="0.25">
      <c r="BQ958">
        <v>3030001306</v>
      </c>
      <c r="BR958" s="15" t="s">
        <v>237</v>
      </c>
      <c r="BS958" t="s">
        <v>228</v>
      </c>
      <c r="BT958" t="s">
        <v>1757</v>
      </c>
      <c r="BU958" t="s">
        <v>682</v>
      </c>
      <c r="BV958" t="s">
        <v>1149</v>
      </c>
    </row>
    <row r="959" spans="68:74" x14ac:dyDescent="0.25">
      <c r="BQ959">
        <v>3030001306</v>
      </c>
      <c r="BR959" s="15" t="s">
        <v>237</v>
      </c>
      <c r="BS959" t="s">
        <v>228</v>
      </c>
      <c r="BT959" t="s">
        <v>1757</v>
      </c>
      <c r="BU959" t="s">
        <v>682</v>
      </c>
      <c r="BV959" t="s">
        <v>1153</v>
      </c>
    </row>
    <row r="960" spans="68:74" x14ac:dyDescent="0.25">
      <c r="BQ960">
        <v>3030001309</v>
      </c>
      <c r="BR960" s="15" t="s">
        <v>237</v>
      </c>
      <c r="BS960" t="s">
        <v>228</v>
      </c>
      <c r="BT960" t="s">
        <v>1758</v>
      </c>
      <c r="BU960" t="s">
        <v>682</v>
      </c>
      <c r="BV960" t="s">
        <v>1153</v>
      </c>
    </row>
    <row r="961" spans="68:74" x14ac:dyDescent="0.25">
      <c r="BQ961">
        <v>30300022</v>
      </c>
      <c r="BR961" s="15" t="s">
        <v>237</v>
      </c>
      <c r="BS961" t="s">
        <v>228</v>
      </c>
      <c r="BT961" t="s">
        <v>1759</v>
      </c>
      <c r="BU961" t="s">
        <v>681</v>
      </c>
      <c r="BV961" t="s">
        <v>680</v>
      </c>
    </row>
    <row r="962" spans="68:74" x14ac:dyDescent="0.25">
      <c r="BQ962">
        <v>30300152</v>
      </c>
      <c r="BR962" s="15" t="s">
        <v>237</v>
      </c>
      <c r="BS962" t="s">
        <v>228</v>
      </c>
      <c r="BT962" t="s">
        <v>1760</v>
      </c>
      <c r="BU962" t="s">
        <v>681</v>
      </c>
      <c r="BV962" t="s">
        <v>680</v>
      </c>
    </row>
    <row r="963" spans="68:74" x14ac:dyDescent="0.25">
      <c r="BP963">
        <v>12559</v>
      </c>
      <c r="BQ963">
        <v>3030010309</v>
      </c>
      <c r="BR963" s="15" t="s">
        <v>237</v>
      </c>
      <c r="BS963" t="s">
        <v>228</v>
      </c>
      <c r="BT963" t="s">
        <v>1761</v>
      </c>
      <c r="BU963" t="s">
        <v>682</v>
      </c>
      <c r="BV963" t="s">
        <v>1153</v>
      </c>
    </row>
    <row r="964" spans="68:74" x14ac:dyDescent="0.25">
      <c r="BP964">
        <v>12561</v>
      </c>
      <c r="BQ964">
        <v>3030010310</v>
      </c>
      <c r="BR964" s="15" t="s">
        <v>237</v>
      </c>
      <c r="BS964" t="s">
        <v>228</v>
      </c>
      <c r="BT964" t="s">
        <v>1762</v>
      </c>
      <c r="BU964" t="s">
        <v>682</v>
      </c>
      <c r="BV964" t="s">
        <v>1153</v>
      </c>
    </row>
    <row r="965" spans="68:74" x14ac:dyDescent="0.25">
      <c r="BQ965">
        <v>3030005307</v>
      </c>
      <c r="BR965" s="15" t="s">
        <v>237</v>
      </c>
      <c r="BS965" t="s">
        <v>228</v>
      </c>
      <c r="BT965" t="s">
        <v>1763</v>
      </c>
      <c r="BU965" t="s">
        <v>682</v>
      </c>
      <c r="BV965" t="s">
        <v>680</v>
      </c>
    </row>
    <row r="966" spans="68:74" x14ac:dyDescent="0.25">
      <c r="BQ966">
        <v>30300052</v>
      </c>
      <c r="BR966" s="15" t="s">
        <v>237</v>
      </c>
      <c r="BS966" t="s">
        <v>228</v>
      </c>
      <c r="BT966" t="s">
        <v>1764</v>
      </c>
      <c r="BU966" t="s">
        <v>681</v>
      </c>
      <c r="BV966" t="s">
        <v>680</v>
      </c>
    </row>
    <row r="967" spans="68:74" x14ac:dyDescent="0.25">
      <c r="BQ967">
        <v>30300053</v>
      </c>
      <c r="BR967" s="15" t="s">
        <v>237</v>
      </c>
      <c r="BS967" t="s">
        <v>228</v>
      </c>
      <c r="BT967" t="s">
        <v>1764</v>
      </c>
      <c r="BU967" t="s">
        <v>682</v>
      </c>
      <c r="BV967" t="s">
        <v>680</v>
      </c>
    </row>
    <row r="968" spans="68:74" x14ac:dyDescent="0.25">
      <c r="BQ968">
        <v>3030005302</v>
      </c>
      <c r="BR968" s="15" t="s">
        <v>237</v>
      </c>
      <c r="BS968" t="s">
        <v>228</v>
      </c>
      <c r="BT968" t="s">
        <v>1764</v>
      </c>
      <c r="BU968" t="s">
        <v>682</v>
      </c>
      <c r="BV968" t="s">
        <v>680</v>
      </c>
    </row>
    <row r="969" spans="68:74" x14ac:dyDescent="0.25">
      <c r="BQ969">
        <v>3030005303</v>
      </c>
      <c r="BR969" s="15" t="s">
        <v>237</v>
      </c>
      <c r="BS969" t="s">
        <v>228</v>
      </c>
      <c r="BT969" t="s">
        <v>1764</v>
      </c>
      <c r="BU969" t="s">
        <v>682</v>
      </c>
      <c r="BV969" t="s">
        <v>680</v>
      </c>
    </row>
    <row r="970" spans="68:74" x14ac:dyDescent="0.25">
      <c r="BQ970">
        <v>3030005306</v>
      </c>
      <c r="BR970" s="15" t="s">
        <v>237</v>
      </c>
      <c r="BS970" t="s">
        <v>228</v>
      </c>
      <c r="BT970" t="s">
        <v>1764</v>
      </c>
      <c r="BU970" t="s">
        <v>682</v>
      </c>
      <c r="BV970" t="s">
        <v>680</v>
      </c>
    </row>
    <row r="971" spans="68:74" x14ac:dyDescent="0.25">
      <c r="BQ971">
        <v>3030005305</v>
      </c>
      <c r="BR971" s="15" t="s">
        <v>237</v>
      </c>
      <c r="BS971" t="s">
        <v>228</v>
      </c>
      <c r="BT971" t="s">
        <v>1765</v>
      </c>
      <c r="BU971" t="s">
        <v>682</v>
      </c>
      <c r="BV971" t="s">
        <v>680</v>
      </c>
    </row>
    <row r="972" spans="68:74" x14ac:dyDescent="0.25">
      <c r="BP972">
        <v>12562</v>
      </c>
      <c r="BQ972">
        <v>3030010311</v>
      </c>
      <c r="BR972" s="15" t="s">
        <v>237</v>
      </c>
      <c r="BS972" t="s">
        <v>228</v>
      </c>
      <c r="BT972" t="s">
        <v>1766</v>
      </c>
      <c r="BU972" t="s">
        <v>682</v>
      </c>
      <c r="BV972" t="s">
        <v>1153</v>
      </c>
    </row>
    <row r="973" spans="68:74" x14ac:dyDescent="0.25">
      <c r="BQ973">
        <v>30400053</v>
      </c>
      <c r="BR973" s="15" t="s">
        <v>238</v>
      </c>
      <c r="BS973" t="s">
        <v>229</v>
      </c>
      <c r="BT973" t="s">
        <v>1767</v>
      </c>
      <c r="BU973" t="s">
        <v>682</v>
      </c>
      <c r="BV973" t="s">
        <v>680</v>
      </c>
    </row>
    <row r="974" spans="68:74" x14ac:dyDescent="0.25">
      <c r="BQ974">
        <v>30400012</v>
      </c>
      <c r="BR974" s="15" t="s">
        <v>238</v>
      </c>
      <c r="BS974" t="s">
        <v>229</v>
      </c>
      <c r="BT974" t="s">
        <v>1768</v>
      </c>
      <c r="BU974" t="s">
        <v>681</v>
      </c>
      <c r="BV974" t="s">
        <v>680</v>
      </c>
    </row>
    <row r="975" spans="68:74" x14ac:dyDescent="0.25">
      <c r="BQ975">
        <v>30400013</v>
      </c>
      <c r="BR975" s="15" t="s">
        <v>238</v>
      </c>
      <c r="BS975" t="s">
        <v>229</v>
      </c>
      <c r="BT975" t="s">
        <v>1768</v>
      </c>
      <c r="BU975" t="s">
        <v>682</v>
      </c>
      <c r="BV975" t="s">
        <v>680</v>
      </c>
    </row>
    <row r="976" spans="68:74" x14ac:dyDescent="0.25">
      <c r="BP976">
        <v>11283</v>
      </c>
      <c r="BQ976">
        <v>3040002301</v>
      </c>
      <c r="BR976" s="15" t="s">
        <v>238</v>
      </c>
      <c r="BS976" t="s">
        <v>229</v>
      </c>
      <c r="BT976" t="s">
        <v>1769</v>
      </c>
      <c r="BU976" t="s">
        <v>682</v>
      </c>
      <c r="BV976" t="s">
        <v>1149</v>
      </c>
    </row>
    <row r="977" spans="68:74" x14ac:dyDescent="0.25">
      <c r="BP977">
        <v>11284</v>
      </c>
      <c r="BQ977">
        <v>3040002302</v>
      </c>
      <c r="BR977" s="15" t="s">
        <v>238</v>
      </c>
      <c r="BS977" t="s">
        <v>229</v>
      </c>
      <c r="BT977" t="s">
        <v>1769</v>
      </c>
      <c r="BU977" t="s">
        <v>682</v>
      </c>
      <c r="BV977" t="s">
        <v>1149</v>
      </c>
    </row>
    <row r="978" spans="68:74" x14ac:dyDescent="0.25">
      <c r="BQ978">
        <v>30400063</v>
      </c>
      <c r="BR978" s="15" t="s">
        <v>238</v>
      </c>
      <c r="BS978" t="s">
        <v>229</v>
      </c>
      <c r="BT978" t="s">
        <v>1770</v>
      </c>
      <c r="BU978" t="s">
        <v>682</v>
      </c>
      <c r="BV978" t="s">
        <v>680</v>
      </c>
    </row>
    <row r="979" spans="68:74" x14ac:dyDescent="0.25">
      <c r="BP979">
        <v>11286</v>
      </c>
      <c r="BQ979">
        <v>3040002303</v>
      </c>
      <c r="BR979" s="15" t="s">
        <v>238</v>
      </c>
      <c r="BS979" t="s">
        <v>229</v>
      </c>
      <c r="BT979" t="s">
        <v>1770</v>
      </c>
      <c r="BU979" t="s">
        <v>682</v>
      </c>
      <c r="BV979" t="s">
        <v>1149</v>
      </c>
    </row>
    <row r="980" spans="68:74" x14ac:dyDescent="0.25">
      <c r="BP980">
        <v>11288</v>
      </c>
      <c r="BQ980">
        <v>3040002304</v>
      </c>
      <c r="BR980" s="15" t="s">
        <v>238</v>
      </c>
      <c r="BS980" t="s">
        <v>229</v>
      </c>
      <c r="BT980" t="s">
        <v>1770</v>
      </c>
      <c r="BU980" t="s">
        <v>682</v>
      </c>
      <c r="BV980" t="s">
        <v>1149</v>
      </c>
    </row>
    <row r="981" spans="68:74" x14ac:dyDescent="0.25">
      <c r="BQ981">
        <v>30400043</v>
      </c>
      <c r="BR981" s="15" t="s">
        <v>238</v>
      </c>
      <c r="BS981" t="s">
        <v>229</v>
      </c>
      <c r="BT981" t="s">
        <v>1771</v>
      </c>
      <c r="BU981" t="s">
        <v>682</v>
      </c>
      <c r="BV981" t="s">
        <v>680</v>
      </c>
    </row>
    <row r="982" spans="68:74" x14ac:dyDescent="0.25">
      <c r="BQ982">
        <v>3040002315</v>
      </c>
      <c r="BR982" s="15" t="s">
        <v>238</v>
      </c>
      <c r="BS982" t="s">
        <v>229</v>
      </c>
      <c r="BT982" t="s">
        <v>1772</v>
      </c>
      <c r="BU982" t="s">
        <v>682</v>
      </c>
      <c r="BV982" t="s">
        <v>680</v>
      </c>
    </row>
    <row r="983" spans="68:74" x14ac:dyDescent="0.25">
      <c r="BP983">
        <v>11289</v>
      </c>
      <c r="BQ983">
        <v>3040002305</v>
      </c>
      <c r="BR983" s="15" t="s">
        <v>238</v>
      </c>
      <c r="BS983" t="s">
        <v>229</v>
      </c>
      <c r="BT983" t="s">
        <v>1773</v>
      </c>
      <c r="BU983" t="s">
        <v>682</v>
      </c>
      <c r="BV983" t="s">
        <v>1149</v>
      </c>
    </row>
    <row r="984" spans="68:74" x14ac:dyDescent="0.25">
      <c r="BP984">
        <v>11309</v>
      </c>
      <c r="BQ984">
        <v>3040002314</v>
      </c>
      <c r="BR984" s="15" t="s">
        <v>238</v>
      </c>
      <c r="BS984" t="s">
        <v>229</v>
      </c>
      <c r="BT984" t="s">
        <v>1774</v>
      </c>
      <c r="BU984" t="s">
        <v>682</v>
      </c>
      <c r="BV984" t="s">
        <v>1149</v>
      </c>
    </row>
    <row r="985" spans="68:74" x14ac:dyDescent="0.25">
      <c r="BP985">
        <v>11307</v>
      </c>
      <c r="BQ985">
        <v>3040002313</v>
      </c>
      <c r="BR985" s="15" t="s">
        <v>238</v>
      </c>
      <c r="BS985" t="s">
        <v>229</v>
      </c>
      <c r="BT985" t="s">
        <v>1775</v>
      </c>
      <c r="BU985" t="s">
        <v>682</v>
      </c>
      <c r="BV985" t="s">
        <v>1149</v>
      </c>
    </row>
    <row r="986" spans="68:74" x14ac:dyDescent="0.25">
      <c r="BQ986">
        <v>30400033</v>
      </c>
      <c r="BR986" s="15" t="s">
        <v>238</v>
      </c>
      <c r="BS986" t="s">
        <v>229</v>
      </c>
      <c r="BT986" t="s">
        <v>1776</v>
      </c>
      <c r="BU986" t="s">
        <v>682</v>
      </c>
      <c r="BV986" t="s">
        <v>680</v>
      </c>
    </row>
    <row r="987" spans="68:74" x14ac:dyDescent="0.25">
      <c r="BP987">
        <v>11290</v>
      </c>
      <c r="BQ987">
        <v>3040002306</v>
      </c>
      <c r="BR987" s="15" t="s">
        <v>238</v>
      </c>
      <c r="BS987" t="s">
        <v>229</v>
      </c>
      <c r="BT987" t="s">
        <v>1776</v>
      </c>
      <c r="BU987" t="s">
        <v>682</v>
      </c>
      <c r="BV987" t="s">
        <v>1149</v>
      </c>
    </row>
    <row r="988" spans="68:74" x14ac:dyDescent="0.25">
      <c r="BP988">
        <v>11291</v>
      </c>
      <c r="BQ988">
        <v>3040002307</v>
      </c>
      <c r="BR988" s="15" t="s">
        <v>238</v>
      </c>
      <c r="BS988" t="s">
        <v>229</v>
      </c>
      <c r="BT988" t="s">
        <v>1776</v>
      </c>
      <c r="BU988" t="s">
        <v>682</v>
      </c>
      <c r="BV988" t="s">
        <v>1149</v>
      </c>
    </row>
    <row r="989" spans="68:74" x14ac:dyDescent="0.25">
      <c r="BP989">
        <v>11299</v>
      </c>
      <c r="BQ989">
        <v>3040002311</v>
      </c>
      <c r="BR989" s="15" t="s">
        <v>238</v>
      </c>
      <c r="BS989" t="s">
        <v>229</v>
      </c>
      <c r="BT989" t="s">
        <v>1777</v>
      </c>
      <c r="BU989" t="s">
        <v>682</v>
      </c>
      <c r="BV989" t="s">
        <v>1153</v>
      </c>
    </row>
    <row r="990" spans="68:74" x14ac:dyDescent="0.25">
      <c r="BP990">
        <v>11300</v>
      </c>
      <c r="BQ990">
        <v>3040002311</v>
      </c>
      <c r="BR990" s="15" t="s">
        <v>238</v>
      </c>
      <c r="BS990" t="s">
        <v>229</v>
      </c>
      <c r="BT990" t="s">
        <v>1777</v>
      </c>
      <c r="BU990" t="s">
        <v>682</v>
      </c>
      <c r="BV990" t="s">
        <v>1149</v>
      </c>
    </row>
    <row r="991" spans="68:74" x14ac:dyDescent="0.25">
      <c r="BP991">
        <v>11305</v>
      </c>
      <c r="BQ991">
        <v>3040002312</v>
      </c>
      <c r="BR991" s="15" t="s">
        <v>238</v>
      </c>
      <c r="BS991" t="s">
        <v>229</v>
      </c>
      <c r="BT991" t="s">
        <v>1777</v>
      </c>
      <c r="BU991" t="s">
        <v>682</v>
      </c>
      <c r="BV991" t="s">
        <v>1149</v>
      </c>
    </row>
    <row r="992" spans="68:74" x14ac:dyDescent="0.25">
      <c r="BP992">
        <v>11302</v>
      </c>
      <c r="BQ992">
        <v>3040002312</v>
      </c>
      <c r="BR992" s="15" t="s">
        <v>238</v>
      </c>
      <c r="BS992" t="s">
        <v>229</v>
      </c>
      <c r="BT992" t="s">
        <v>1777</v>
      </c>
      <c r="BU992" t="s">
        <v>682</v>
      </c>
      <c r="BV992" t="s">
        <v>1153</v>
      </c>
    </row>
    <row r="993" spans="68:74" x14ac:dyDescent="0.25">
      <c r="BQ993">
        <v>3040002308</v>
      </c>
      <c r="BR993" s="15" t="s">
        <v>238</v>
      </c>
      <c r="BS993" t="s">
        <v>229</v>
      </c>
      <c r="BT993" t="s">
        <v>1778</v>
      </c>
      <c r="BU993" t="s">
        <v>682</v>
      </c>
      <c r="BV993" t="s">
        <v>1149</v>
      </c>
    </row>
    <row r="994" spans="68:74" x14ac:dyDescent="0.25">
      <c r="BP994">
        <v>11232</v>
      </c>
      <c r="BQ994">
        <v>30400022</v>
      </c>
      <c r="BR994" s="15" t="s">
        <v>238</v>
      </c>
      <c r="BS994" t="s">
        <v>229</v>
      </c>
      <c r="BT994" t="s">
        <v>229</v>
      </c>
      <c r="BU994" t="s">
        <v>681</v>
      </c>
      <c r="BV994" t="s">
        <v>1149</v>
      </c>
    </row>
    <row r="995" spans="68:74" x14ac:dyDescent="0.25">
      <c r="BP995">
        <v>11230</v>
      </c>
      <c r="BQ995">
        <v>30400022</v>
      </c>
      <c r="BR995" s="15" t="s">
        <v>238</v>
      </c>
      <c r="BS995" t="s">
        <v>229</v>
      </c>
      <c r="BT995" t="s">
        <v>229</v>
      </c>
      <c r="BU995" t="s">
        <v>681</v>
      </c>
      <c r="BV995" t="s">
        <v>1153</v>
      </c>
    </row>
    <row r="996" spans="68:74" x14ac:dyDescent="0.25">
      <c r="BQ996">
        <v>30400023</v>
      </c>
      <c r="BR996" s="15" t="s">
        <v>238</v>
      </c>
      <c r="BS996" t="s">
        <v>229</v>
      </c>
      <c r="BT996" t="s">
        <v>229</v>
      </c>
      <c r="BU996" t="s">
        <v>682</v>
      </c>
      <c r="BV996" t="s">
        <v>1149</v>
      </c>
    </row>
    <row r="997" spans="68:74" x14ac:dyDescent="0.25">
      <c r="BP997">
        <v>11295</v>
      </c>
      <c r="BQ997">
        <v>3040002309</v>
      </c>
      <c r="BR997" s="15" t="s">
        <v>238</v>
      </c>
      <c r="BS997" t="s">
        <v>229</v>
      </c>
      <c r="BT997" t="s">
        <v>1779</v>
      </c>
      <c r="BU997" t="s">
        <v>682</v>
      </c>
      <c r="BV997" t="s">
        <v>1149</v>
      </c>
    </row>
    <row r="998" spans="68:74" x14ac:dyDescent="0.25">
      <c r="BP998">
        <v>11293</v>
      </c>
      <c r="BQ998">
        <v>3040002309</v>
      </c>
      <c r="BR998" s="15" t="s">
        <v>238</v>
      </c>
      <c r="BS998" t="s">
        <v>229</v>
      </c>
      <c r="BT998" t="s">
        <v>1779</v>
      </c>
      <c r="BU998" t="s">
        <v>682</v>
      </c>
      <c r="BV998" t="s">
        <v>1153</v>
      </c>
    </row>
    <row r="999" spans="68:74" x14ac:dyDescent="0.25">
      <c r="BP999">
        <v>11297</v>
      </c>
      <c r="BQ999">
        <v>3040002310</v>
      </c>
      <c r="BR999" s="15" t="s">
        <v>238</v>
      </c>
      <c r="BS999" t="s">
        <v>229</v>
      </c>
      <c r="BT999" t="s">
        <v>1779</v>
      </c>
      <c r="BU999" t="s">
        <v>682</v>
      </c>
      <c r="BV999" t="s">
        <v>1149</v>
      </c>
    </row>
    <row r="1000" spans="68:74" x14ac:dyDescent="0.25">
      <c r="BP1000">
        <v>11296</v>
      </c>
      <c r="BQ1000">
        <v>3040002310</v>
      </c>
      <c r="BR1000" s="15" t="s">
        <v>238</v>
      </c>
      <c r="BS1000" t="s">
        <v>229</v>
      </c>
      <c r="BT1000" t="s">
        <v>1779</v>
      </c>
      <c r="BU1000" t="s">
        <v>682</v>
      </c>
      <c r="BV1000" t="s">
        <v>1153</v>
      </c>
    </row>
    <row r="1001" spans="68:74" x14ac:dyDescent="0.25">
      <c r="BQ1001">
        <v>30400073</v>
      </c>
      <c r="BR1001" s="15" t="s">
        <v>238</v>
      </c>
      <c r="BS1001" t="s">
        <v>229</v>
      </c>
      <c r="BT1001" t="s">
        <v>1780</v>
      </c>
      <c r="BU1001" t="s">
        <v>682</v>
      </c>
      <c r="BV1001" t="s">
        <v>680</v>
      </c>
    </row>
    <row r="1002" spans="68:74" x14ac:dyDescent="0.25">
      <c r="BQ1002">
        <v>30500192</v>
      </c>
      <c r="BR1002" s="15" t="s">
        <v>239</v>
      </c>
      <c r="BS1002" t="s">
        <v>230</v>
      </c>
      <c r="BT1002" t="s">
        <v>1523</v>
      </c>
      <c r="BU1002" t="s">
        <v>681</v>
      </c>
      <c r="BV1002" t="s">
        <v>680</v>
      </c>
    </row>
    <row r="1003" spans="68:74" x14ac:dyDescent="0.25">
      <c r="BQ1003">
        <v>30500013</v>
      </c>
      <c r="BR1003" s="15" t="s">
        <v>239</v>
      </c>
      <c r="BS1003" t="s">
        <v>230</v>
      </c>
      <c r="BT1003" t="s">
        <v>1781</v>
      </c>
      <c r="BU1003" t="s">
        <v>682</v>
      </c>
      <c r="BV1003" t="s">
        <v>680</v>
      </c>
    </row>
    <row r="1004" spans="68:74" x14ac:dyDescent="0.25">
      <c r="BQ1004">
        <v>30500022</v>
      </c>
      <c r="BR1004" s="15" t="s">
        <v>239</v>
      </c>
      <c r="BS1004" t="s">
        <v>230</v>
      </c>
      <c r="BT1004" t="s">
        <v>1782</v>
      </c>
      <c r="BU1004" t="s">
        <v>681</v>
      </c>
      <c r="BV1004" t="s">
        <v>680</v>
      </c>
    </row>
    <row r="1005" spans="68:74" x14ac:dyDescent="0.25">
      <c r="BQ1005">
        <v>30500023</v>
      </c>
      <c r="BR1005" s="15" t="s">
        <v>239</v>
      </c>
      <c r="BS1005" t="s">
        <v>230</v>
      </c>
      <c r="BT1005" t="s">
        <v>1782</v>
      </c>
      <c r="BU1005" t="s">
        <v>682</v>
      </c>
      <c r="BV1005" t="s">
        <v>680</v>
      </c>
    </row>
    <row r="1006" spans="68:74" x14ac:dyDescent="0.25">
      <c r="BQ1006">
        <v>30500033</v>
      </c>
      <c r="BR1006" s="15" t="s">
        <v>239</v>
      </c>
      <c r="BS1006" t="s">
        <v>230</v>
      </c>
      <c r="BT1006" t="s">
        <v>1783</v>
      </c>
      <c r="BU1006" t="s">
        <v>682</v>
      </c>
      <c r="BV1006" t="s">
        <v>680</v>
      </c>
    </row>
    <row r="1007" spans="68:74" x14ac:dyDescent="0.25">
      <c r="BQ1007">
        <v>30500152</v>
      </c>
      <c r="BR1007" s="15" t="s">
        <v>239</v>
      </c>
      <c r="BS1007" t="s">
        <v>230</v>
      </c>
      <c r="BT1007" t="s">
        <v>1784</v>
      </c>
      <c r="BU1007" t="s">
        <v>681</v>
      </c>
      <c r="BV1007" t="s">
        <v>680</v>
      </c>
    </row>
    <row r="1008" spans="68:74" x14ac:dyDescent="0.25">
      <c r="BQ1008">
        <v>30500153</v>
      </c>
      <c r="BR1008" s="15" t="s">
        <v>239</v>
      </c>
      <c r="BS1008" t="s">
        <v>230</v>
      </c>
      <c r="BT1008" t="s">
        <v>1784</v>
      </c>
      <c r="BU1008" t="s">
        <v>682</v>
      </c>
      <c r="BV1008" t="s">
        <v>680</v>
      </c>
    </row>
    <row r="1009" spans="68:74" x14ac:dyDescent="0.25">
      <c r="BP1009">
        <v>10988</v>
      </c>
      <c r="BQ1009">
        <v>3050015301</v>
      </c>
      <c r="BR1009" s="15" t="s">
        <v>239</v>
      </c>
      <c r="BS1009" t="s">
        <v>230</v>
      </c>
      <c r="BT1009" t="s">
        <v>1785</v>
      </c>
      <c r="BU1009" t="s">
        <v>682</v>
      </c>
      <c r="BV1009" t="s">
        <v>1149</v>
      </c>
    </row>
    <row r="1010" spans="68:74" x14ac:dyDescent="0.25">
      <c r="BQ1010">
        <v>30500223</v>
      </c>
      <c r="BR1010" s="15" t="s">
        <v>239</v>
      </c>
      <c r="BS1010" t="s">
        <v>230</v>
      </c>
      <c r="BT1010" t="s">
        <v>1786</v>
      </c>
      <c r="BU1010" t="s">
        <v>682</v>
      </c>
      <c r="BV1010" t="s">
        <v>680</v>
      </c>
    </row>
    <row r="1011" spans="68:74" x14ac:dyDescent="0.25">
      <c r="BP1011">
        <v>10849</v>
      </c>
      <c r="BQ1011">
        <v>30500042</v>
      </c>
      <c r="BR1011" s="15" t="s">
        <v>239</v>
      </c>
      <c r="BS1011" t="s">
        <v>230</v>
      </c>
      <c r="BT1011" t="s">
        <v>1787</v>
      </c>
      <c r="BU1011" t="s">
        <v>681</v>
      </c>
      <c r="BV1011" t="s">
        <v>1153</v>
      </c>
    </row>
    <row r="1012" spans="68:74" x14ac:dyDescent="0.25">
      <c r="BQ1012">
        <v>30500042</v>
      </c>
      <c r="BR1012" s="15" t="s">
        <v>239</v>
      </c>
      <c r="BS1012" t="s">
        <v>230</v>
      </c>
      <c r="BT1012" t="s">
        <v>1787</v>
      </c>
      <c r="BU1012" t="s">
        <v>681</v>
      </c>
      <c r="BV1012" t="s">
        <v>1149</v>
      </c>
    </row>
    <row r="1013" spans="68:74" x14ac:dyDescent="0.25">
      <c r="BP1013">
        <v>10850</v>
      </c>
      <c r="BQ1013">
        <v>30500042</v>
      </c>
      <c r="BR1013" s="15" t="s">
        <v>239</v>
      </c>
      <c r="BS1013" t="s">
        <v>230</v>
      </c>
      <c r="BT1013" t="s">
        <v>1787</v>
      </c>
      <c r="BU1013" t="s">
        <v>681</v>
      </c>
      <c r="BV1013" t="s">
        <v>1149</v>
      </c>
    </row>
    <row r="1014" spans="68:74" x14ac:dyDescent="0.25">
      <c r="BP1014">
        <v>10989</v>
      </c>
      <c r="BQ1014">
        <v>3050015302</v>
      </c>
      <c r="BR1014" s="15" t="s">
        <v>239</v>
      </c>
      <c r="BS1014" t="s">
        <v>230</v>
      </c>
      <c r="BT1014" t="s">
        <v>1788</v>
      </c>
      <c r="BU1014" t="s">
        <v>682</v>
      </c>
      <c r="BV1014" t="s">
        <v>1149</v>
      </c>
    </row>
    <row r="1015" spans="68:74" x14ac:dyDescent="0.25">
      <c r="BQ1015">
        <v>3050015304</v>
      </c>
      <c r="BR1015" s="15" t="s">
        <v>239</v>
      </c>
      <c r="BS1015" t="s">
        <v>230</v>
      </c>
      <c r="BT1015" t="s">
        <v>1788</v>
      </c>
      <c r="BU1015" t="s">
        <v>682</v>
      </c>
      <c r="BV1015" t="s">
        <v>680</v>
      </c>
    </row>
    <row r="1016" spans="68:74" x14ac:dyDescent="0.25">
      <c r="BP1016">
        <v>10997</v>
      </c>
      <c r="BQ1016">
        <v>3050015310</v>
      </c>
      <c r="BR1016" s="15" t="s">
        <v>239</v>
      </c>
      <c r="BS1016" t="s">
        <v>230</v>
      </c>
      <c r="BT1016" t="s">
        <v>1788</v>
      </c>
      <c r="BU1016" t="s">
        <v>682</v>
      </c>
      <c r="BV1016" t="s">
        <v>1149</v>
      </c>
    </row>
    <row r="1017" spans="68:74" x14ac:dyDescent="0.25">
      <c r="BP1017">
        <v>10992</v>
      </c>
      <c r="BQ1017">
        <v>3050015305</v>
      </c>
      <c r="BR1017" s="15" t="s">
        <v>239</v>
      </c>
      <c r="BS1017" t="s">
        <v>230</v>
      </c>
      <c r="BT1017" t="s">
        <v>1789</v>
      </c>
      <c r="BU1017" t="s">
        <v>682</v>
      </c>
      <c r="BV1017" t="s">
        <v>1149</v>
      </c>
    </row>
    <row r="1018" spans="68:74" x14ac:dyDescent="0.25">
      <c r="BP1018">
        <v>10994</v>
      </c>
      <c r="BQ1018">
        <v>3050015307</v>
      </c>
      <c r="BR1018" s="15" t="s">
        <v>239</v>
      </c>
      <c r="BS1018" t="s">
        <v>230</v>
      </c>
      <c r="BT1018" t="s">
        <v>1790</v>
      </c>
      <c r="BU1018" t="s">
        <v>682</v>
      </c>
      <c r="BV1018" t="s">
        <v>1149</v>
      </c>
    </row>
    <row r="1019" spans="68:74" x14ac:dyDescent="0.25">
      <c r="BP1019">
        <v>10993</v>
      </c>
      <c r="BQ1019">
        <v>3050015306</v>
      </c>
      <c r="BR1019" s="15" t="s">
        <v>239</v>
      </c>
      <c r="BS1019" t="s">
        <v>230</v>
      </c>
      <c r="BT1019" t="s">
        <v>1791</v>
      </c>
      <c r="BU1019" t="s">
        <v>682</v>
      </c>
      <c r="BV1019" t="s">
        <v>1153</v>
      </c>
    </row>
    <row r="1020" spans="68:74" x14ac:dyDescent="0.25">
      <c r="BQ1020">
        <v>3050006301</v>
      </c>
      <c r="BR1020" s="15" t="s">
        <v>239</v>
      </c>
      <c r="BS1020" t="s">
        <v>230</v>
      </c>
      <c r="BT1020" t="s">
        <v>1792</v>
      </c>
      <c r="BU1020" t="s">
        <v>682</v>
      </c>
      <c r="BV1020" t="s">
        <v>1153</v>
      </c>
    </row>
    <row r="1021" spans="68:74" x14ac:dyDescent="0.25">
      <c r="BQ1021">
        <v>30500213</v>
      </c>
      <c r="BR1021" s="15" t="s">
        <v>239</v>
      </c>
      <c r="BS1021" t="s">
        <v>230</v>
      </c>
      <c r="BT1021" t="s">
        <v>1793</v>
      </c>
      <c r="BU1021" t="s">
        <v>682</v>
      </c>
      <c r="BV1021" t="s">
        <v>680</v>
      </c>
    </row>
    <row r="1022" spans="68:74" x14ac:dyDescent="0.25">
      <c r="BP1022">
        <v>12905</v>
      </c>
      <c r="BQ1022">
        <v>30500052</v>
      </c>
      <c r="BR1022" s="15" t="s">
        <v>239</v>
      </c>
      <c r="BS1022" t="s">
        <v>230</v>
      </c>
      <c r="BT1022" t="s">
        <v>1794</v>
      </c>
      <c r="BU1022" t="s">
        <v>681</v>
      </c>
      <c r="BV1022" t="s">
        <v>1153</v>
      </c>
    </row>
    <row r="1023" spans="68:74" x14ac:dyDescent="0.25">
      <c r="BP1023">
        <v>12907</v>
      </c>
      <c r="BQ1023">
        <v>30500052</v>
      </c>
      <c r="BR1023" s="15" t="s">
        <v>239</v>
      </c>
      <c r="BS1023" t="s">
        <v>230</v>
      </c>
      <c r="BT1023" t="s">
        <v>1794</v>
      </c>
      <c r="BU1023" t="s">
        <v>681</v>
      </c>
      <c r="BV1023" t="s">
        <v>1149</v>
      </c>
    </row>
    <row r="1024" spans="68:74" x14ac:dyDescent="0.25">
      <c r="BQ1024">
        <v>30500053</v>
      </c>
      <c r="BR1024" s="15" t="s">
        <v>239</v>
      </c>
      <c r="BS1024" t="s">
        <v>230</v>
      </c>
      <c r="BT1024" t="s">
        <v>1794</v>
      </c>
      <c r="BU1024" t="s">
        <v>682</v>
      </c>
      <c r="BV1024" t="s">
        <v>680</v>
      </c>
    </row>
    <row r="1025" spans="68:74" x14ac:dyDescent="0.25">
      <c r="BP1025">
        <v>12924</v>
      </c>
      <c r="BQ1025">
        <v>3050005301</v>
      </c>
      <c r="BR1025" s="15" t="s">
        <v>239</v>
      </c>
      <c r="BS1025" t="s">
        <v>230</v>
      </c>
      <c r="BT1025" t="s">
        <v>1794</v>
      </c>
      <c r="BU1025" t="s">
        <v>682</v>
      </c>
      <c r="BV1025" t="s">
        <v>1149</v>
      </c>
    </row>
    <row r="1026" spans="68:74" x14ac:dyDescent="0.25">
      <c r="BP1026">
        <v>12922</v>
      </c>
      <c r="BQ1026">
        <v>3050005301</v>
      </c>
      <c r="BR1026" s="15" t="s">
        <v>239</v>
      </c>
      <c r="BS1026" t="s">
        <v>230</v>
      </c>
      <c r="BT1026" t="s">
        <v>1794</v>
      </c>
      <c r="BU1026" t="s">
        <v>682</v>
      </c>
      <c r="BV1026" t="s">
        <v>1153</v>
      </c>
    </row>
    <row r="1027" spans="68:74" x14ac:dyDescent="0.25">
      <c r="BP1027">
        <v>12929</v>
      </c>
      <c r="BQ1027">
        <v>3050006302</v>
      </c>
      <c r="BR1027" s="15" t="s">
        <v>239</v>
      </c>
      <c r="BS1027" t="s">
        <v>230</v>
      </c>
      <c r="BT1027" t="s">
        <v>1795</v>
      </c>
      <c r="BU1027" t="s">
        <v>682</v>
      </c>
      <c r="BV1027" t="s">
        <v>1153</v>
      </c>
    </row>
    <row r="1028" spans="68:74" x14ac:dyDescent="0.25">
      <c r="BP1028">
        <v>12930</v>
      </c>
      <c r="BQ1028">
        <v>3050006302</v>
      </c>
      <c r="BR1028" s="15" t="s">
        <v>239</v>
      </c>
      <c r="BS1028" t="s">
        <v>230</v>
      </c>
      <c r="BT1028" t="s">
        <v>1795</v>
      </c>
      <c r="BU1028" t="s">
        <v>682</v>
      </c>
      <c r="BV1028" t="s">
        <v>1149</v>
      </c>
    </row>
    <row r="1029" spans="68:74" x14ac:dyDescent="0.25">
      <c r="BP1029">
        <v>12948</v>
      </c>
      <c r="BQ1029">
        <v>3050006320</v>
      </c>
      <c r="BR1029" s="15" t="s">
        <v>239</v>
      </c>
      <c r="BS1029" t="s">
        <v>230</v>
      </c>
      <c r="BT1029" t="s">
        <v>1796</v>
      </c>
      <c r="BU1029" t="s">
        <v>682</v>
      </c>
      <c r="BV1029" t="s">
        <v>1149</v>
      </c>
    </row>
    <row r="1030" spans="68:74" x14ac:dyDescent="0.25">
      <c r="BP1030">
        <v>289337</v>
      </c>
      <c r="BQ1030">
        <v>30501423</v>
      </c>
      <c r="BR1030" s="15" t="s">
        <v>239</v>
      </c>
      <c r="BS1030" t="s">
        <v>230</v>
      </c>
      <c r="BT1030" t="s">
        <v>1797</v>
      </c>
      <c r="BU1030" t="s">
        <v>682</v>
      </c>
      <c r="BV1030" t="s">
        <v>1153</v>
      </c>
    </row>
    <row r="1031" spans="68:74" x14ac:dyDescent="0.25">
      <c r="BP1031">
        <v>12932</v>
      </c>
      <c r="BQ1031">
        <v>3050006303</v>
      </c>
      <c r="BR1031" s="15" t="s">
        <v>239</v>
      </c>
      <c r="BS1031" t="s">
        <v>230</v>
      </c>
      <c r="BT1031" t="s">
        <v>1798</v>
      </c>
      <c r="BU1031" t="s">
        <v>682</v>
      </c>
      <c r="BV1031" t="s">
        <v>1149</v>
      </c>
    </row>
    <row r="1032" spans="68:74" x14ac:dyDescent="0.25">
      <c r="BP1032">
        <v>12931</v>
      </c>
      <c r="BQ1032">
        <v>3050006303</v>
      </c>
      <c r="BR1032" s="15" t="s">
        <v>239</v>
      </c>
      <c r="BS1032" t="s">
        <v>230</v>
      </c>
      <c r="BT1032" t="s">
        <v>1798</v>
      </c>
      <c r="BU1032" t="s">
        <v>682</v>
      </c>
      <c r="BV1032" t="s">
        <v>1153</v>
      </c>
    </row>
    <row r="1033" spans="68:74" x14ac:dyDescent="0.25">
      <c r="BP1033">
        <v>12941</v>
      </c>
      <c r="BQ1033">
        <v>3050006313</v>
      </c>
      <c r="BR1033" s="15" t="s">
        <v>239</v>
      </c>
      <c r="BS1033" t="s">
        <v>230</v>
      </c>
      <c r="BT1033" t="s">
        <v>1799</v>
      </c>
      <c r="BU1033" t="s">
        <v>682</v>
      </c>
      <c r="BV1033" t="s">
        <v>1149</v>
      </c>
    </row>
    <row r="1034" spans="68:74" x14ac:dyDescent="0.25">
      <c r="BP1034">
        <v>12908</v>
      </c>
      <c r="BQ1034">
        <v>30500062</v>
      </c>
      <c r="BR1034" s="15" t="s">
        <v>239</v>
      </c>
      <c r="BS1034" t="s">
        <v>230</v>
      </c>
      <c r="BT1034" t="s">
        <v>1800</v>
      </c>
      <c r="BU1034" t="s">
        <v>681</v>
      </c>
      <c r="BV1034" t="s">
        <v>1153</v>
      </c>
    </row>
    <row r="1035" spans="68:74" x14ac:dyDescent="0.25">
      <c r="BP1035">
        <v>12909</v>
      </c>
      <c r="BQ1035">
        <v>30500062</v>
      </c>
      <c r="BR1035" s="15" t="s">
        <v>239</v>
      </c>
      <c r="BS1035" t="s">
        <v>230</v>
      </c>
      <c r="BT1035" t="s">
        <v>1800</v>
      </c>
      <c r="BU1035" t="s">
        <v>681</v>
      </c>
      <c r="BV1035" t="s">
        <v>1149</v>
      </c>
    </row>
    <row r="1036" spans="68:74" x14ac:dyDescent="0.25">
      <c r="BQ1036">
        <v>30500063</v>
      </c>
      <c r="BR1036" s="15" t="s">
        <v>239</v>
      </c>
      <c r="BS1036" t="s">
        <v>230</v>
      </c>
      <c r="BT1036" t="s">
        <v>1800</v>
      </c>
      <c r="BU1036" t="s">
        <v>682</v>
      </c>
      <c r="BV1036" t="s">
        <v>680</v>
      </c>
    </row>
    <row r="1037" spans="68:74" x14ac:dyDescent="0.25">
      <c r="BP1037">
        <v>587634</v>
      </c>
      <c r="BQ1037">
        <v>30500763</v>
      </c>
      <c r="BR1037" s="15" t="s">
        <v>239</v>
      </c>
      <c r="BS1037" t="s">
        <v>230</v>
      </c>
      <c r="BT1037" t="s">
        <v>1800</v>
      </c>
      <c r="BU1037" t="s">
        <v>682</v>
      </c>
      <c r="BV1037" t="s">
        <v>1153</v>
      </c>
    </row>
    <row r="1038" spans="68:74" x14ac:dyDescent="0.25">
      <c r="BP1038">
        <v>587635</v>
      </c>
      <c r="BQ1038">
        <v>30500763</v>
      </c>
      <c r="BR1038" s="15" t="s">
        <v>239</v>
      </c>
      <c r="BS1038" t="s">
        <v>230</v>
      </c>
      <c r="BT1038" t="s">
        <v>1800</v>
      </c>
      <c r="BU1038" t="s">
        <v>682</v>
      </c>
      <c r="BV1038" t="s">
        <v>1149</v>
      </c>
    </row>
    <row r="1039" spans="68:74" x14ac:dyDescent="0.25">
      <c r="BP1039">
        <v>587397</v>
      </c>
      <c r="BQ1039">
        <v>3050006304</v>
      </c>
      <c r="BR1039" s="15" t="s">
        <v>239</v>
      </c>
      <c r="BS1039" t="s">
        <v>230</v>
      </c>
      <c r="BT1039" t="s">
        <v>1800</v>
      </c>
      <c r="BU1039" t="s">
        <v>682</v>
      </c>
      <c r="BV1039" t="s">
        <v>1149</v>
      </c>
    </row>
    <row r="1040" spans="68:74" x14ac:dyDescent="0.25">
      <c r="BQ1040">
        <v>30500072</v>
      </c>
      <c r="BR1040" s="15" t="s">
        <v>239</v>
      </c>
      <c r="BS1040" t="s">
        <v>230</v>
      </c>
      <c r="BT1040" t="s">
        <v>1801</v>
      </c>
      <c r="BU1040" t="s">
        <v>681</v>
      </c>
      <c r="BV1040" t="s">
        <v>680</v>
      </c>
    </row>
    <row r="1041" spans="68:74" x14ac:dyDescent="0.25">
      <c r="BQ1041">
        <v>30500142</v>
      </c>
      <c r="BR1041" s="15" t="s">
        <v>239</v>
      </c>
      <c r="BS1041" t="s">
        <v>230</v>
      </c>
      <c r="BT1041" t="s">
        <v>1802</v>
      </c>
      <c r="BU1041" t="s">
        <v>681</v>
      </c>
      <c r="BV1041" t="s">
        <v>680</v>
      </c>
    </row>
    <row r="1042" spans="68:74" x14ac:dyDescent="0.25">
      <c r="BP1042">
        <v>12936</v>
      </c>
      <c r="BQ1042">
        <v>3050006308</v>
      </c>
      <c r="BR1042" s="15" t="s">
        <v>239</v>
      </c>
      <c r="BS1042" t="s">
        <v>230</v>
      </c>
      <c r="BT1042" t="s">
        <v>1803</v>
      </c>
      <c r="BU1042" t="s">
        <v>682</v>
      </c>
      <c r="BV1042" t="s">
        <v>1149</v>
      </c>
    </row>
    <row r="1043" spans="68:74" x14ac:dyDescent="0.25">
      <c r="BQ1043">
        <v>30500082</v>
      </c>
      <c r="BR1043" s="15" t="s">
        <v>239</v>
      </c>
      <c r="BS1043" t="s">
        <v>230</v>
      </c>
      <c r="BT1043" t="s">
        <v>1804</v>
      </c>
      <c r="BU1043" t="s">
        <v>681</v>
      </c>
      <c r="BV1043" t="s">
        <v>680</v>
      </c>
    </row>
    <row r="1044" spans="68:74" x14ac:dyDescent="0.25">
      <c r="BQ1044">
        <v>30500093</v>
      </c>
      <c r="BR1044" s="15" t="s">
        <v>239</v>
      </c>
      <c r="BS1044" t="s">
        <v>230</v>
      </c>
      <c r="BT1044" t="s">
        <v>1805</v>
      </c>
      <c r="BU1044" t="s">
        <v>682</v>
      </c>
      <c r="BV1044" t="s">
        <v>680</v>
      </c>
    </row>
    <row r="1045" spans="68:74" x14ac:dyDescent="0.25">
      <c r="BQ1045">
        <v>30500102</v>
      </c>
      <c r="BR1045" s="15" t="s">
        <v>239</v>
      </c>
      <c r="BS1045" t="s">
        <v>230</v>
      </c>
      <c r="BT1045" t="s">
        <v>1806</v>
      </c>
      <c r="BU1045" t="s">
        <v>681</v>
      </c>
      <c r="BV1045" t="s">
        <v>680</v>
      </c>
    </row>
    <row r="1046" spans="68:74" x14ac:dyDescent="0.25">
      <c r="BQ1046">
        <v>30500202</v>
      </c>
      <c r="BR1046" s="15" t="s">
        <v>239</v>
      </c>
      <c r="BS1046" t="s">
        <v>230</v>
      </c>
      <c r="BT1046" t="s">
        <v>1807</v>
      </c>
      <c r="BU1046" t="s">
        <v>681</v>
      </c>
      <c r="BV1046" t="s">
        <v>680</v>
      </c>
    </row>
    <row r="1047" spans="68:74" x14ac:dyDescent="0.25">
      <c r="BP1047">
        <v>10862</v>
      </c>
      <c r="BQ1047">
        <v>30501063</v>
      </c>
      <c r="BR1047" s="15" t="s">
        <v>239</v>
      </c>
      <c r="BS1047" t="s">
        <v>230</v>
      </c>
      <c r="BT1047" t="s">
        <v>1808</v>
      </c>
      <c r="BU1047" t="s">
        <v>682</v>
      </c>
      <c r="BV1047" t="s">
        <v>1149</v>
      </c>
    </row>
    <row r="1048" spans="68:74" x14ac:dyDescent="0.25">
      <c r="BP1048">
        <v>10861</v>
      </c>
      <c r="BQ1048">
        <v>30501063</v>
      </c>
      <c r="BR1048" s="15" t="s">
        <v>239</v>
      </c>
      <c r="BS1048" t="s">
        <v>230</v>
      </c>
      <c r="BT1048" t="s">
        <v>1808</v>
      </c>
      <c r="BU1048" t="s">
        <v>682</v>
      </c>
      <c r="BV1048" t="s">
        <v>1153</v>
      </c>
    </row>
    <row r="1049" spans="68:74" x14ac:dyDescent="0.25">
      <c r="BP1049">
        <v>10996</v>
      </c>
      <c r="BQ1049">
        <v>3050015309</v>
      </c>
      <c r="BR1049" s="15" t="s">
        <v>239</v>
      </c>
      <c r="BS1049" t="s">
        <v>230</v>
      </c>
      <c r="BT1049" t="s">
        <v>1808</v>
      </c>
      <c r="BU1049" t="s">
        <v>682</v>
      </c>
      <c r="BV1049" t="s">
        <v>1149</v>
      </c>
    </row>
    <row r="1050" spans="68:74" x14ac:dyDescent="0.25">
      <c r="BQ1050">
        <v>30500112</v>
      </c>
      <c r="BR1050" s="15" t="s">
        <v>239</v>
      </c>
      <c r="BS1050" t="s">
        <v>230</v>
      </c>
      <c r="BT1050" t="s">
        <v>1809</v>
      </c>
      <c r="BU1050" t="s">
        <v>681</v>
      </c>
      <c r="BV1050" t="s">
        <v>680</v>
      </c>
    </row>
    <row r="1051" spans="68:74" x14ac:dyDescent="0.25">
      <c r="BP1051">
        <v>12914</v>
      </c>
      <c r="BQ1051">
        <v>30500162</v>
      </c>
      <c r="BR1051" s="15" t="s">
        <v>239</v>
      </c>
      <c r="BS1051" t="s">
        <v>230</v>
      </c>
      <c r="BT1051" t="s">
        <v>1810</v>
      </c>
      <c r="BU1051" t="s">
        <v>681</v>
      </c>
      <c r="BV1051" t="s">
        <v>1153</v>
      </c>
    </row>
    <row r="1052" spans="68:74" x14ac:dyDescent="0.25">
      <c r="BQ1052">
        <v>30500163</v>
      </c>
      <c r="BR1052" s="15" t="s">
        <v>239</v>
      </c>
      <c r="BS1052" t="s">
        <v>230</v>
      </c>
      <c r="BT1052" t="s">
        <v>1810</v>
      </c>
      <c r="BU1052" t="s">
        <v>682</v>
      </c>
      <c r="BV1052" t="s">
        <v>680</v>
      </c>
    </row>
    <row r="1053" spans="68:74" x14ac:dyDescent="0.25">
      <c r="BQ1053">
        <v>3050016301</v>
      </c>
      <c r="BR1053" s="15" t="s">
        <v>239</v>
      </c>
      <c r="BS1053" t="s">
        <v>230</v>
      </c>
      <c r="BT1053" t="s">
        <v>1810</v>
      </c>
      <c r="BU1053" t="s">
        <v>682</v>
      </c>
      <c r="BV1053" t="s">
        <v>1149</v>
      </c>
    </row>
    <row r="1054" spans="68:74" x14ac:dyDescent="0.25">
      <c r="BP1054">
        <v>12949</v>
      </c>
      <c r="BQ1054">
        <v>3050016302</v>
      </c>
      <c r="BR1054" s="15" t="s">
        <v>239</v>
      </c>
      <c r="BS1054" t="s">
        <v>230</v>
      </c>
      <c r="BT1054" t="s">
        <v>1811</v>
      </c>
      <c r="BU1054" t="s">
        <v>682</v>
      </c>
      <c r="BV1054" t="s">
        <v>1149</v>
      </c>
    </row>
    <row r="1055" spans="68:74" x14ac:dyDescent="0.25">
      <c r="BP1055">
        <v>12920</v>
      </c>
      <c r="BQ1055">
        <v>30501262</v>
      </c>
      <c r="BR1055" s="15" t="s">
        <v>239</v>
      </c>
      <c r="BS1055" t="s">
        <v>230</v>
      </c>
      <c r="BT1055" t="s">
        <v>1812</v>
      </c>
      <c r="BU1055" t="s">
        <v>681</v>
      </c>
      <c r="BV1055" t="s">
        <v>1153</v>
      </c>
    </row>
    <row r="1056" spans="68:74" x14ac:dyDescent="0.25">
      <c r="BP1056">
        <v>12927</v>
      </c>
      <c r="BQ1056">
        <v>3050005303</v>
      </c>
      <c r="BR1056" s="15" t="s">
        <v>239</v>
      </c>
      <c r="BS1056" t="s">
        <v>230</v>
      </c>
      <c r="BT1056" t="s">
        <v>1813</v>
      </c>
      <c r="BU1056" t="s">
        <v>682</v>
      </c>
      <c r="BV1056" t="s">
        <v>1149</v>
      </c>
    </row>
    <row r="1057" spans="68:74" x14ac:dyDescent="0.25">
      <c r="BQ1057">
        <v>30500123</v>
      </c>
      <c r="BR1057" s="15" t="s">
        <v>239</v>
      </c>
      <c r="BS1057" t="s">
        <v>230</v>
      </c>
      <c r="BT1057" t="s">
        <v>1814</v>
      </c>
      <c r="BU1057" t="s">
        <v>682</v>
      </c>
      <c r="BV1057" t="s">
        <v>680</v>
      </c>
    </row>
    <row r="1058" spans="68:74" x14ac:dyDescent="0.25">
      <c r="BQ1058">
        <v>30500243</v>
      </c>
      <c r="BR1058" s="15" t="s">
        <v>239</v>
      </c>
      <c r="BS1058" t="s">
        <v>230</v>
      </c>
      <c r="BT1058" t="s">
        <v>1815</v>
      </c>
      <c r="BU1058" t="s">
        <v>682</v>
      </c>
      <c r="BV1058" t="s">
        <v>680</v>
      </c>
    </row>
    <row r="1059" spans="68:74" x14ac:dyDescent="0.25">
      <c r="BP1059">
        <v>12939</v>
      </c>
      <c r="BQ1059">
        <v>3050006311</v>
      </c>
      <c r="BR1059" s="15" t="s">
        <v>239</v>
      </c>
      <c r="BS1059" t="s">
        <v>230</v>
      </c>
      <c r="BT1059" t="s">
        <v>1816</v>
      </c>
      <c r="BU1059" t="s">
        <v>682</v>
      </c>
      <c r="BV1059" t="s">
        <v>1149</v>
      </c>
    </row>
    <row r="1060" spans="68:74" x14ac:dyDescent="0.25">
      <c r="BP1060">
        <v>12946</v>
      </c>
      <c r="BQ1060">
        <v>3050006318</v>
      </c>
      <c r="BR1060" s="15" t="s">
        <v>239</v>
      </c>
      <c r="BS1060" t="s">
        <v>230</v>
      </c>
      <c r="BT1060" t="s">
        <v>1817</v>
      </c>
      <c r="BU1060" t="s">
        <v>682</v>
      </c>
      <c r="BV1060" t="s">
        <v>1149</v>
      </c>
    </row>
    <row r="1061" spans="68:74" x14ac:dyDescent="0.25">
      <c r="BQ1061">
        <v>30500262</v>
      </c>
      <c r="BR1061" s="15" t="s">
        <v>239</v>
      </c>
      <c r="BS1061" t="s">
        <v>230</v>
      </c>
      <c r="BT1061" t="s">
        <v>1818</v>
      </c>
      <c r="BU1061" t="s">
        <v>681</v>
      </c>
      <c r="BV1061" t="s">
        <v>680</v>
      </c>
    </row>
    <row r="1062" spans="68:74" x14ac:dyDescent="0.25">
      <c r="BQ1062">
        <v>30500173</v>
      </c>
      <c r="BR1062" s="15" t="s">
        <v>239</v>
      </c>
      <c r="BS1062" t="s">
        <v>230</v>
      </c>
      <c r="BT1062" t="s">
        <v>1819</v>
      </c>
      <c r="BU1062" t="s">
        <v>682</v>
      </c>
      <c r="BV1062" t="s">
        <v>680</v>
      </c>
    </row>
    <row r="1063" spans="68:74" x14ac:dyDescent="0.25">
      <c r="BP1063">
        <v>12947</v>
      </c>
      <c r="BQ1063">
        <v>3050006319</v>
      </c>
      <c r="BR1063" s="15" t="s">
        <v>239</v>
      </c>
      <c r="BS1063" t="s">
        <v>230</v>
      </c>
      <c r="BT1063" t="s">
        <v>1820</v>
      </c>
      <c r="BU1063" t="s">
        <v>682</v>
      </c>
      <c r="BV1063" t="s">
        <v>1149</v>
      </c>
    </row>
    <row r="1064" spans="68:74" x14ac:dyDescent="0.25">
      <c r="BQ1064">
        <v>30500183</v>
      </c>
      <c r="BR1064" s="15" t="s">
        <v>239</v>
      </c>
      <c r="BS1064" t="s">
        <v>230</v>
      </c>
      <c r="BT1064" t="s">
        <v>1821</v>
      </c>
      <c r="BU1064" t="s">
        <v>682</v>
      </c>
      <c r="BV1064" t="s">
        <v>680</v>
      </c>
    </row>
    <row r="1065" spans="68:74" x14ac:dyDescent="0.25">
      <c r="BP1065">
        <v>12933</v>
      </c>
      <c r="BQ1065">
        <v>3050006305</v>
      </c>
      <c r="BR1065" s="15" t="s">
        <v>239</v>
      </c>
      <c r="BS1065" t="s">
        <v>230</v>
      </c>
      <c r="BT1065" t="s">
        <v>1822</v>
      </c>
      <c r="BU1065" t="s">
        <v>682</v>
      </c>
      <c r="BV1065" t="s">
        <v>1153</v>
      </c>
    </row>
    <row r="1066" spans="68:74" x14ac:dyDescent="0.25">
      <c r="BP1066">
        <v>12934</v>
      </c>
      <c r="BQ1066">
        <v>3050006305</v>
      </c>
      <c r="BR1066" s="15" t="s">
        <v>239</v>
      </c>
      <c r="BS1066" t="s">
        <v>230</v>
      </c>
      <c r="BT1066" t="s">
        <v>1822</v>
      </c>
      <c r="BU1066" t="s">
        <v>682</v>
      </c>
      <c r="BV1066" t="s">
        <v>1149</v>
      </c>
    </row>
    <row r="1067" spans="68:74" x14ac:dyDescent="0.25">
      <c r="BP1067">
        <v>12937</v>
      </c>
      <c r="BQ1067">
        <v>3050006309</v>
      </c>
      <c r="BR1067" s="15" t="s">
        <v>239</v>
      </c>
      <c r="BS1067" t="s">
        <v>230</v>
      </c>
      <c r="BT1067" t="s">
        <v>1823</v>
      </c>
      <c r="BU1067" t="s">
        <v>682</v>
      </c>
      <c r="BV1067" t="s">
        <v>1149</v>
      </c>
    </row>
    <row r="1068" spans="68:74" x14ac:dyDescent="0.25">
      <c r="BQ1068">
        <v>30500233</v>
      </c>
      <c r="BR1068" s="15" t="s">
        <v>239</v>
      </c>
      <c r="BS1068" t="s">
        <v>230</v>
      </c>
      <c r="BT1068" t="s">
        <v>1824</v>
      </c>
      <c r="BU1068" t="s">
        <v>682</v>
      </c>
      <c r="BV1068" t="s">
        <v>680</v>
      </c>
    </row>
    <row r="1069" spans="68:74" x14ac:dyDescent="0.25">
      <c r="BP1069">
        <v>12945</v>
      </c>
      <c r="BQ1069">
        <v>3050006317</v>
      </c>
      <c r="BR1069" s="15" t="s">
        <v>239</v>
      </c>
      <c r="BS1069" t="s">
        <v>230</v>
      </c>
      <c r="BT1069" t="s">
        <v>1825</v>
      </c>
      <c r="BU1069" t="s">
        <v>682</v>
      </c>
      <c r="BV1069" t="s">
        <v>1149</v>
      </c>
    </row>
    <row r="1070" spans="68:74" x14ac:dyDescent="0.25">
      <c r="BQ1070">
        <v>30500133</v>
      </c>
      <c r="BR1070" s="15" t="s">
        <v>239</v>
      </c>
      <c r="BS1070" t="s">
        <v>230</v>
      </c>
      <c r="BT1070" t="s">
        <v>1826</v>
      </c>
      <c r="BU1070" t="s">
        <v>682</v>
      </c>
      <c r="BV1070" t="s">
        <v>680</v>
      </c>
    </row>
    <row r="1071" spans="68:74" x14ac:dyDescent="0.25">
      <c r="BP1071">
        <v>12935</v>
      </c>
      <c r="BQ1071">
        <v>3050006306</v>
      </c>
      <c r="BR1071" s="15" t="s">
        <v>239</v>
      </c>
      <c r="BS1071" t="s">
        <v>230</v>
      </c>
      <c r="BT1071" t="s">
        <v>1827</v>
      </c>
      <c r="BU1071" t="s">
        <v>682</v>
      </c>
      <c r="BV1071" t="s">
        <v>1149</v>
      </c>
    </row>
    <row r="1072" spans="68:74" x14ac:dyDescent="0.25">
      <c r="BP1072">
        <v>12940</v>
      </c>
      <c r="BQ1072">
        <v>3050006312</v>
      </c>
      <c r="BR1072" s="15" t="s">
        <v>239</v>
      </c>
      <c r="BS1072" t="s">
        <v>230</v>
      </c>
      <c r="BT1072" t="s">
        <v>1828</v>
      </c>
      <c r="BU1072" t="s">
        <v>682</v>
      </c>
      <c r="BV1072" t="s">
        <v>1149</v>
      </c>
    </row>
    <row r="1073" spans="68:74" x14ac:dyDescent="0.25">
      <c r="BP1073">
        <v>12938</v>
      </c>
      <c r="BQ1073">
        <v>3050006310</v>
      </c>
      <c r="BR1073" s="15" t="s">
        <v>239</v>
      </c>
      <c r="BS1073" t="s">
        <v>230</v>
      </c>
      <c r="BT1073" t="s">
        <v>1829</v>
      </c>
      <c r="BU1073" t="s">
        <v>682</v>
      </c>
      <c r="BV1073" t="s">
        <v>1149</v>
      </c>
    </row>
    <row r="1074" spans="68:74" x14ac:dyDescent="0.25">
      <c r="BP1074">
        <v>12942</v>
      </c>
      <c r="BQ1074">
        <v>3050006314</v>
      </c>
      <c r="BR1074" s="15" t="s">
        <v>239</v>
      </c>
      <c r="BS1074" t="s">
        <v>230</v>
      </c>
      <c r="BT1074" t="s">
        <v>1830</v>
      </c>
      <c r="BU1074" t="s">
        <v>682</v>
      </c>
      <c r="BV1074" t="s">
        <v>1149</v>
      </c>
    </row>
    <row r="1075" spans="68:74" x14ac:dyDescent="0.25">
      <c r="BP1075">
        <v>12943</v>
      </c>
      <c r="BQ1075">
        <v>3050006315</v>
      </c>
      <c r="BR1075" s="15" t="s">
        <v>239</v>
      </c>
      <c r="BS1075" t="s">
        <v>230</v>
      </c>
      <c r="BT1075" t="s">
        <v>1831</v>
      </c>
      <c r="BU1075" t="s">
        <v>682</v>
      </c>
      <c r="BV1075" t="s">
        <v>1149</v>
      </c>
    </row>
    <row r="1076" spans="68:74" x14ac:dyDescent="0.25">
      <c r="BP1076">
        <v>12925</v>
      </c>
      <c r="BQ1076">
        <v>3050005302</v>
      </c>
      <c r="BR1076" s="15" t="s">
        <v>239</v>
      </c>
      <c r="BS1076" t="s">
        <v>230</v>
      </c>
      <c r="BT1076" t="s">
        <v>1832</v>
      </c>
      <c r="BU1076" t="s">
        <v>682</v>
      </c>
      <c r="BV1076" t="s">
        <v>1153</v>
      </c>
    </row>
    <row r="1077" spans="68:74" x14ac:dyDescent="0.25">
      <c r="BP1077">
        <v>12926</v>
      </c>
      <c r="BQ1077">
        <v>3050005302</v>
      </c>
      <c r="BR1077" s="15" t="s">
        <v>239</v>
      </c>
      <c r="BS1077" t="s">
        <v>230</v>
      </c>
      <c r="BT1077" t="s">
        <v>1832</v>
      </c>
      <c r="BU1077" t="s">
        <v>682</v>
      </c>
      <c r="BV1077" t="s">
        <v>1149</v>
      </c>
    </row>
    <row r="1078" spans="68:74" x14ac:dyDescent="0.25">
      <c r="BP1078">
        <v>10866</v>
      </c>
      <c r="BQ1078">
        <v>30501252</v>
      </c>
      <c r="BR1078" s="15" t="s">
        <v>239</v>
      </c>
      <c r="BS1078" t="s">
        <v>230</v>
      </c>
      <c r="BT1078" t="s">
        <v>1833</v>
      </c>
      <c r="BU1078" t="s">
        <v>681</v>
      </c>
      <c r="BV1078" t="s">
        <v>1153</v>
      </c>
    </row>
    <row r="1079" spans="68:74" x14ac:dyDescent="0.25">
      <c r="BQ1079">
        <v>30500272</v>
      </c>
      <c r="BR1079" s="15" t="s">
        <v>239</v>
      </c>
      <c r="BS1079" t="s">
        <v>230</v>
      </c>
      <c r="BT1079" t="s">
        <v>1834</v>
      </c>
      <c r="BU1079" t="s">
        <v>681</v>
      </c>
      <c r="BV1079" t="s">
        <v>680</v>
      </c>
    </row>
    <row r="1080" spans="68:74" x14ac:dyDescent="0.25">
      <c r="BP1080">
        <v>12917</v>
      </c>
      <c r="BQ1080">
        <v>30501073</v>
      </c>
      <c r="BR1080" s="15" t="s">
        <v>239</v>
      </c>
      <c r="BS1080" t="s">
        <v>230</v>
      </c>
      <c r="BT1080" t="s">
        <v>1835</v>
      </c>
      <c r="BU1080" t="s">
        <v>682</v>
      </c>
      <c r="BV1080" t="s">
        <v>1149</v>
      </c>
    </row>
    <row r="1081" spans="68:74" x14ac:dyDescent="0.25">
      <c r="BP1081">
        <v>12928</v>
      </c>
      <c r="BQ1081">
        <v>3050005304</v>
      </c>
      <c r="BR1081" s="15" t="s">
        <v>239</v>
      </c>
      <c r="BS1081" t="s">
        <v>230</v>
      </c>
      <c r="BT1081" t="s">
        <v>1835</v>
      </c>
      <c r="BU1081" t="s">
        <v>682</v>
      </c>
      <c r="BV1081" t="s">
        <v>1149</v>
      </c>
    </row>
    <row r="1082" spans="68:74" x14ac:dyDescent="0.25">
      <c r="BP1082">
        <v>12944</v>
      </c>
      <c r="BQ1082">
        <v>3050006316</v>
      </c>
      <c r="BR1082" s="15" t="s">
        <v>239</v>
      </c>
      <c r="BS1082" t="s">
        <v>230</v>
      </c>
      <c r="BT1082" t="s">
        <v>1836</v>
      </c>
      <c r="BU1082" t="s">
        <v>682</v>
      </c>
      <c r="BV1082" t="s">
        <v>1149</v>
      </c>
    </row>
    <row r="1083" spans="68:74" x14ac:dyDescent="0.25">
      <c r="BP1083">
        <v>12950</v>
      </c>
      <c r="BQ1083">
        <v>3050016303</v>
      </c>
      <c r="BR1083" s="15" t="s">
        <v>239</v>
      </c>
      <c r="BS1083" t="s">
        <v>230</v>
      </c>
      <c r="BT1083" t="s">
        <v>1837</v>
      </c>
      <c r="BU1083" t="s">
        <v>682</v>
      </c>
      <c r="BV1083" t="s">
        <v>1149</v>
      </c>
    </row>
    <row r="1084" spans="68:74" x14ac:dyDescent="0.25">
      <c r="BQ1084">
        <v>3050006307</v>
      </c>
      <c r="BR1084" s="15" t="s">
        <v>239</v>
      </c>
      <c r="BS1084" t="s">
        <v>230</v>
      </c>
      <c r="BT1084" t="s">
        <v>1838</v>
      </c>
      <c r="BU1084" t="s">
        <v>682</v>
      </c>
      <c r="BV1084" t="s">
        <v>1153</v>
      </c>
    </row>
    <row r="1085" spans="68:74" x14ac:dyDescent="0.25">
      <c r="BP1085">
        <v>10995</v>
      </c>
      <c r="BQ1085">
        <v>3050015308</v>
      </c>
      <c r="BR1085" s="15" t="s">
        <v>239</v>
      </c>
      <c r="BS1085" t="s">
        <v>230</v>
      </c>
      <c r="BT1085" t="s">
        <v>1839</v>
      </c>
      <c r="BU1085" t="s">
        <v>682</v>
      </c>
      <c r="BV1085" t="s">
        <v>1149</v>
      </c>
    </row>
    <row r="1086" spans="68:74" x14ac:dyDescent="0.25">
      <c r="BP1086">
        <v>10991</v>
      </c>
      <c r="BQ1086">
        <v>3050015303</v>
      </c>
      <c r="BR1086" s="15" t="s">
        <v>239</v>
      </c>
      <c r="BS1086" t="s">
        <v>230</v>
      </c>
      <c r="BT1086" t="s">
        <v>1840</v>
      </c>
      <c r="BU1086" t="s">
        <v>682</v>
      </c>
      <c r="BV1086" t="s">
        <v>1149</v>
      </c>
    </row>
    <row r="1087" spans="68:74" x14ac:dyDescent="0.25">
      <c r="BP1087">
        <v>10990</v>
      </c>
      <c r="BQ1087">
        <v>3050015303</v>
      </c>
      <c r="BR1087" s="15" t="s">
        <v>239</v>
      </c>
      <c r="BS1087" t="s">
        <v>230</v>
      </c>
      <c r="BT1087" t="s">
        <v>1840</v>
      </c>
      <c r="BU1087" t="s">
        <v>682</v>
      </c>
      <c r="BV1087" t="s">
        <v>1153</v>
      </c>
    </row>
    <row r="1088" spans="68:74" x14ac:dyDescent="0.25">
      <c r="BQ1088">
        <v>30500253</v>
      </c>
      <c r="BR1088" s="15" t="s">
        <v>239</v>
      </c>
      <c r="BS1088" t="s">
        <v>230</v>
      </c>
      <c r="BT1088" t="s">
        <v>1841</v>
      </c>
      <c r="BU1088" t="s">
        <v>682</v>
      </c>
      <c r="BV1088" t="s">
        <v>680</v>
      </c>
    </row>
    <row r="1089" spans="68:74" x14ac:dyDescent="0.25">
      <c r="BQ1089">
        <v>30500283</v>
      </c>
      <c r="BR1089" s="15" t="s">
        <v>239</v>
      </c>
      <c r="BS1089" t="s">
        <v>230</v>
      </c>
      <c r="BT1089" t="s">
        <v>1842</v>
      </c>
      <c r="BU1089" t="s">
        <v>682</v>
      </c>
      <c r="BV1089" t="s">
        <v>680</v>
      </c>
    </row>
    <row r="1090" spans="68:74" x14ac:dyDescent="0.25">
      <c r="BQ1090">
        <v>30500293</v>
      </c>
      <c r="BR1090" s="15" t="s">
        <v>239</v>
      </c>
      <c r="BS1090" t="s">
        <v>230</v>
      </c>
      <c r="BT1090" t="s">
        <v>1843</v>
      </c>
      <c r="BU1090" t="s">
        <v>682</v>
      </c>
      <c r="BV1090" t="s">
        <v>680</v>
      </c>
    </row>
    <row r="1091" spans="68:74" x14ac:dyDescent="0.25">
      <c r="BQ1091">
        <v>30600013</v>
      </c>
      <c r="BR1091" s="15" t="s">
        <v>240</v>
      </c>
      <c r="BS1091" t="s">
        <v>231</v>
      </c>
      <c r="BT1091" t="s">
        <v>1657</v>
      </c>
      <c r="BU1091" t="s">
        <v>682</v>
      </c>
      <c r="BV1091" t="s">
        <v>680</v>
      </c>
    </row>
    <row r="1092" spans="68:74" x14ac:dyDescent="0.25">
      <c r="BQ1092">
        <v>3060002301</v>
      </c>
      <c r="BR1092" s="15" t="s">
        <v>240</v>
      </c>
      <c r="BS1092" t="s">
        <v>231</v>
      </c>
      <c r="BT1092" t="s">
        <v>1844</v>
      </c>
      <c r="BU1092" t="s">
        <v>682</v>
      </c>
      <c r="BV1092" t="s">
        <v>680</v>
      </c>
    </row>
    <row r="1093" spans="68:74" x14ac:dyDescent="0.25">
      <c r="BQ1093">
        <v>3060002302</v>
      </c>
      <c r="BR1093" s="15" t="s">
        <v>240</v>
      </c>
      <c r="BS1093" t="s">
        <v>231</v>
      </c>
      <c r="BT1093" t="s">
        <v>1844</v>
      </c>
      <c r="BU1093" t="s">
        <v>682</v>
      </c>
      <c r="BV1093" t="s">
        <v>680</v>
      </c>
    </row>
    <row r="1094" spans="68:74" x14ac:dyDescent="0.25">
      <c r="BQ1094">
        <v>3060002303</v>
      </c>
      <c r="BR1094" s="15" t="s">
        <v>240</v>
      </c>
      <c r="BS1094" t="s">
        <v>231</v>
      </c>
      <c r="BT1094" t="s">
        <v>1845</v>
      </c>
      <c r="BU1094" t="s">
        <v>682</v>
      </c>
      <c r="BV1094" t="s">
        <v>680</v>
      </c>
    </row>
    <row r="1095" spans="68:74" x14ac:dyDescent="0.25">
      <c r="BQ1095">
        <v>3060002304</v>
      </c>
      <c r="BR1095" s="15" t="s">
        <v>240</v>
      </c>
      <c r="BS1095" t="s">
        <v>231</v>
      </c>
      <c r="BT1095" t="s">
        <v>1845</v>
      </c>
      <c r="BU1095" t="s">
        <v>682</v>
      </c>
      <c r="BV1095" t="s">
        <v>680</v>
      </c>
    </row>
    <row r="1096" spans="68:74" x14ac:dyDescent="0.25">
      <c r="BQ1096">
        <v>3060002307</v>
      </c>
      <c r="BR1096" s="15" t="s">
        <v>240</v>
      </c>
      <c r="BS1096" t="s">
        <v>231</v>
      </c>
      <c r="BT1096" t="s">
        <v>1846</v>
      </c>
      <c r="BU1096" t="s">
        <v>682</v>
      </c>
      <c r="BV1096" t="s">
        <v>680</v>
      </c>
    </row>
    <row r="1097" spans="68:74" x14ac:dyDescent="0.25">
      <c r="BQ1097">
        <v>3060002308</v>
      </c>
      <c r="BR1097" s="15" t="s">
        <v>240</v>
      </c>
      <c r="BS1097" t="s">
        <v>231</v>
      </c>
      <c r="BT1097" t="s">
        <v>1846</v>
      </c>
      <c r="BU1097" t="s">
        <v>682</v>
      </c>
      <c r="BV1097" t="s">
        <v>680</v>
      </c>
    </row>
    <row r="1098" spans="68:74" x14ac:dyDescent="0.25">
      <c r="BQ1098">
        <v>3060002305</v>
      </c>
      <c r="BR1098" s="15" t="s">
        <v>240</v>
      </c>
      <c r="BS1098" t="s">
        <v>231</v>
      </c>
      <c r="BT1098" t="s">
        <v>1847</v>
      </c>
      <c r="BU1098" t="s">
        <v>682</v>
      </c>
      <c r="BV1098" t="s">
        <v>680</v>
      </c>
    </row>
    <row r="1099" spans="68:74" x14ac:dyDescent="0.25">
      <c r="BQ1099">
        <v>3060002306</v>
      </c>
      <c r="BR1099" s="15" t="s">
        <v>240</v>
      </c>
      <c r="BS1099" t="s">
        <v>231</v>
      </c>
      <c r="BT1099" t="s">
        <v>1847</v>
      </c>
      <c r="BU1099" t="s">
        <v>682</v>
      </c>
      <c r="BV1099" t="s">
        <v>680</v>
      </c>
    </row>
    <row r="1100" spans="68:74" x14ac:dyDescent="0.25">
      <c r="BQ1100">
        <v>30600022</v>
      </c>
      <c r="BR1100" s="15" t="s">
        <v>240</v>
      </c>
      <c r="BS1100" t="s">
        <v>231</v>
      </c>
      <c r="BT1100" t="s">
        <v>1741</v>
      </c>
      <c r="BU1100" t="s">
        <v>681</v>
      </c>
      <c r="BV1100" t="s">
        <v>680</v>
      </c>
    </row>
    <row r="1101" spans="68:74" x14ac:dyDescent="0.25">
      <c r="BQ1101">
        <v>30600023</v>
      </c>
      <c r="BR1101" s="15" t="s">
        <v>240</v>
      </c>
      <c r="BS1101" t="s">
        <v>231</v>
      </c>
      <c r="BT1101" t="s">
        <v>1741</v>
      </c>
      <c r="BU1101" t="s">
        <v>682</v>
      </c>
      <c r="BV1101" t="s">
        <v>680</v>
      </c>
    </row>
    <row r="1102" spans="68:74" x14ac:dyDescent="0.25">
      <c r="BQ1102">
        <v>30600032</v>
      </c>
      <c r="BR1102" s="15" t="s">
        <v>240</v>
      </c>
      <c r="BS1102" t="s">
        <v>231</v>
      </c>
      <c r="BT1102" t="s">
        <v>231</v>
      </c>
      <c r="BU1102" t="s">
        <v>681</v>
      </c>
      <c r="BV1102" t="s">
        <v>680</v>
      </c>
    </row>
    <row r="1103" spans="68:74" x14ac:dyDescent="0.25">
      <c r="BP1103">
        <v>12483</v>
      </c>
      <c r="BQ1103">
        <v>30600033</v>
      </c>
      <c r="BR1103" s="15" t="s">
        <v>240</v>
      </c>
      <c r="BS1103" t="s">
        <v>231</v>
      </c>
      <c r="BT1103" t="s">
        <v>231</v>
      </c>
      <c r="BU1103" t="s">
        <v>682</v>
      </c>
      <c r="BV1103" t="s">
        <v>1149</v>
      </c>
    </row>
    <row r="1104" spans="68:74" x14ac:dyDescent="0.25">
      <c r="BP1104">
        <v>12482</v>
      </c>
      <c r="BQ1104">
        <v>30600033</v>
      </c>
      <c r="BR1104" s="15" t="s">
        <v>240</v>
      </c>
      <c r="BS1104" t="s">
        <v>231</v>
      </c>
      <c r="BT1104" t="s">
        <v>231</v>
      </c>
      <c r="BU1104" t="s">
        <v>682</v>
      </c>
      <c r="BV1104" t="s">
        <v>1153</v>
      </c>
    </row>
    <row r="1105" spans="68:74" x14ac:dyDescent="0.25">
      <c r="BQ1105">
        <v>30600043</v>
      </c>
      <c r="BR1105" s="15" t="s">
        <v>240</v>
      </c>
      <c r="BS1105" t="s">
        <v>231</v>
      </c>
      <c r="BT1105" t="s">
        <v>231</v>
      </c>
      <c r="BU1105" t="s">
        <v>682</v>
      </c>
      <c r="BV1105" t="s">
        <v>680</v>
      </c>
    </row>
    <row r="1106" spans="68:74" x14ac:dyDescent="0.25">
      <c r="BP1106">
        <v>12530</v>
      </c>
      <c r="BQ1106">
        <v>30600263</v>
      </c>
      <c r="BR1106" s="15" t="s">
        <v>240</v>
      </c>
      <c r="BS1106" t="s">
        <v>231</v>
      </c>
      <c r="BT1106" t="s">
        <v>1848</v>
      </c>
      <c r="BU1106" t="s">
        <v>682</v>
      </c>
      <c r="BV1106" t="s">
        <v>1149</v>
      </c>
    </row>
    <row r="1107" spans="68:74" x14ac:dyDescent="0.25">
      <c r="BQ1107">
        <v>3060002310</v>
      </c>
      <c r="BR1107" s="15" t="s">
        <v>240</v>
      </c>
      <c r="BS1107" t="s">
        <v>231</v>
      </c>
      <c r="BT1107" t="s">
        <v>1849</v>
      </c>
      <c r="BU1107" t="s">
        <v>682</v>
      </c>
      <c r="BV1107" t="s">
        <v>680</v>
      </c>
    </row>
    <row r="1108" spans="68:74" x14ac:dyDescent="0.25">
      <c r="BQ1108">
        <v>3060002309</v>
      </c>
      <c r="BR1108" s="15" t="s">
        <v>240</v>
      </c>
      <c r="BS1108" t="s">
        <v>231</v>
      </c>
      <c r="BT1108" t="s">
        <v>1850</v>
      </c>
      <c r="BU1108" t="s">
        <v>682</v>
      </c>
      <c r="BV1108" t="s">
        <v>680</v>
      </c>
    </row>
    <row r="1109" spans="68:74" x14ac:dyDescent="0.25">
      <c r="BQ1109">
        <v>3060002311</v>
      </c>
      <c r="BR1109" s="15" t="s">
        <v>240</v>
      </c>
      <c r="BS1109" t="s">
        <v>231</v>
      </c>
      <c r="BT1109" t="s">
        <v>1851</v>
      </c>
      <c r="BU1109" t="s">
        <v>682</v>
      </c>
      <c r="BV1109" t="s">
        <v>680</v>
      </c>
    </row>
    <row r="1110" spans="68:74" x14ac:dyDescent="0.25">
      <c r="BP1110">
        <v>11004</v>
      </c>
      <c r="BQ1110">
        <v>3070006305</v>
      </c>
      <c r="BR1110" s="15" t="s">
        <v>241</v>
      </c>
      <c r="BS1110" t="s">
        <v>232</v>
      </c>
      <c r="BT1110" t="s">
        <v>1715</v>
      </c>
      <c r="BU1110" t="s">
        <v>682</v>
      </c>
      <c r="BV1110" t="s">
        <v>1149</v>
      </c>
    </row>
    <row r="1111" spans="68:74" x14ac:dyDescent="0.25">
      <c r="BQ1111">
        <v>30700292</v>
      </c>
      <c r="BR1111" s="15" t="s">
        <v>241</v>
      </c>
      <c r="BS1111" t="s">
        <v>232</v>
      </c>
      <c r="BT1111" t="s">
        <v>232</v>
      </c>
      <c r="BU1111" t="s">
        <v>681</v>
      </c>
      <c r="BV1111" t="s">
        <v>680</v>
      </c>
    </row>
    <row r="1112" spans="68:74" x14ac:dyDescent="0.25">
      <c r="BP1112">
        <v>12784</v>
      </c>
      <c r="BQ1112">
        <v>3070007301</v>
      </c>
      <c r="BR1112" s="15" t="s">
        <v>241</v>
      </c>
      <c r="BS1112" t="s">
        <v>232</v>
      </c>
      <c r="BT1112" t="s">
        <v>232</v>
      </c>
      <c r="BU1112" t="s">
        <v>682</v>
      </c>
      <c r="BV1112" t="s">
        <v>1153</v>
      </c>
    </row>
    <row r="1113" spans="68:74" x14ac:dyDescent="0.25">
      <c r="BQ1113">
        <v>30700012</v>
      </c>
      <c r="BR1113" s="15" t="s">
        <v>241</v>
      </c>
      <c r="BS1113" t="s">
        <v>232</v>
      </c>
      <c r="BT1113" t="s">
        <v>1852</v>
      </c>
      <c r="BU1113" t="s">
        <v>681</v>
      </c>
      <c r="BV1113" t="s">
        <v>680</v>
      </c>
    </row>
    <row r="1114" spans="68:74" x14ac:dyDescent="0.25">
      <c r="BQ1114">
        <v>30700013</v>
      </c>
      <c r="BR1114" s="15" t="s">
        <v>241</v>
      </c>
      <c r="BS1114" t="s">
        <v>232</v>
      </c>
      <c r="BT1114" t="s">
        <v>1852</v>
      </c>
      <c r="BU1114" t="s">
        <v>682</v>
      </c>
      <c r="BV1114" t="s">
        <v>680</v>
      </c>
    </row>
    <row r="1115" spans="68:74" x14ac:dyDescent="0.25">
      <c r="BP1115">
        <v>12822</v>
      </c>
      <c r="BQ1115">
        <v>3070007336</v>
      </c>
      <c r="BR1115" s="15" t="s">
        <v>241</v>
      </c>
      <c r="BS1115" t="s">
        <v>232</v>
      </c>
      <c r="BT1115" t="s">
        <v>1853</v>
      </c>
      <c r="BU1115" t="s">
        <v>682</v>
      </c>
      <c r="BV1115" t="s">
        <v>1153</v>
      </c>
    </row>
    <row r="1116" spans="68:74" x14ac:dyDescent="0.25">
      <c r="BP1116">
        <v>12800</v>
      </c>
      <c r="BQ1116">
        <v>3070007319</v>
      </c>
      <c r="BR1116" s="15" t="s">
        <v>241</v>
      </c>
      <c r="BS1116" t="s">
        <v>232</v>
      </c>
      <c r="BT1116" t="s">
        <v>1854</v>
      </c>
      <c r="BU1116" t="s">
        <v>682</v>
      </c>
      <c r="BV1116" t="s">
        <v>1153</v>
      </c>
    </row>
    <row r="1117" spans="68:74" x14ac:dyDescent="0.25">
      <c r="BP1117">
        <v>12801</v>
      </c>
      <c r="BQ1117">
        <v>3070007320</v>
      </c>
      <c r="BR1117" s="15" t="s">
        <v>241</v>
      </c>
      <c r="BS1117" t="s">
        <v>232</v>
      </c>
      <c r="BT1117" t="s">
        <v>1855</v>
      </c>
      <c r="BU1117" t="s">
        <v>682</v>
      </c>
      <c r="BV1117" t="s">
        <v>1153</v>
      </c>
    </row>
    <row r="1118" spans="68:74" x14ac:dyDescent="0.25">
      <c r="BP1118">
        <v>78546</v>
      </c>
      <c r="BQ1118">
        <v>3070007317</v>
      </c>
      <c r="BR1118" s="15" t="s">
        <v>241</v>
      </c>
      <c r="BS1118" t="s">
        <v>232</v>
      </c>
      <c r="BT1118" t="s">
        <v>1856</v>
      </c>
      <c r="BU1118" t="s">
        <v>682</v>
      </c>
      <c r="BV1118" t="s">
        <v>1153</v>
      </c>
    </row>
    <row r="1119" spans="68:74" x14ac:dyDescent="0.25">
      <c r="BP1119">
        <v>12799</v>
      </c>
      <c r="BQ1119">
        <v>3070007318</v>
      </c>
      <c r="BR1119" s="15" t="s">
        <v>241</v>
      </c>
      <c r="BS1119" t="s">
        <v>232</v>
      </c>
      <c r="BT1119" t="s">
        <v>1857</v>
      </c>
      <c r="BU1119" t="s">
        <v>682</v>
      </c>
      <c r="BV1119" t="s">
        <v>1153</v>
      </c>
    </row>
    <row r="1120" spans="68:74" x14ac:dyDescent="0.25">
      <c r="BP1120">
        <v>153585</v>
      </c>
      <c r="BQ1120">
        <v>30710833</v>
      </c>
      <c r="BR1120" s="15" t="s">
        <v>241</v>
      </c>
      <c r="BS1120" t="s">
        <v>232</v>
      </c>
      <c r="BT1120" t="s">
        <v>1858</v>
      </c>
      <c r="BU1120" t="s">
        <v>682</v>
      </c>
      <c r="BV1120" t="s">
        <v>1149</v>
      </c>
    </row>
    <row r="1121" spans="68:74" x14ac:dyDescent="0.25">
      <c r="BP1121">
        <v>12795</v>
      </c>
      <c r="BQ1121">
        <v>3070007312</v>
      </c>
      <c r="BR1121" s="15" t="s">
        <v>241</v>
      </c>
      <c r="BS1121" t="s">
        <v>232</v>
      </c>
      <c r="BT1121" t="s">
        <v>1859</v>
      </c>
      <c r="BU1121" t="s">
        <v>682</v>
      </c>
      <c r="BV1121" t="s">
        <v>1153</v>
      </c>
    </row>
    <row r="1122" spans="68:74" x14ac:dyDescent="0.25">
      <c r="BP1122">
        <v>12796</v>
      </c>
      <c r="BQ1122">
        <v>3070007313</v>
      </c>
      <c r="BR1122" s="15" t="s">
        <v>241</v>
      </c>
      <c r="BS1122" t="s">
        <v>232</v>
      </c>
      <c r="BT1122" t="s">
        <v>1859</v>
      </c>
      <c r="BU1122" t="s">
        <v>682</v>
      </c>
      <c r="BV1122" t="s">
        <v>1153</v>
      </c>
    </row>
    <row r="1123" spans="68:74" x14ac:dyDescent="0.25">
      <c r="BP1123">
        <v>12813</v>
      </c>
      <c r="BQ1123">
        <v>3070007328</v>
      </c>
      <c r="BR1123" s="15" t="s">
        <v>241</v>
      </c>
      <c r="BS1123" t="s">
        <v>232</v>
      </c>
      <c r="BT1123" t="s">
        <v>1860</v>
      </c>
      <c r="BU1123" t="s">
        <v>682</v>
      </c>
      <c r="BV1123" t="s">
        <v>1153</v>
      </c>
    </row>
    <row r="1124" spans="68:74" x14ac:dyDescent="0.25">
      <c r="BP1124">
        <v>12792</v>
      </c>
      <c r="BQ1124">
        <v>3070007309</v>
      </c>
      <c r="BR1124" s="15" t="s">
        <v>241</v>
      </c>
      <c r="BS1124" t="s">
        <v>232</v>
      </c>
      <c r="BT1124" t="s">
        <v>1861</v>
      </c>
      <c r="BU1124" t="s">
        <v>682</v>
      </c>
      <c r="BV1124" t="s">
        <v>1153</v>
      </c>
    </row>
    <row r="1125" spans="68:74" x14ac:dyDescent="0.25">
      <c r="BP1125">
        <v>12793</v>
      </c>
      <c r="BQ1125">
        <v>3070007310</v>
      </c>
      <c r="BR1125" s="15" t="s">
        <v>241</v>
      </c>
      <c r="BS1125" t="s">
        <v>232</v>
      </c>
      <c r="BT1125" t="s">
        <v>1861</v>
      </c>
      <c r="BU1125" t="s">
        <v>682</v>
      </c>
      <c r="BV1125" t="s">
        <v>1153</v>
      </c>
    </row>
    <row r="1126" spans="68:74" x14ac:dyDescent="0.25">
      <c r="BP1126">
        <v>12807</v>
      </c>
      <c r="BQ1126">
        <v>3070007324</v>
      </c>
      <c r="BR1126" s="15" t="s">
        <v>241</v>
      </c>
      <c r="BS1126" t="s">
        <v>232</v>
      </c>
      <c r="BT1126" t="s">
        <v>1862</v>
      </c>
      <c r="BU1126" t="s">
        <v>682</v>
      </c>
      <c r="BV1126" t="s">
        <v>1153</v>
      </c>
    </row>
    <row r="1127" spans="68:74" x14ac:dyDescent="0.25">
      <c r="BP1127">
        <v>12814</v>
      </c>
      <c r="BQ1127">
        <v>3070007329</v>
      </c>
      <c r="BR1127" s="15" t="s">
        <v>241</v>
      </c>
      <c r="BS1127" t="s">
        <v>232</v>
      </c>
      <c r="BT1127" t="s">
        <v>1863</v>
      </c>
      <c r="BU1127" t="s">
        <v>682</v>
      </c>
      <c r="BV1127" t="s">
        <v>1153</v>
      </c>
    </row>
    <row r="1128" spans="68:74" x14ac:dyDescent="0.25">
      <c r="BP1128">
        <v>12805</v>
      </c>
      <c r="BQ1128">
        <v>3070007323</v>
      </c>
      <c r="BR1128" s="15" t="s">
        <v>241</v>
      </c>
      <c r="BS1128" t="s">
        <v>232</v>
      </c>
      <c r="BT1128" t="s">
        <v>1864</v>
      </c>
      <c r="BU1128" t="s">
        <v>682</v>
      </c>
      <c r="BV1128" t="s">
        <v>1153</v>
      </c>
    </row>
    <row r="1129" spans="68:74" x14ac:dyDescent="0.25">
      <c r="BP1129">
        <v>12754</v>
      </c>
      <c r="BQ1129">
        <v>30702213</v>
      </c>
      <c r="BR1129" s="15" t="s">
        <v>241</v>
      </c>
      <c r="BS1129" t="s">
        <v>232</v>
      </c>
      <c r="BT1129" t="s">
        <v>1865</v>
      </c>
      <c r="BU1129" t="s">
        <v>682</v>
      </c>
      <c r="BV1129" t="s">
        <v>1153</v>
      </c>
    </row>
    <row r="1130" spans="68:74" x14ac:dyDescent="0.25">
      <c r="BP1130">
        <v>12809</v>
      </c>
      <c r="BQ1130">
        <v>3070007325</v>
      </c>
      <c r="BR1130" s="15" t="s">
        <v>241</v>
      </c>
      <c r="BS1130" t="s">
        <v>232</v>
      </c>
      <c r="BT1130" t="s">
        <v>1866</v>
      </c>
      <c r="BU1130" t="s">
        <v>682</v>
      </c>
      <c r="BV1130" t="s">
        <v>1153</v>
      </c>
    </row>
    <row r="1131" spans="68:74" x14ac:dyDescent="0.25">
      <c r="BP1131">
        <v>12750</v>
      </c>
      <c r="BQ1131">
        <v>30702163</v>
      </c>
      <c r="BR1131" s="15" t="s">
        <v>241</v>
      </c>
      <c r="BS1131" t="s">
        <v>232</v>
      </c>
      <c r="BT1131" t="s">
        <v>1867</v>
      </c>
      <c r="BU1131" t="s">
        <v>682</v>
      </c>
      <c r="BV1131" t="s">
        <v>1153</v>
      </c>
    </row>
    <row r="1132" spans="68:74" x14ac:dyDescent="0.25">
      <c r="BP1132">
        <v>12752</v>
      </c>
      <c r="BQ1132">
        <v>30702173</v>
      </c>
      <c r="BR1132" s="15" t="s">
        <v>241</v>
      </c>
      <c r="BS1132" t="s">
        <v>232</v>
      </c>
      <c r="BT1132" t="s">
        <v>1868</v>
      </c>
      <c r="BU1132" t="s">
        <v>682</v>
      </c>
      <c r="BV1132" t="s">
        <v>1153</v>
      </c>
    </row>
    <row r="1133" spans="68:74" x14ac:dyDescent="0.25">
      <c r="BP1133">
        <v>287085</v>
      </c>
      <c r="BQ1133">
        <v>30711103</v>
      </c>
      <c r="BR1133" s="15" t="s">
        <v>241</v>
      </c>
      <c r="BS1133" t="s">
        <v>232</v>
      </c>
      <c r="BT1133" t="s">
        <v>1869</v>
      </c>
      <c r="BU1133" t="s">
        <v>682</v>
      </c>
      <c r="BV1133" t="s">
        <v>1153</v>
      </c>
    </row>
    <row r="1134" spans="68:74" x14ac:dyDescent="0.25">
      <c r="BP1134">
        <v>12785</v>
      </c>
      <c r="BQ1134">
        <v>3070007302</v>
      </c>
      <c r="BR1134" s="15" t="s">
        <v>241</v>
      </c>
      <c r="BS1134" t="s">
        <v>232</v>
      </c>
      <c r="BT1134" t="s">
        <v>1870</v>
      </c>
      <c r="BU1134" t="s">
        <v>682</v>
      </c>
      <c r="BV1134" t="s">
        <v>1153</v>
      </c>
    </row>
    <row r="1135" spans="68:74" x14ac:dyDescent="0.25">
      <c r="BP1135">
        <v>12386</v>
      </c>
      <c r="BQ1135">
        <v>3070023304</v>
      </c>
      <c r="BR1135" s="15" t="s">
        <v>241</v>
      </c>
      <c r="BS1135" t="s">
        <v>232</v>
      </c>
      <c r="BT1135" t="s">
        <v>1871</v>
      </c>
      <c r="BU1135" t="s">
        <v>682</v>
      </c>
      <c r="BV1135" t="s">
        <v>1149</v>
      </c>
    </row>
    <row r="1136" spans="68:74" x14ac:dyDescent="0.25">
      <c r="BP1136">
        <v>12385</v>
      </c>
      <c r="BQ1136">
        <v>3070023304</v>
      </c>
      <c r="BR1136" s="15" t="s">
        <v>241</v>
      </c>
      <c r="BS1136" t="s">
        <v>232</v>
      </c>
      <c r="BT1136" t="s">
        <v>1871</v>
      </c>
      <c r="BU1136" t="s">
        <v>682</v>
      </c>
      <c r="BV1136" t="s">
        <v>1153</v>
      </c>
    </row>
    <row r="1137" spans="68:74" x14ac:dyDescent="0.25">
      <c r="BQ1137">
        <v>3070023308</v>
      </c>
      <c r="BR1137" s="15" t="s">
        <v>241</v>
      </c>
      <c r="BS1137" t="s">
        <v>232</v>
      </c>
      <c r="BT1137" t="s">
        <v>1872</v>
      </c>
      <c r="BU1137" t="s">
        <v>682</v>
      </c>
      <c r="BV1137" t="s">
        <v>1153</v>
      </c>
    </row>
    <row r="1138" spans="68:74" x14ac:dyDescent="0.25">
      <c r="BP1138">
        <v>12811</v>
      </c>
      <c r="BQ1138">
        <v>3070007326</v>
      </c>
      <c r="BR1138" s="15" t="s">
        <v>241</v>
      </c>
      <c r="BS1138" t="s">
        <v>232</v>
      </c>
      <c r="BT1138" t="s">
        <v>1873</v>
      </c>
      <c r="BU1138" t="s">
        <v>682</v>
      </c>
      <c r="BV1138" t="s">
        <v>1153</v>
      </c>
    </row>
    <row r="1139" spans="68:74" x14ac:dyDescent="0.25">
      <c r="BP1139">
        <v>12812</v>
      </c>
      <c r="BQ1139">
        <v>3070007327</v>
      </c>
      <c r="BR1139" s="15" t="s">
        <v>241</v>
      </c>
      <c r="BS1139" t="s">
        <v>232</v>
      </c>
      <c r="BT1139" t="s">
        <v>1874</v>
      </c>
      <c r="BU1139" t="s">
        <v>682</v>
      </c>
      <c r="BV1139" t="s">
        <v>1153</v>
      </c>
    </row>
    <row r="1140" spans="68:74" x14ac:dyDescent="0.25">
      <c r="BP1140">
        <v>154777</v>
      </c>
      <c r="BQ1140">
        <v>3070007335</v>
      </c>
      <c r="BR1140" s="15" t="s">
        <v>241</v>
      </c>
      <c r="BS1140" t="s">
        <v>232</v>
      </c>
      <c r="BT1140" t="s">
        <v>1875</v>
      </c>
      <c r="BU1140" t="s">
        <v>682</v>
      </c>
      <c r="BV1140" t="s">
        <v>1149</v>
      </c>
    </row>
    <row r="1141" spans="68:74" x14ac:dyDescent="0.25">
      <c r="BQ1141">
        <v>3070007335</v>
      </c>
      <c r="BR1141" s="15" t="s">
        <v>241</v>
      </c>
      <c r="BS1141" t="s">
        <v>232</v>
      </c>
      <c r="BT1141" t="s">
        <v>1875</v>
      </c>
      <c r="BU1141" t="s">
        <v>682</v>
      </c>
      <c r="BV1141" t="s">
        <v>1153</v>
      </c>
    </row>
    <row r="1142" spans="68:74" x14ac:dyDescent="0.25">
      <c r="BQ1142">
        <v>30700303</v>
      </c>
      <c r="BR1142" s="15" t="s">
        <v>241</v>
      </c>
      <c r="BS1142" t="s">
        <v>232</v>
      </c>
      <c r="BT1142" t="s">
        <v>1876</v>
      </c>
      <c r="BU1142" t="s">
        <v>682</v>
      </c>
      <c r="BV1142" t="s">
        <v>680</v>
      </c>
    </row>
    <row r="1143" spans="68:74" x14ac:dyDescent="0.25">
      <c r="BQ1143">
        <v>30700113</v>
      </c>
      <c r="BR1143" s="15" t="s">
        <v>241</v>
      </c>
      <c r="BS1143" t="s">
        <v>232</v>
      </c>
      <c r="BT1143" t="s">
        <v>1877</v>
      </c>
      <c r="BU1143" t="s">
        <v>682</v>
      </c>
      <c r="BV1143" t="s">
        <v>680</v>
      </c>
    </row>
    <row r="1144" spans="68:74" x14ac:dyDescent="0.25">
      <c r="BQ1144">
        <v>30700022</v>
      </c>
      <c r="BR1144" s="15" t="s">
        <v>241</v>
      </c>
      <c r="BS1144" t="s">
        <v>232</v>
      </c>
      <c r="BT1144" t="s">
        <v>1655</v>
      </c>
      <c r="BU1144" t="s">
        <v>681</v>
      </c>
      <c r="BV1144" t="s">
        <v>680</v>
      </c>
    </row>
    <row r="1145" spans="68:74" x14ac:dyDescent="0.25">
      <c r="BP1145">
        <v>10999</v>
      </c>
      <c r="BQ1145">
        <v>3070006301</v>
      </c>
      <c r="BR1145" s="15" t="s">
        <v>241</v>
      </c>
      <c r="BS1145" t="s">
        <v>232</v>
      </c>
      <c r="BT1145" t="s">
        <v>1726</v>
      </c>
      <c r="BU1145" t="s">
        <v>682</v>
      </c>
      <c r="BV1145" t="s">
        <v>1149</v>
      </c>
    </row>
    <row r="1146" spans="68:74" x14ac:dyDescent="0.25">
      <c r="BP1146">
        <v>10998</v>
      </c>
      <c r="BQ1146">
        <v>3070006301</v>
      </c>
      <c r="BR1146" s="15" t="s">
        <v>241</v>
      </c>
      <c r="BS1146" t="s">
        <v>232</v>
      </c>
      <c r="BT1146" t="s">
        <v>1726</v>
      </c>
      <c r="BU1146" t="s">
        <v>682</v>
      </c>
      <c r="BV1146" t="s">
        <v>1153</v>
      </c>
    </row>
    <row r="1147" spans="68:74" x14ac:dyDescent="0.25">
      <c r="BP1147">
        <v>11010</v>
      </c>
      <c r="BQ1147">
        <v>3070006310</v>
      </c>
      <c r="BR1147" s="15" t="s">
        <v>241</v>
      </c>
      <c r="BS1147" t="s">
        <v>232</v>
      </c>
      <c r="BT1147" t="s">
        <v>1878</v>
      </c>
      <c r="BU1147" t="s">
        <v>682</v>
      </c>
      <c r="BV1147" t="s">
        <v>1153</v>
      </c>
    </row>
    <row r="1148" spans="68:74" x14ac:dyDescent="0.25">
      <c r="BQ1148">
        <v>30700212</v>
      </c>
      <c r="BR1148" s="15" t="s">
        <v>241</v>
      </c>
      <c r="BS1148" t="s">
        <v>232</v>
      </c>
      <c r="BT1148" t="s">
        <v>1879</v>
      </c>
      <c r="BU1148" t="s">
        <v>681</v>
      </c>
      <c r="BV1148" t="s">
        <v>680</v>
      </c>
    </row>
    <row r="1149" spans="68:74" x14ac:dyDescent="0.25">
      <c r="BQ1149">
        <v>30700213</v>
      </c>
      <c r="BR1149" s="15" t="s">
        <v>241</v>
      </c>
      <c r="BS1149" t="s">
        <v>232</v>
      </c>
      <c r="BT1149" t="s">
        <v>1879</v>
      </c>
      <c r="BU1149" t="s">
        <v>682</v>
      </c>
      <c r="BV1149" t="s">
        <v>680</v>
      </c>
    </row>
    <row r="1150" spans="68:74" x14ac:dyDescent="0.25">
      <c r="BP1150">
        <v>12798</v>
      </c>
      <c r="BQ1150">
        <v>3070007315</v>
      </c>
      <c r="BR1150" s="15" t="s">
        <v>241</v>
      </c>
      <c r="BS1150" t="s">
        <v>232</v>
      </c>
      <c r="BT1150" t="s">
        <v>1880</v>
      </c>
      <c r="BU1150" t="s">
        <v>682</v>
      </c>
      <c r="BV1150" t="s">
        <v>1153</v>
      </c>
    </row>
    <row r="1151" spans="68:74" x14ac:dyDescent="0.25">
      <c r="BP1151">
        <v>12786</v>
      </c>
      <c r="BQ1151">
        <v>3070007303</v>
      </c>
      <c r="BR1151" s="15" t="s">
        <v>241</v>
      </c>
      <c r="BS1151" t="s">
        <v>232</v>
      </c>
      <c r="BT1151" t="s">
        <v>1881</v>
      </c>
      <c r="BU1151" t="s">
        <v>682</v>
      </c>
      <c r="BV1151" t="s">
        <v>1153</v>
      </c>
    </row>
    <row r="1152" spans="68:74" x14ac:dyDescent="0.25">
      <c r="BP1152">
        <v>12797</v>
      </c>
      <c r="BQ1152">
        <v>3070007314</v>
      </c>
      <c r="BR1152" s="15" t="s">
        <v>241</v>
      </c>
      <c r="BS1152" t="s">
        <v>232</v>
      </c>
      <c r="BT1152" t="s">
        <v>1881</v>
      </c>
      <c r="BU1152" t="s">
        <v>682</v>
      </c>
      <c r="BV1152" t="s">
        <v>1153</v>
      </c>
    </row>
    <row r="1153" spans="68:74" x14ac:dyDescent="0.25">
      <c r="BP1153">
        <v>12817</v>
      </c>
      <c r="BQ1153">
        <v>3070007331</v>
      </c>
      <c r="BR1153" s="15" t="s">
        <v>241</v>
      </c>
      <c r="BS1153" t="s">
        <v>232</v>
      </c>
      <c r="BT1153" t="s">
        <v>1882</v>
      </c>
      <c r="BU1153" t="s">
        <v>682</v>
      </c>
      <c r="BV1153" t="s">
        <v>1153</v>
      </c>
    </row>
    <row r="1154" spans="68:74" x14ac:dyDescent="0.25">
      <c r="BP1154">
        <v>12818</v>
      </c>
      <c r="BQ1154">
        <v>3070007332</v>
      </c>
      <c r="BR1154" s="15" t="s">
        <v>241</v>
      </c>
      <c r="BS1154" t="s">
        <v>232</v>
      </c>
      <c r="BT1154" t="s">
        <v>1883</v>
      </c>
      <c r="BU1154" t="s">
        <v>682</v>
      </c>
      <c r="BV1154" t="s">
        <v>1153</v>
      </c>
    </row>
    <row r="1155" spans="68:74" x14ac:dyDescent="0.25">
      <c r="BP1155">
        <v>12787</v>
      </c>
      <c r="BQ1155">
        <v>3070007304</v>
      </c>
      <c r="BR1155" s="15" t="s">
        <v>241</v>
      </c>
      <c r="BS1155" t="s">
        <v>232</v>
      </c>
      <c r="BT1155" t="s">
        <v>1884</v>
      </c>
      <c r="BU1155" t="s">
        <v>682</v>
      </c>
      <c r="BV1155" t="s">
        <v>1153</v>
      </c>
    </row>
    <row r="1156" spans="68:74" x14ac:dyDescent="0.25">
      <c r="BP1156">
        <v>12794</v>
      </c>
      <c r="BQ1156">
        <v>3070007311</v>
      </c>
      <c r="BR1156" s="15" t="s">
        <v>241</v>
      </c>
      <c r="BS1156" t="s">
        <v>232</v>
      </c>
      <c r="BT1156" t="s">
        <v>1884</v>
      </c>
      <c r="BU1156" t="s">
        <v>682</v>
      </c>
      <c r="BV1156" t="s">
        <v>1153</v>
      </c>
    </row>
    <row r="1157" spans="68:74" x14ac:dyDescent="0.25">
      <c r="BP1157">
        <v>12816</v>
      </c>
      <c r="BQ1157">
        <v>3070007330</v>
      </c>
      <c r="BR1157" s="15" t="s">
        <v>241</v>
      </c>
      <c r="BS1157" t="s">
        <v>232</v>
      </c>
      <c r="BT1157" t="s">
        <v>1885</v>
      </c>
      <c r="BU1157" t="s">
        <v>682</v>
      </c>
      <c r="BV1157" t="s">
        <v>1153</v>
      </c>
    </row>
    <row r="1158" spans="68:74" x14ac:dyDescent="0.25">
      <c r="BQ1158">
        <v>30700203</v>
      </c>
      <c r="BR1158" s="15" t="s">
        <v>241</v>
      </c>
      <c r="BS1158" t="s">
        <v>232</v>
      </c>
      <c r="BT1158" t="s">
        <v>1886</v>
      </c>
      <c r="BU1158" t="s">
        <v>682</v>
      </c>
      <c r="BV1158" t="s">
        <v>680</v>
      </c>
    </row>
    <row r="1159" spans="68:74" x14ac:dyDescent="0.25">
      <c r="BP1159">
        <v>558082</v>
      </c>
      <c r="BQ1159">
        <v>30711283</v>
      </c>
      <c r="BR1159" s="15" t="s">
        <v>241</v>
      </c>
      <c r="BS1159" t="s">
        <v>232</v>
      </c>
      <c r="BT1159" t="s">
        <v>5658</v>
      </c>
      <c r="BU1159" t="s">
        <v>682</v>
      </c>
      <c r="BV1159" t="s">
        <v>1149</v>
      </c>
    </row>
    <row r="1160" spans="68:74" x14ac:dyDescent="0.25">
      <c r="BP1160">
        <v>602108</v>
      </c>
      <c r="BQ1160">
        <v>30711283</v>
      </c>
      <c r="BR1160" s="15" t="s">
        <v>241</v>
      </c>
      <c r="BS1160" t="s">
        <v>232</v>
      </c>
      <c r="BT1160" t="s">
        <v>5658</v>
      </c>
      <c r="BU1160" t="s">
        <v>682</v>
      </c>
      <c r="BV1160" t="s">
        <v>1153</v>
      </c>
    </row>
    <row r="1161" spans="68:74" x14ac:dyDescent="0.25">
      <c r="BQ1161">
        <v>30700032</v>
      </c>
      <c r="BR1161" s="15" t="s">
        <v>241</v>
      </c>
      <c r="BS1161" t="s">
        <v>232</v>
      </c>
      <c r="BT1161" t="s">
        <v>1887</v>
      </c>
      <c r="BU1161" t="s">
        <v>681</v>
      </c>
      <c r="BV1161" t="s">
        <v>680</v>
      </c>
    </row>
    <row r="1162" spans="68:74" x14ac:dyDescent="0.25">
      <c r="BQ1162">
        <v>30700313</v>
      </c>
      <c r="BR1162" s="15" t="s">
        <v>241</v>
      </c>
      <c r="BS1162" t="s">
        <v>232</v>
      </c>
      <c r="BT1162" t="s">
        <v>1888</v>
      </c>
      <c r="BU1162" t="s">
        <v>682</v>
      </c>
      <c r="BV1162" t="s">
        <v>680</v>
      </c>
    </row>
    <row r="1163" spans="68:74" x14ac:dyDescent="0.25">
      <c r="BQ1163">
        <v>30700143</v>
      </c>
      <c r="BR1163" s="15" t="s">
        <v>241</v>
      </c>
      <c r="BS1163" t="s">
        <v>232</v>
      </c>
      <c r="BT1163" t="s">
        <v>1771</v>
      </c>
      <c r="BU1163" t="s">
        <v>682</v>
      </c>
      <c r="BV1163" t="s">
        <v>680</v>
      </c>
    </row>
    <row r="1164" spans="68:74" x14ac:dyDescent="0.25">
      <c r="BQ1164">
        <v>30700323</v>
      </c>
      <c r="BR1164" s="15" t="s">
        <v>241</v>
      </c>
      <c r="BS1164" t="s">
        <v>232</v>
      </c>
      <c r="BT1164" t="s">
        <v>1889</v>
      </c>
      <c r="BU1164" t="s">
        <v>682</v>
      </c>
      <c r="BV1164" t="s">
        <v>680</v>
      </c>
    </row>
    <row r="1165" spans="68:74" x14ac:dyDescent="0.25">
      <c r="BQ1165">
        <v>30700173</v>
      </c>
      <c r="BR1165" s="15" t="s">
        <v>241</v>
      </c>
      <c r="BS1165" t="s">
        <v>232</v>
      </c>
      <c r="BT1165" t="s">
        <v>1890</v>
      </c>
      <c r="BU1165" t="s">
        <v>682</v>
      </c>
      <c r="BV1165" t="s">
        <v>680</v>
      </c>
    </row>
    <row r="1166" spans="68:74" x14ac:dyDescent="0.25">
      <c r="BQ1166">
        <v>30700332</v>
      </c>
      <c r="BR1166" s="15" t="s">
        <v>241</v>
      </c>
      <c r="BS1166" t="s">
        <v>232</v>
      </c>
      <c r="BT1166" t="s">
        <v>1891</v>
      </c>
      <c r="BU1166" t="s">
        <v>681</v>
      </c>
      <c r="BV1166" t="s">
        <v>680</v>
      </c>
    </row>
    <row r="1167" spans="68:74" x14ac:dyDescent="0.25">
      <c r="BQ1167">
        <v>30700042</v>
      </c>
      <c r="BR1167" s="15" t="s">
        <v>241</v>
      </c>
      <c r="BS1167" t="s">
        <v>232</v>
      </c>
      <c r="BT1167" t="s">
        <v>1892</v>
      </c>
      <c r="BU1167" t="s">
        <v>681</v>
      </c>
      <c r="BV1167" t="s">
        <v>680</v>
      </c>
    </row>
    <row r="1168" spans="68:74" x14ac:dyDescent="0.25">
      <c r="BQ1168">
        <v>30700153</v>
      </c>
      <c r="BR1168" s="15" t="s">
        <v>241</v>
      </c>
      <c r="BS1168" t="s">
        <v>232</v>
      </c>
      <c r="BT1168" t="s">
        <v>1893</v>
      </c>
      <c r="BU1168" t="s">
        <v>682</v>
      </c>
      <c r="BV1168" t="s">
        <v>680</v>
      </c>
    </row>
    <row r="1169" spans="68:74" x14ac:dyDescent="0.25">
      <c r="BQ1169">
        <v>30700343</v>
      </c>
      <c r="BR1169" s="15" t="s">
        <v>241</v>
      </c>
      <c r="BS1169" t="s">
        <v>232</v>
      </c>
      <c r="BT1169" t="s">
        <v>1894</v>
      </c>
      <c r="BU1169" t="s">
        <v>682</v>
      </c>
      <c r="BV1169" t="s">
        <v>680</v>
      </c>
    </row>
    <row r="1170" spans="68:74" x14ac:dyDescent="0.25">
      <c r="BQ1170">
        <v>30700183</v>
      </c>
      <c r="BR1170" s="15" t="s">
        <v>241</v>
      </c>
      <c r="BS1170" t="s">
        <v>232</v>
      </c>
      <c r="BT1170" t="s">
        <v>1895</v>
      </c>
      <c r="BU1170" t="s">
        <v>682</v>
      </c>
      <c r="BV1170" t="s">
        <v>680</v>
      </c>
    </row>
    <row r="1171" spans="68:74" x14ac:dyDescent="0.25">
      <c r="BQ1171">
        <v>3070007316</v>
      </c>
      <c r="BR1171" s="15" t="s">
        <v>241</v>
      </c>
      <c r="BS1171" t="s">
        <v>232</v>
      </c>
      <c r="BT1171" t="s">
        <v>1896</v>
      </c>
      <c r="BU1171" t="s">
        <v>682</v>
      </c>
      <c r="BV1171" t="s">
        <v>1153</v>
      </c>
    </row>
    <row r="1172" spans="68:74" x14ac:dyDescent="0.25">
      <c r="BP1172">
        <v>12788</v>
      </c>
      <c r="BQ1172">
        <v>3070007305</v>
      </c>
      <c r="BR1172" s="15" t="s">
        <v>241</v>
      </c>
      <c r="BS1172" t="s">
        <v>232</v>
      </c>
      <c r="BT1172" t="s">
        <v>1897</v>
      </c>
      <c r="BU1172" t="s">
        <v>682</v>
      </c>
      <c r="BV1172" t="s">
        <v>1153</v>
      </c>
    </row>
    <row r="1173" spans="68:74" x14ac:dyDescent="0.25">
      <c r="BP1173">
        <v>287086</v>
      </c>
      <c r="BQ1173">
        <v>30711113</v>
      </c>
      <c r="BR1173" s="15" t="s">
        <v>241</v>
      </c>
      <c r="BS1173" t="s">
        <v>232</v>
      </c>
      <c r="BT1173" t="s">
        <v>1898</v>
      </c>
      <c r="BU1173" t="s">
        <v>682</v>
      </c>
      <c r="BV1173" t="s">
        <v>1149</v>
      </c>
    </row>
    <row r="1174" spans="68:74" x14ac:dyDescent="0.25">
      <c r="BP1174">
        <v>288511</v>
      </c>
      <c r="BQ1174">
        <v>30711113</v>
      </c>
      <c r="BR1174" s="15" t="s">
        <v>241</v>
      </c>
      <c r="BS1174" t="s">
        <v>232</v>
      </c>
      <c r="BT1174" t="s">
        <v>1898</v>
      </c>
      <c r="BU1174" t="s">
        <v>682</v>
      </c>
      <c r="BV1174" t="s">
        <v>1153</v>
      </c>
    </row>
    <row r="1175" spans="68:74" x14ac:dyDescent="0.25">
      <c r="BP1175">
        <v>11008</v>
      </c>
      <c r="BQ1175">
        <v>3070006309</v>
      </c>
      <c r="BR1175" s="15" t="s">
        <v>241</v>
      </c>
      <c r="BS1175" t="s">
        <v>232</v>
      </c>
      <c r="BT1175" t="s">
        <v>1899</v>
      </c>
      <c r="BU1175" t="s">
        <v>682</v>
      </c>
      <c r="BV1175" t="s">
        <v>1153</v>
      </c>
    </row>
    <row r="1176" spans="68:74" x14ac:dyDescent="0.25">
      <c r="BP1176">
        <v>12378</v>
      </c>
      <c r="BQ1176">
        <v>3070023301</v>
      </c>
      <c r="BR1176" s="15" t="s">
        <v>241</v>
      </c>
      <c r="BS1176" t="s">
        <v>232</v>
      </c>
      <c r="BT1176" t="s">
        <v>1900</v>
      </c>
      <c r="BU1176" t="s">
        <v>682</v>
      </c>
      <c r="BV1176" t="s">
        <v>1153</v>
      </c>
    </row>
    <row r="1177" spans="68:74" x14ac:dyDescent="0.25">
      <c r="BP1177">
        <v>12394</v>
      </c>
      <c r="BQ1177">
        <v>3070023307</v>
      </c>
      <c r="BR1177" s="15" t="s">
        <v>241</v>
      </c>
      <c r="BS1177" t="s">
        <v>232</v>
      </c>
      <c r="BT1177" t="s">
        <v>1901</v>
      </c>
      <c r="BU1177" t="s">
        <v>682</v>
      </c>
      <c r="BV1177" t="s">
        <v>1153</v>
      </c>
    </row>
    <row r="1178" spans="68:74" x14ac:dyDescent="0.25">
      <c r="BP1178">
        <v>12395</v>
      </c>
      <c r="BQ1178">
        <v>3070023309</v>
      </c>
      <c r="BR1178" s="15" t="s">
        <v>241</v>
      </c>
      <c r="BS1178" t="s">
        <v>232</v>
      </c>
      <c r="BT1178" t="s">
        <v>1902</v>
      </c>
      <c r="BU1178" t="s">
        <v>682</v>
      </c>
      <c r="BV1178" t="s">
        <v>1153</v>
      </c>
    </row>
    <row r="1179" spans="68:74" x14ac:dyDescent="0.25">
      <c r="BQ1179">
        <v>30700163</v>
      </c>
      <c r="BR1179" s="15" t="s">
        <v>241</v>
      </c>
      <c r="BS1179" t="s">
        <v>232</v>
      </c>
      <c r="BT1179" t="s">
        <v>1750</v>
      </c>
      <c r="BU1179" t="s">
        <v>682</v>
      </c>
      <c r="BV1179" t="s">
        <v>680</v>
      </c>
    </row>
    <row r="1180" spans="68:74" x14ac:dyDescent="0.25">
      <c r="BQ1180">
        <v>3070006307</v>
      </c>
      <c r="BR1180" s="15" t="s">
        <v>241</v>
      </c>
      <c r="BS1180" t="s">
        <v>232</v>
      </c>
      <c r="BT1180" t="s">
        <v>1903</v>
      </c>
      <c r="BU1180" t="s">
        <v>682</v>
      </c>
      <c r="BV1180" t="s">
        <v>1153</v>
      </c>
    </row>
    <row r="1181" spans="68:74" x14ac:dyDescent="0.25">
      <c r="BP1181">
        <v>11002</v>
      </c>
      <c r="BQ1181">
        <v>3070006304</v>
      </c>
      <c r="BR1181" s="15" t="s">
        <v>241</v>
      </c>
      <c r="BS1181" t="s">
        <v>232</v>
      </c>
      <c r="BT1181" t="s">
        <v>1904</v>
      </c>
      <c r="BU1181" t="s">
        <v>682</v>
      </c>
      <c r="BV1181" t="s">
        <v>1153</v>
      </c>
    </row>
    <row r="1182" spans="68:74" x14ac:dyDescent="0.25">
      <c r="BP1182">
        <v>11003</v>
      </c>
      <c r="BQ1182">
        <v>3070006304</v>
      </c>
      <c r="BR1182" s="15" t="s">
        <v>241</v>
      </c>
      <c r="BS1182" t="s">
        <v>232</v>
      </c>
      <c r="BT1182" t="s">
        <v>1904</v>
      </c>
      <c r="BU1182" t="s">
        <v>682</v>
      </c>
      <c r="BV1182" t="s">
        <v>1149</v>
      </c>
    </row>
    <row r="1183" spans="68:74" x14ac:dyDescent="0.25">
      <c r="BP1183">
        <v>11012</v>
      </c>
      <c r="BQ1183">
        <v>3070006311</v>
      </c>
      <c r="BR1183" s="15" t="s">
        <v>241</v>
      </c>
      <c r="BS1183" t="s">
        <v>232</v>
      </c>
      <c r="BT1183" t="s">
        <v>1905</v>
      </c>
      <c r="BU1183" t="s">
        <v>682</v>
      </c>
      <c r="BV1183" t="s">
        <v>1153</v>
      </c>
    </row>
    <row r="1184" spans="68:74" x14ac:dyDescent="0.25">
      <c r="BP1184">
        <v>10869</v>
      </c>
      <c r="BQ1184">
        <v>30700062</v>
      </c>
      <c r="BR1184" s="15" t="s">
        <v>241</v>
      </c>
      <c r="BS1184" t="s">
        <v>232</v>
      </c>
      <c r="BT1184" t="s">
        <v>1764</v>
      </c>
      <c r="BU1184" t="s">
        <v>681</v>
      </c>
      <c r="BV1184" t="s">
        <v>1153</v>
      </c>
    </row>
    <row r="1185" spans="68:74" x14ac:dyDescent="0.25">
      <c r="BP1185">
        <v>10870</v>
      </c>
      <c r="BQ1185">
        <v>30700062</v>
      </c>
      <c r="BR1185" s="15" t="s">
        <v>241</v>
      </c>
      <c r="BS1185" t="s">
        <v>232</v>
      </c>
      <c r="BT1185" t="s">
        <v>1764</v>
      </c>
      <c r="BU1185" t="s">
        <v>681</v>
      </c>
      <c r="BV1185" t="s">
        <v>1149</v>
      </c>
    </row>
    <row r="1186" spans="68:74" x14ac:dyDescent="0.25">
      <c r="BP1186">
        <v>10871</v>
      </c>
      <c r="BQ1186">
        <v>30700063</v>
      </c>
      <c r="BR1186" s="15" t="s">
        <v>241</v>
      </c>
      <c r="BS1186" t="s">
        <v>232</v>
      </c>
      <c r="BT1186" t="s">
        <v>1764</v>
      </c>
      <c r="BU1186" t="s">
        <v>682</v>
      </c>
      <c r="BV1186" t="s">
        <v>1153</v>
      </c>
    </row>
    <row r="1187" spans="68:74" x14ac:dyDescent="0.25">
      <c r="BP1187">
        <v>10872</v>
      </c>
      <c r="BQ1187">
        <v>30700063</v>
      </c>
      <c r="BR1187" s="15" t="s">
        <v>241</v>
      </c>
      <c r="BS1187" t="s">
        <v>232</v>
      </c>
      <c r="BT1187" t="s">
        <v>1764</v>
      </c>
      <c r="BU1187" t="s">
        <v>682</v>
      </c>
      <c r="BV1187" t="s">
        <v>1149</v>
      </c>
    </row>
    <row r="1188" spans="68:74" x14ac:dyDescent="0.25">
      <c r="BP1188">
        <v>11014</v>
      </c>
      <c r="BQ1188">
        <v>3070006312</v>
      </c>
      <c r="BR1188" s="15" t="s">
        <v>241</v>
      </c>
      <c r="BS1188" t="s">
        <v>232</v>
      </c>
      <c r="BT1188" t="s">
        <v>1906</v>
      </c>
      <c r="BU1188" t="s">
        <v>682</v>
      </c>
      <c r="BV1188" t="s">
        <v>1153</v>
      </c>
    </row>
    <row r="1189" spans="68:74" x14ac:dyDescent="0.25">
      <c r="BP1189">
        <v>11016</v>
      </c>
      <c r="BQ1189">
        <v>3070006312</v>
      </c>
      <c r="BR1189" s="15" t="s">
        <v>241</v>
      </c>
      <c r="BS1189" t="s">
        <v>232</v>
      </c>
      <c r="BT1189" t="s">
        <v>1906</v>
      </c>
      <c r="BU1189" t="s">
        <v>682</v>
      </c>
      <c r="BV1189" t="s">
        <v>1149</v>
      </c>
    </row>
    <row r="1190" spans="68:74" x14ac:dyDescent="0.25">
      <c r="BP1190">
        <v>11001</v>
      </c>
      <c r="BQ1190">
        <v>3070006302</v>
      </c>
      <c r="BR1190" s="15" t="s">
        <v>241</v>
      </c>
      <c r="BS1190" t="s">
        <v>232</v>
      </c>
      <c r="BT1190" t="s">
        <v>1907</v>
      </c>
      <c r="BU1190" t="s">
        <v>682</v>
      </c>
      <c r="BV1190" t="s">
        <v>1149</v>
      </c>
    </row>
    <row r="1191" spans="68:74" x14ac:dyDescent="0.25">
      <c r="BP1191">
        <v>11000</v>
      </c>
      <c r="BQ1191">
        <v>3070006302</v>
      </c>
      <c r="BR1191" s="15" t="s">
        <v>241</v>
      </c>
      <c r="BS1191" t="s">
        <v>232</v>
      </c>
      <c r="BT1191" t="s">
        <v>1907</v>
      </c>
      <c r="BU1191" t="s">
        <v>682</v>
      </c>
      <c r="BV1191" t="s">
        <v>1153</v>
      </c>
    </row>
    <row r="1192" spans="68:74" x14ac:dyDescent="0.25">
      <c r="BP1192">
        <v>11006</v>
      </c>
      <c r="BQ1192">
        <v>3070006308</v>
      </c>
      <c r="BR1192" s="15" t="s">
        <v>241</v>
      </c>
      <c r="BS1192" t="s">
        <v>232</v>
      </c>
      <c r="BT1192" t="s">
        <v>1908</v>
      </c>
      <c r="BU1192" t="s">
        <v>682</v>
      </c>
      <c r="BV1192" t="s">
        <v>1153</v>
      </c>
    </row>
    <row r="1193" spans="68:74" x14ac:dyDescent="0.25">
      <c r="BQ1193">
        <v>3070006306</v>
      </c>
      <c r="BR1193" s="15" t="s">
        <v>241</v>
      </c>
      <c r="BS1193" t="s">
        <v>232</v>
      </c>
      <c r="BT1193" t="s">
        <v>1909</v>
      </c>
      <c r="BU1193" t="s">
        <v>682</v>
      </c>
      <c r="BV1193" t="s">
        <v>1149</v>
      </c>
    </row>
    <row r="1194" spans="68:74" x14ac:dyDescent="0.25">
      <c r="BP1194">
        <v>585591</v>
      </c>
      <c r="BQ1194">
        <v>3070006303</v>
      </c>
      <c r="BR1194" s="15" t="s">
        <v>241</v>
      </c>
      <c r="BS1194" t="s">
        <v>232</v>
      </c>
      <c r="BT1194" t="s">
        <v>1765</v>
      </c>
      <c r="BU1194" t="s">
        <v>682</v>
      </c>
      <c r="BV1194" t="s">
        <v>1149</v>
      </c>
    </row>
    <row r="1195" spans="68:74" x14ac:dyDescent="0.25">
      <c r="BP1195">
        <v>12380</v>
      </c>
      <c r="BQ1195">
        <v>3070023302</v>
      </c>
      <c r="BR1195" s="15" t="s">
        <v>241</v>
      </c>
      <c r="BS1195" t="s">
        <v>232</v>
      </c>
      <c r="BT1195" t="s">
        <v>1910</v>
      </c>
      <c r="BU1195" t="s">
        <v>682</v>
      </c>
      <c r="BV1195" t="s">
        <v>1153</v>
      </c>
    </row>
    <row r="1196" spans="68:74" x14ac:dyDescent="0.25">
      <c r="BP1196">
        <v>12381</v>
      </c>
      <c r="BQ1196">
        <v>3070023302</v>
      </c>
      <c r="BR1196" s="15" t="s">
        <v>241</v>
      </c>
      <c r="BS1196" t="s">
        <v>232</v>
      </c>
      <c r="BT1196" t="s">
        <v>1910</v>
      </c>
      <c r="BU1196" t="s">
        <v>682</v>
      </c>
      <c r="BV1196" t="s">
        <v>1149</v>
      </c>
    </row>
    <row r="1197" spans="68:74" x14ac:dyDescent="0.25">
      <c r="BP1197">
        <v>12322</v>
      </c>
      <c r="BQ1197">
        <v>30702233</v>
      </c>
      <c r="BR1197" s="15" t="s">
        <v>241</v>
      </c>
      <c r="BS1197" t="s">
        <v>232</v>
      </c>
      <c r="BT1197" t="s">
        <v>1911</v>
      </c>
      <c r="BU1197" t="s">
        <v>682</v>
      </c>
      <c r="BV1197" t="s">
        <v>1153</v>
      </c>
    </row>
    <row r="1198" spans="68:74" x14ac:dyDescent="0.25">
      <c r="BP1198">
        <v>12384</v>
      </c>
      <c r="BQ1198">
        <v>3070023303</v>
      </c>
      <c r="BR1198" s="15" t="s">
        <v>241</v>
      </c>
      <c r="BS1198" t="s">
        <v>232</v>
      </c>
      <c r="BT1198" t="s">
        <v>1912</v>
      </c>
      <c r="BU1198" t="s">
        <v>682</v>
      </c>
      <c r="BV1198" t="s">
        <v>1149</v>
      </c>
    </row>
    <row r="1199" spans="68:74" x14ac:dyDescent="0.25">
      <c r="BP1199">
        <v>12383</v>
      </c>
      <c r="BQ1199">
        <v>3070023303</v>
      </c>
      <c r="BR1199" s="15" t="s">
        <v>241</v>
      </c>
      <c r="BS1199" t="s">
        <v>232</v>
      </c>
      <c r="BT1199" t="s">
        <v>1912</v>
      </c>
      <c r="BU1199" t="s">
        <v>682</v>
      </c>
      <c r="BV1199" t="s">
        <v>1153</v>
      </c>
    </row>
    <row r="1200" spans="68:74" x14ac:dyDescent="0.25">
      <c r="BP1200">
        <v>12321</v>
      </c>
      <c r="BQ1200">
        <v>30702223</v>
      </c>
      <c r="BR1200" s="15" t="s">
        <v>241</v>
      </c>
      <c r="BS1200" t="s">
        <v>232</v>
      </c>
      <c r="BT1200" t="s">
        <v>1913</v>
      </c>
      <c r="BU1200" t="s">
        <v>682</v>
      </c>
      <c r="BV1200" t="s">
        <v>1149</v>
      </c>
    </row>
    <row r="1201" spans="68:74" x14ac:dyDescent="0.25">
      <c r="BP1201">
        <v>12396</v>
      </c>
      <c r="BQ1201">
        <v>3070023310</v>
      </c>
      <c r="BR1201" s="15" t="s">
        <v>241</v>
      </c>
      <c r="BS1201" t="s">
        <v>232</v>
      </c>
      <c r="BT1201" t="s">
        <v>1914</v>
      </c>
      <c r="BU1201" t="s">
        <v>682</v>
      </c>
      <c r="BV1201" t="s">
        <v>1153</v>
      </c>
    </row>
    <row r="1202" spans="68:74" x14ac:dyDescent="0.25">
      <c r="BP1202">
        <v>12397</v>
      </c>
      <c r="BQ1202">
        <v>3070023310</v>
      </c>
      <c r="BR1202" s="15" t="s">
        <v>241</v>
      </c>
      <c r="BS1202" t="s">
        <v>232</v>
      </c>
      <c r="BT1202" t="s">
        <v>1914</v>
      </c>
      <c r="BU1202" t="s">
        <v>682</v>
      </c>
      <c r="BV1202" t="s">
        <v>1149</v>
      </c>
    </row>
    <row r="1203" spans="68:74" x14ac:dyDescent="0.25">
      <c r="BP1203">
        <v>12319</v>
      </c>
      <c r="BQ1203">
        <v>30702203</v>
      </c>
      <c r="BR1203" s="15" t="s">
        <v>241</v>
      </c>
      <c r="BS1203" t="s">
        <v>232</v>
      </c>
      <c r="BT1203" t="s">
        <v>1915</v>
      </c>
      <c r="BU1203" t="s">
        <v>682</v>
      </c>
      <c r="BV1203" t="s">
        <v>1149</v>
      </c>
    </row>
    <row r="1204" spans="68:74" x14ac:dyDescent="0.25">
      <c r="BP1204">
        <v>12317</v>
      </c>
      <c r="BQ1204">
        <v>30702183</v>
      </c>
      <c r="BR1204" s="15" t="s">
        <v>241</v>
      </c>
      <c r="BS1204" t="s">
        <v>232</v>
      </c>
      <c r="BT1204" t="s">
        <v>1916</v>
      </c>
      <c r="BU1204" t="s">
        <v>682</v>
      </c>
      <c r="BV1204" t="s">
        <v>1153</v>
      </c>
    </row>
    <row r="1205" spans="68:74" x14ac:dyDescent="0.25">
      <c r="BQ1205">
        <v>30702193</v>
      </c>
      <c r="BR1205" s="15" t="s">
        <v>241</v>
      </c>
      <c r="BS1205" t="s">
        <v>232</v>
      </c>
      <c r="BT1205" t="s">
        <v>1917</v>
      </c>
      <c r="BU1205" t="s">
        <v>682</v>
      </c>
      <c r="BV1205" t="s">
        <v>680</v>
      </c>
    </row>
    <row r="1206" spans="68:74" x14ac:dyDescent="0.25">
      <c r="BP1206">
        <v>12313</v>
      </c>
      <c r="BQ1206">
        <v>30700232</v>
      </c>
      <c r="BR1206" s="15" t="s">
        <v>241</v>
      </c>
      <c r="BS1206" t="s">
        <v>232</v>
      </c>
      <c r="BT1206" t="s">
        <v>1918</v>
      </c>
      <c r="BU1206" t="s">
        <v>681</v>
      </c>
      <c r="BV1206" t="s">
        <v>1153</v>
      </c>
    </row>
    <row r="1207" spans="68:74" x14ac:dyDescent="0.25">
      <c r="BQ1207">
        <v>30700233</v>
      </c>
      <c r="BR1207" s="15" t="s">
        <v>241</v>
      </c>
      <c r="BS1207" t="s">
        <v>232</v>
      </c>
      <c r="BT1207" t="s">
        <v>1918</v>
      </c>
      <c r="BU1207" t="s">
        <v>682</v>
      </c>
      <c r="BV1207" t="s">
        <v>680</v>
      </c>
    </row>
    <row r="1208" spans="68:74" x14ac:dyDescent="0.25">
      <c r="BQ1208">
        <v>30700133</v>
      </c>
      <c r="BR1208" s="15" t="s">
        <v>241</v>
      </c>
      <c r="BS1208" t="s">
        <v>232</v>
      </c>
      <c r="BT1208" t="s">
        <v>1776</v>
      </c>
      <c r="BU1208" t="s">
        <v>682</v>
      </c>
      <c r="BV1208" t="s">
        <v>680</v>
      </c>
    </row>
    <row r="1209" spans="68:74" x14ac:dyDescent="0.25">
      <c r="BQ1209">
        <v>30700272</v>
      </c>
      <c r="BR1209" s="15" t="s">
        <v>241</v>
      </c>
      <c r="BS1209" t="s">
        <v>232</v>
      </c>
      <c r="BT1209" t="s">
        <v>1919</v>
      </c>
      <c r="BU1209" t="s">
        <v>681</v>
      </c>
      <c r="BV1209" t="s">
        <v>680</v>
      </c>
    </row>
    <row r="1210" spans="68:74" x14ac:dyDescent="0.25">
      <c r="BP1210">
        <v>12738</v>
      </c>
      <c r="BQ1210">
        <v>30700072</v>
      </c>
      <c r="BR1210" s="15" t="s">
        <v>241</v>
      </c>
      <c r="BS1210" t="s">
        <v>232</v>
      </c>
      <c r="BT1210" t="s">
        <v>1920</v>
      </c>
      <c r="BU1210" t="s">
        <v>681</v>
      </c>
      <c r="BV1210" t="s">
        <v>1153</v>
      </c>
    </row>
    <row r="1211" spans="68:74" x14ac:dyDescent="0.25">
      <c r="BQ1211">
        <v>30700073</v>
      </c>
      <c r="BR1211" s="15" t="s">
        <v>241</v>
      </c>
      <c r="BS1211" t="s">
        <v>232</v>
      </c>
      <c r="BT1211" t="s">
        <v>1920</v>
      </c>
      <c r="BU1211" t="s">
        <v>682</v>
      </c>
      <c r="BV1211" t="s">
        <v>680</v>
      </c>
    </row>
    <row r="1212" spans="68:74" x14ac:dyDescent="0.25">
      <c r="BQ1212">
        <v>30700282</v>
      </c>
      <c r="BR1212" s="15" t="s">
        <v>241</v>
      </c>
      <c r="BS1212" t="s">
        <v>232</v>
      </c>
      <c r="BT1212" t="s">
        <v>1921</v>
      </c>
      <c r="BU1212" t="s">
        <v>681</v>
      </c>
      <c r="BV1212" t="s">
        <v>680</v>
      </c>
    </row>
    <row r="1213" spans="68:74" x14ac:dyDescent="0.25">
      <c r="BQ1213">
        <v>30700263</v>
      </c>
      <c r="BR1213" s="15" t="s">
        <v>241</v>
      </c>
      <c r="BS1213" t="s">
        <v>232</v>
      </c>
      <c r="BT1213" t="s">
        <v>1922</v>
      </c>
      <c r="BU1213" t="s">
        <v>682</v>
      </c>
      <c r="BV1213" t="s">
        <v>680</v>
      </c>
    </row>
    <row r="1214" spans="68:74" x14ac:dyDescent="0.25">
      <c r="BQ1214">
        <v>30700093</v>
      </c>
      <c r="BR1214" s="15" t="s">
        <v>241</v>
      </c>
      <c r="BS1214" t="s">
        <v>232</v>
      </c>
      <c r="BT1214" t="s">
        <v>1923</v>
      </c>
      <c r="BU1214" t="s">
        <v>682</v>
      </c>
      <c r="BV1214" t="s">
        <v>680</v>
      </c>
    </row>
    <row r="1215" spans="68:74" x14ac:dyDescent="0.25">
      <c r="BP1215">
        <v>12789</v>
      </c>
      <c r="BQ1215">
        <v>3070007306</v>
      </c>
      <c r="BR1215" s="15" t="s">
        <v>241</v>
      </c>
      <c r="BS1215" t="s">
        <v>232</v>
      </c>
      <c r="BT1215" t="s">
        <v>1924</v>
      </c>
      <c r="BU1215" t="s">
        <v>682</v>
      </c>
      <c r="BV1215" t="s">
        <v>1153</v>
      </c>
    </row>
    <row r="1216" spans="68:74" x14ac:dyDescent="0.25">
      <c r="BQ1216">
        <v>30700352</v>
      </c>
      <c r="BR1216" s="15" t="s">
        <v>241</v>
      </c>
      <c r="BS1216" t="s">
        <v>232</v>
      </c>
      <c r="BT1216" t="s">
        <v>1925</v>
      </c>
      <c r="BU1216" t="s">
        <v>681</v>
      </c>
      <c r="BV1216" t="s">
        <v>680</v>
      </c>
    </row>
    <row r="1217" spans="68:74" x14ac:dyDescent="0.25">
      <c r="BQ1217">
        <v>30700363</v>
      </c>
      <c r="BR1217" s="15" t="s">
        <v>241</v>
      </c>
      <c r="BS1217" t="s">
        <v>232</v>
      </c>
      <c r="BT1217" t="s">
        <v>1926</v>
      </c>
      <c r="BU1217" t="s">
        <v>682</v>
      </c>
      <c r="BV1217" t="s">
        <v>680</v>
      </c>
    </row>
    <row r="1218" spans="68:74" x14ac:dyDescent="0.25">
      <c r="BQ1218">
        <v>30700223</v>
      </c>
      <c r="BR1218" s="15" t="s">
        <v>241</v>
      </c>
      <c r="BS1218" t="s">
        <v>232</v>
      </c>
      <c r="BT1218" t="s">
        <v>1927</v>
      </c>
      <c r="BU1218" t="s">
        <v>682</v>
      </c>
      <c r="BV1218" t="s">
        <v>680</v>
      </c>
    </row>
    <row r="1219" spans="68:74" x14ac:dyDescent="0.25">
      <c r="BP1219">
        <v>12802</v>
      </c>
      <c r="BQ1219">
        <v>3070007321</v>
      </c>
      <c r="BR1219" s="15" t="s">
        <v>241</v>
      </c>
      <c r="BS1219" t="s">
        <v>232</v>
      </c>
      <c r="BT1219" t="s">
        <v>1928</v>
      </c>
      <c r="BU1219" t="s">
        <v>682</v>
      </c>
      <c r="BV1219" t="s">
        <v>1153</v>
      </c>
    </row>
    <row r="1220" spans="68:74" x14ac:dyDescent="0.25">
      <c r="BP1220">
        <v>12803</v>
      </c>
      <c r="BQ1220">
        <v>3070007322</v>
      </c>
      <c r="BR1220" s="15" t="s">
        <v>241</v>
      </c>
      <c r="BS1220" t="s">
        <v>232</v>
      </c>
      <c r="BT1220" t="s">
        <v>1929</v>
      </c>
      <c r="BU1220" t="s">
        <v>682</v>
      </c>
      <c r="BV1220" t="s">
        <v>1153</v>
      </c>
    </row>
    <row r="1221" spans="68:74" x14ac:dyDescent="0.25">
      <c r="BQ1221">
        <v>30700373</v>
      </c>
      <c r="BR1221" s="15" t="s">
        <v>241</v>
      </c>
      <c r="BS1221" t="s">
        <v>232</v>
      </c>
      <c r="BT1221" t="s">
        <v>1930</v>
      </c>
      <c r="BU1221" t="s">
        <v>682</v>
      </c>
      <c r="BV1221" t="s">
        <v>680</v>
      </c>
    </row>
    <row r="1222" spans="68:74" x14ac:dyDescent="0.25">
      <c r="BQ1222">
        <v>30700242</v>
      </c>
      <c r="BR1222" s="15" t="s">
        <v>241</v>
      </c>
      <c r="BS1222" t="s">
        <v>232</v>
      </c>
      <c r="BT1222" t="s">
        <v>1931</v>
      </c>
      <c r="BU1222" t="s">
        <v>681</v>
      </c>
      <c r="BV1222" t="s">
        <v>680</v>
      </c>
    </row>
    <row r="1223" spans="68:74" x14ac:dyDescent="0.25">
      <c r="BQ1223">
        <v>30700193</v>
      </c>
      <c r="BR1223" s="15" t="s">
        <v>241</v>
      </c>
      <c r="BS1223" t="s">
        <v>232</v>
      </c>
      <c r="BT1223" t="s">
        <v>1932</v>
      </c>
      <c r="BU1223" t="s">
        <v>682</v>
      </c>
      <c r="BV1223" t="s">
        <v>680</v>
      </c>
    </row>
    <row r="1224" spans="68:74" x14ac:dyDescent="0.25">
      <c r="BP1224">
        <v>12387</v>
      </c>
      <c r="BQ1224">
        <v>3070023305</v>
      </c>
      <c r="BR1224" s="15" t="s">
        <v>241</v>
      </c>
      <c r="BS1224" t="s">
        <v>232</v>
      </c>
      <c r="BT1224" t="s">
        <v>1933</v>
      </c>
      <c r="BU1224" t="s">
        <v>682</v>
      </c>
      <c r="BV1224" t="s">
        <v>1153</v>
      </c>
    </row>
    <row r="1225" spans="68:74" x14ac:dyDescent="0.25">
      <c r="BP1225">
        <v>12390</v>
      </c>
      <c r="BQ1225">
        <v>3070023305</v>
      </c>
      <c r="BR1225" s="15" t="s">
        <v>241</v>
      </c>
      <c r="BS1225" t="s">
        <v>232</v>
      </c>
      <c r="BT1225" t="s">
        <v>1933</v>
      </c>
      <c r="BU1225" t="s">
        <v>682</v>
      </c>
      <c r="BV1225" t="s">
        <v>1149</v>
      </c>
    </row>
    <row r="1226" spans="68:74" x14ac:dyDescent="0.25">
      <c r="BP1226">
        <v>12389</v>
      </c>
      <c r="BQ1226">
        <v>3070023305</v>
      </c>
      <c r="BR1226" s="15" t="s">
        <v>241</v>
      </c>
      <c r="BS1226" t="s">
        <v>232</v>
      </c>
      <c r="BT1226" t="s">
        <v>1933</v>
      </c>
      <c r="BU1226" t="s">
        <v>682</v>
      </c>
      <c r="BV1226" t="s">
        <v>1153</v>
      </c>
    </row>
    <row r="1227" spans="68:74" x14ac:dyDescent="0.25">
      <c r="BP1227">
        <v>12398</v>
      </c>
      <c r="BQ1227">
        <v>3070023311</v>
      </c>
      <c r="BR1227" s="15" t="s">
        <v>241</v>
      </c>
      <c r="BS1227" t="s">
        <v>232</v>
      </c>
      <c r="BT1227" t="s">
        <v>1933</v>
      </c>
      <c r="BU1227" t="s">
        <v>682</v>
      </c>
      <c r="BV1227" t="s">
        <v>1153</v>
      </c>
    </row>
    <row r="1228" spans="68:74" x14ac:dyDescent="0.25">
      <c r="BP1228">
        <v>12400</v>
      </c>
      <c r="BQ1228">
        <v>3070023312</v>
      </c>
      <c r="BR1228" s="15" t="s">
        <v>241</v>
      </c>
      <c r="BS1228" t="s">
        <v>232</v>
      </c>
      <c r="BT1228" t="s">
        <v>1933</v>
      </c>
      <c r="BU1228" t="s">
        <v>682</v>
      </c>
      <c r="BV1228" t="s">
        <v>1149</v>
      </c>
    </row>
    <row r="1229" spans="68:74" x14ac:dyDescent="0.25">
      <c r="BP1229">
        <v>12392</v>
      </c>
      <c r="BQ1229">
        <v>3070023306</v>
      </c>
      <c r="BR1229" s="15" t="s">
        <v>241</v>
      </c>
      <c r="BS1229" t="s">
        <v>232</v>
      </c>
      <c r="BT1229" t="s">
        <v>1934</v>
      </c>
      <c r="BU1229" t="s">
        <v>682</v>
      </c>
      <c r="BV1229" t="s">
        <v>1153</v>
      </c>
    </row>
    <row r="1230" spans="68:74" x14ac:dyDescent="0.25">
      <c r="BP1230">
        <v>12393</v>
      </c>
      <c r="BQ1230">
        <v>3070023306</v>
      </c>
      <c r="BR1230" s="15" t="s">
        <v>241</v>
      </c>
      <c r="BS1230" t="s">
        <v>232</v>
      </c>
      <c r="BT1230" t="s">
        <v>1934</v>
      </c>
      <c r="BU1230" t="s">
        <v>682</v>
      </c>
      <c r="BV1230" t="s">
        <v>1149</v>
      </c>
    </row>
    <row r="1231" spans="68:74" x14ac:dyDescent="0.25">
      <c r="BQ1231">
        <v>3070023306</v>
      </c>
      <c r="BR1231" s="15" t="s">
        <v>241</v>
      </c>
      <c r="BS1231" t="s">
        <v>232</v>
      </c>
      <c r="BT1231" t="s">
        <v>1934</v>
      </c>
      <c r="BU1231" t="s">
        <v>682</v>
      </c>
      <c r="BV1231" t="s">
        <v>1149</v>
      </c>
    </row>
    <row r="1232" spans="68:74" x14ac:dyDescent="0.25">
      <c r="BP1232">
        <v>12402</v>
      </c>
      <c r="BQ1232">
        <v>3070023313</v>
      </c>
      <c r="BR1232" s="15" t="s">
        <v>241</v>
      </c>
      <c r="BS1232" t="s">
        <v>232</v>
      </c>
      <c r="BT1232" t="s">
        <v>1935</v>
      </c>
      <c r="BU1232" t="s">
        <v>682</v>
      </c>
      <c r="BV1232" t="s">
        <v>1153</v>
      </c>
    </row>
    <row r="1233" spans="68:74" x14ac:dyDescent="0.25">
      <c r="BQ1233">
        <v>30700383</v>
      </c>
      <c r="BR1233" s="15" t="s">
        <v>241</v>
      </c>
      <c r="BS1233" t="s">
        <v>232</v>
      </c>
      <c r="BT1233" t="s">
        <v>1936</v>
      </c>
      <c r="BU1233" t="s">
        <v>682</v>
      </c>
      <c r="BV1233" t="s">
        <v>680</v>
      </c>
    </row>
    <row r="1234" spans="68:74" x14ac:dyDescent="0.25">
      <c r="BQ1234">
        <v>30700082</v>
      </c>
      <c r="BR1234" s="15" t="s">
        <v>241</v>
      </c>
      <c r="BS1234" t="s">
        <v>232</v>
      </c>
      <c r="BT1234" t="s">
        <v>1937</v>
      </c>
      <c r="BU1234" t="s">
        <v>681</v>
      </c>
      <c r="BV1234" t="s">
        <v>680</v>
      </c>
    </row>
    <row r="1235" spans="68:74" x14ac:dyDescent="0.25">
      <c r="BP1235">
        <v>12791</v>
      </c>
      <c r="BQ1235">
        <v>3070007308</v>
      </c>
      <c r="BR1235" s="15" t="s">
        <v>241</v>
      </c>
      <c r="BS1235" t="s">
        <v>232</v>
      </c>
      <c r="BT1235" t="s">
        <v>1937</v>
      </c>
      <c r="BU1235" t="s">
        <v>682</v>
      </c>
      <c r="BV1235" t="s">
        <v>1153</v>
      </c>
    </row>
    <row r="1236" spans="68:74" x14ac:dyDescent="0.25">
      <c r="BP1236">
        <v>12819</v>
      </c>
      <c r="BQ1236">
        <v>3070007333</v>
      </c>
      <c r="BR1236" s="15" t="s">
        <v>241</v>
      </c>
      <c r="BS1236" t="s">
        <v>232</v>
      </c>
      <c r="BT1236" t="s">
        <v>1938</v>
      </c>
      <c r="BU1236" t="s">
        <v>682</v>
      </c>
      <c r="BV1236" t="s">
        <v>1153</v>
      </c>
    </row>
    <row r="1237" spans="68:74" x14ac:dyDescent="0.25">
      <c r="BP1237">
        <v>12790</v>
      </c>
      <c r="BQ1237">
        <v>3070007307</v>
      </c>
      <c r="BR1237" s="15" t="s">
        <v>241</v>
      </c>
      <c r="BS1237" t="s">
        <v>232</v>
      </c>
      <c r="BT1237" t="s">
        <v>4570</v>
      </c>
      <c r="BU1237" t="s">
        <v>682</v>
      </c>
      <c r="BV1237" t="s">
        <v>1153</v>
      </c>
    </row>
    <row r="1238" spans="68:74" x14ac:dyDescent="0.25">
      <c r="BP1238">
        <v>12820</v>
      </c>
      <c r="BQ1238">
        <v>3070007334</v>
      </c>
      <c r="BR1238" s="15" t="s">
        <v>241</v>
      </c>
      <c r="BS1238" t="s">
        <v>232</v>
      </c>
      <c r="BT1238" t="s">
        <v>1939</v>
      </c>
      <c r="BU1238" t="s">
        <v>682</v>
      </c>
      <c r="BV1238" t="s">
        <v>1153</v>
      </c>
    </row>
    <row r="1239" spans="68:74" x14ac:dyDescent="0.25">
      <c r="BQ1239">
        <v>30800012</v>
      </c>
      <c r="BR1239" s="15" t="s">
        <v>242</v>
      </c>
      <c r="BS1239" t="s">
        <v>233</v>
      </c>
      <c r="BT1239" t="s">
        <v>1940</v>
      </c>
      <c r="BU1239" t="s">
        <v>681</v>
      </c>
      <c r="BV1239" t="s">
        <v>680</v>
      </c>
    </row>
    <row r="1240" spans="68:74" x14ac:dyDescent="0.25">
      <c r="BQ1240">
        <v>30800013</v>
      </c>
      <c r="BR1240" s="15" t="s">
        <v>242</v>
      </c>
      <c r="BS1240" t="s">
        <v>233</v>
      </c>
      <c r="BT1240" t="s">
        <v>1940</v>
      </c>
      <c r="BU1240" t="s">
        <v>682</v>
      </c>
      <c r="BV1240" t="s">
        <v>680</v>
      </c>
    </row>
    <row r="1241" spans="68:74" x14ac:dyDescent="0.25">
      <c r="BQ1241">
        <v>30800373</v>
      </c>
      <c r="BR1241" s="15" t="s">
        <v>242</v>
      </c>
      <c r="BS1241" t="s">
        <v>233</v>
      </c>
      <c r="BT1241" t="s">
        <v>1941</v>
      </c>
      <c r="BU1241" t="s">
        <v>682</v>
      </c>
      <c r="BV1241" t="s">
        <v>680</v>
      </c>
    </row>
    <row r="1242" spans="68:74" x14ac:dyDescent="0.25">
      <c r="BP1242">
        <v>12829</v>
      </c>
      <c r="BQ1242">
        <v>3080008313</v>
      </c>
      <c r="BR1242" s="15" t="s">
        <v>242</v>
      </c>
      <c r="BS1242" t="s">
        <v>233</v>
      </c>
      <c r="BT1242" t="s">
        <v>1942</v>
      </c>
      <c r="BU1242" t="s">
        <v>682</v>
      </c>
      <c r="BV1242" t="s">
        <v>1153</v>
      </c>
    </row>
    <row r="1243" spans="68:74" x14ac:dyDescent="0.25">
      <c r="BP1243">
        <v>12830</v>
      </c>
      <c r="BQ1243">
        <v>3080008314</v>
      </c>
      <c r="BR1243" s="15" t="s">
        <v>242</v>
      </c>
      <c r="BS1243" t="s">
        <v>233</v>
      </c>
      <c r="BT1243" t="s">
        <v>1942</v>
      </c>
      <c r="BU1243" t="s">
        <v>682</v>
      </c>
      <c r="BV1243" t="s">
        <v>1153</v>
      </c>
    </row>
    <row r="1244" spans="68:74" x14ac:dyDescent="0.25">
      <c r="BP1244">
        <v>12903</v>
      </c>
      <c r="BQ1244">
        <v>3080393330</v>
      </c>
      <c r="BR1244" s="15" t="s">
        <v>242</v>
      </c>
      <c r="BS1244" t="s">
        <v>233</v>
      </c>
      <c r="BT1244" t="s">
        <v>1943</v>
      </c>
      <c r="BU1244" t="s">
        <v>682</v>
      </c>
      <c r="BV1244" t="s">
        <v>1153</v>
      </c>
    </row>
    <row r="1245" spans="68:74" x14ac:dyDescent="0.25">
      <c r="BQ1245">
        <v>30800393</v>
      </c>
      <c r="BR1245" s="15" t="s">
        <v>242</v>
      </c>
      <c r="BS1245" t="s">
        <v>233</v>
      </c>
      <c r="BT1245" t="s">
        <v>1944</v>
      </c>
      <c r="BU1245" t="s">
        <v>682</v>
      </c>
      <c r="BV1245" t="s">
        <v>680</v>
      </c>
    </row>
    <row r="1246" spans="68:74" x14ac:dyDescent="0.25">
      <c r="BQ1246">
        <v>30800022</v>
      </c>
      <c r="BR1246" s="15" t="s">
        <v>242</v>
      </c>
      <c r="BS1246" t="s">
        <v>233</v>
      </c>
      <c r="BT1246" t="s">
        <v>1945</v>
      </c>
      <c r="BU1246" t="s">
        <v>681</v>
      </c>
      <c r="BV1246" t="s">
        <v>680</v>
      </c>
    </row>
    <row r="1247" spans="68:74" x14ac:dyDescent="0.25">
      <c r="BP1247">
        <v>606666</v>
      </c>
      <c r="BQ1247">
        <v>30800913</v>
      </c>
      <c r="BR1247" s="15" t="s">
        <v>242</v>
      </c>
      <c r="BS1247" t="s">
        <v>233</v>
      </c>
      <c r="BT1247" t="s">
        <v>4819</v>
      </c>
      <c r="BU1247" t="s">
        <v>682</v>
      </c>
      <c r="BV1247" t="s">
        <v>1153</v>
      </c>
    </row>
    <row r="1248" spans="68:74" x14ac:dyDescent="0.25">
      <c r="BQ1248">
        <v>30800032</v>
      </c>
      <c r="BR1248" s="15" t="s">
        <v>242</v>
      </c>
      <c r="BS1248" t="s">
        <v>233</v>
      </c>
      <c r="BT1248" t="s">
        <v>1946</v>
      </c>
      <c r="BU1248" t="s">
        <v>681</v>
      </c>
      <c r="BV1248" t="s">
        <v>680</v>
      </c>
    </row>
    <row r="1249" spans="68:74" x14ac:dyDescent="0.25">
      <c r="BQ1249">
        <v>30800033</v>
      </c>
      <c r="BR1249" s="15" t="s">
        <v>242</v>
      </c>
      <c r="BS1249" t="s">
        <v>233</v>
      </c>
      <c r="BT1249" t="s">
        <v>1946</v>
      </c>
      <c r="BU1249" t="s">
        <v>682</v>
      </c>
      <c r="BV1249" t="s">
        <v>680</v>
      </c>
    </row>
    <row r="1250" spans="68:74" x14ac:dyDescent="0.25">
      <c r="BQ1250">
        <v>30800403</v>
      </c>
      <c r="BR1250" s="15" t="s">
        <v>242</v>
      </c>
      <c r="BS1250" t="s">
        <v>233</v>
      </c>
      <c r="BT1250" t="s">
        <v>1947</v>
      </c>
      <c r="BU1250" t="s">
        <v>682</v>
      </c>
      <c r="BV1250" t="s">
        <v>680</v>
      </c>
    </row>
    <row r="1251" spans="68:74" x14ac:dyDescent="0.25">
      <c r="BQ1251">
        <v>30800413</v>
      </c>
      <c r="BR1251" s="15" t="s">
        <v>242</v>
      </c>
      <c r="BS1251" t="s">
        <v>233</v>
      </c>
      <c r="BT1251" t="s">
        <v>1948</v>
      </c>
      <c r="BU1251" t="s">
        <v>682</v>
      </c>
      <c r="BV1251" t="s">
        <v>680</v>
      </c>
    </row>
    <row r="1252" spans="68:74" x14ac:dyDescent="0.25">
      <c r="BP1252">
        <v>12890</v>
      </c>
      <c r="BQ1252">
        <v>3080393323</v>
      </c>
      <c r="BR1252" s="15" t="s">
        <v>242</v>
      </c>
      <c r="BS1252" t="s">
        <v>233</v>
      </c>
      <c r="BT1252" t="s">
        <v>1949</v>
      </c>
      <c r="BU1252" t="s">
        <v>682</v>
      </c>
      <c r="BV1252" t="s">
        <v>1153</v>
      </c>
    </row>
    <row r="1253" spans="68:74" x14ac:dyDescent="0.25">
      <c r="BQ1253">
        <v>30800423</v>
      </c>
      <c r="BR1253" s="15" t="s">
        <v>242</v>
      </c>
      <c r="BS1253" t="s">
        <v>233</v>
      </c>
      <c r="BT1253" t="s">
        <v>1950</v>
      </c>
      <c r="BU1253" t="s">
        <v>682</v>
      </c>
      <c r="BV1253" t="s">
        <v>680</v>
      </c>
    </row>
    <row r="1254" spans="68:74" x14ac:dyDescent="0.25">
      <c r="BQ1254">
        <v>30800042</v>
      </c>
      <c r="BR1254" s="15" t="s">
        <v>242</v>
      </c>
      <c r="BS1254" t="s">
        <v>233</v>
      </c>
      <c r="BT1254" t="s">
        <v>1951</v>
      </c>
      <c r="BU1254" t="s">
        <v>681</v>
      </c>
      <c r="BV1254" t="s">
        <v>680</v>
      </c>
    </row>
    <row r="1255" spans="68:74" x14ac:dyDescent="0.25">
      <c r="BQ1255">
        <v>30800753</v>
      </c>
      <c r="BR1255" s="15" t="s">
        <v>242</v>
      </c>
      <c r="BS1255" t="s">
        <v>233</v>
      </c>
      <c r="BT1255" t="s">
        <v>1952</v>
      </c>
      <c r="BU1255" t="s">
        <v>682</v>
      </c>
      <c r="BV1255" t="s">
        <v>680</v>
      </c>
    </row>
    <row r="1256" spans="68:74" x14ac:dyDescent="0.25">
      <c r="BQ1256">
        <v>30800053</v>
      </c>
      <c r="BR1256" s="15" t="s">
        <v>242</v>
      </c>
      <c r="BS1256" t="s">
        <v>233</v>
      </c>
      <c r="BT1256" t="s">
        <v>1657</v>
      </c>
      <c r="BU1256" t="s">
        <v>682</v>
      </c>
      <c r="BV1256" t="s">
        <v>680</v>
      </c>
    </row>
    <row r="1257" spans="68:74" x14ac:dyDescent="0.25">
      <c r="BQ1257">
        <v>3080008301</v>
      </c>
      <c r="BR1257" s="15" t="s">
        <v>242</v>
      </c>
      <c r="BS1257" t="s">
        <v>233</v>
      </c>
      <c r="BT1257" t="s">
        <v>1953</v>
      </c>
      <c r="BU1257" t="s">
        <v>682</v>
      </c>
      <c r="BV1257" t="s">
        <v>1153</v>
      </c>
    </row>
    <row r="1258" spans="68:74" x14ac:dyDescent="0.25">
      <c r="BP1258">
        <v>12902</v>
      </c>
      <c r="BQ1258">
        <v>3080393329</v>
      </c>
      <c r="BR1258" s="15" t="s">
        <v>242</v>
      </c>
      <c r="BS1258" t="s">
        <v>233</v>
      </c>
      <c r="BT1258" t="s">
        <v>1954</v>
      </c>
      <c r="BU1258" t="s">
        <v>682</v>
      </c>
      <c r="BV1258" t="s">
        <v>1149</v>
      </c>
    </row>
    <row r="1259" spans="68:74" x14ac:dyDescent="0.25">
      <c r="BQ1259">
        <v>30800433</v>
      </c>
      <c r="BR1259" s="15" t="s">
        <v>242</v>
      </c>
      <c r="BS1259" t="s">
        <v>233</v>
      </c>
      <c r="BT1259" t="s">
        <v>1955</v>
      </c>
      <c r="BU1259" t="s">
        <v>682</v>
      </c>
      <c r="BV1259" t="s">
        <v>680</v>
      </c>
    </row>
    <row r="1260" spans="68:74" x14ac:dyDescent="0.25">
      <c r="BQ1260">
        <v>30800062</v>
      </c>
      <c r="BR1260" s="15" t="s">
        <v>242</v>
      </c>
      <c r="BS1260" t="s">
        <v>233</v>
      </c>
      <c r="BT1260" t="s">
        <v>1956</v>
      </c>
      <c r="BU1260" t="s">
        <v>681</v>
      </c>
      <c r="BV1260" t="s">
        <v>680</v>
      </c>
    </row>
    <row r="1261" spans="68:74" x14ac:dyDescent="0.25">
      <c r="BQ1261">
        <v>30800072</v>
      </c>
      <c r="BR1261" s="15" t="s">
        <v>242</v>
      </c>
      <c r="BS1261" t="s">
        <v>233</v>
      </c>
      <c r="BT1261" t="s">
        <v>1768</v>
      </c>
      <c r="BU1261" t="s">
        <v>681</v>
      </c>
      <c r="BV1261" t="s">
        <v>680</v>
      </c>
    </row>
    <row r="1262" spans="68:74" x14ac:dyDescent="0.25">
      <c r="BQ1262">
        <v>30800073</v>
      </c>
      <c r="BR1262" s="15" t="s">
        <v>242</v>
      </c>
      <c r="BS1262" t="s">
        <v>233</v>
      </c>
      <c r="BT1262" t="s">
        <v>1768</v>
      </c>
      <c r="BU1262" t="s">
        <v>682</v>
      </c>
      <c r="BV1262" t="s">
        <v>680</v>
      </c>
    </row>
    <row r="1263" spans="68:74" x14ac:dyDescent="0.25">
      <c r="BQ1263">
        <v>30800803</v>
      </c>
      <c r="BR1263" s="15" t="s">
        <v>242</v>
      </c>
      <c r="BS1263" t="s">
        <v>233</v>
      </c>
      <c r="BT1263" t="s">
        <v>1957</v>
      </c>
      <c r="BU1263" t="s">
        <v>682</v>
      </c>
      <c r="BV1263" t="s">
        <v>680</v>
      </c>
    </row>
    <row r="1264" spans="68:74" x14ac:dyDescent="0.25">
      <c r="BQ1264">
        <v>30800443</v>
      </c>
      <c r="BR1264" s="15" t="s">
        <v>242</v>
      </c>
      <c r="BS1264" t="s">
        <v>233</v>
      </c>
      <c r="BT1264" t="s">
        <v>1879</v>
      </c>
      <c r="BU1264" t="s">
        <v>682</v>
      </c>
      <c r="BV1264" t="s">
        <v>680</v>
      </c>
    </row>
    <row r="1265" spans="68:74" x14ac:dyDescent="0.25">
      <c r="BP1265">
        <v>286654</v>
      </c>
      <c r="BQ1265">
        <v>30807523</v>
      </c>
      <c r="BR1265" s="15" t="s">
        <v>242</v>
      </c>
      <c r="BS1265" t="s">
        <v>233</v>
      </c>
      <c r="BT1265" t="s">
        <v>1958</v>
      </c>
      <c r="BU1265" t="s">
        <v>682</v>
      </c>
      <c r="BV1265" t="s">
        <v>1153</v>
      </c>
    </row>
    <row r="1266" spans="68:74" x14ac:dyDescent="0.25">
      <c r="BP1266">
        <v>628358</v>
      </c>
      <c r="BQ1266">
        <v>30808063</v>
      </c>
      <c r="BR1266" s="15" t="s">
        <v>242</v>
      </c>
      <c r="BS1266" t="s">
        <v>233</v>
      </c>
      <c r="BT1266" t="s">
        <v>5491</v>
      </c>
      <c r="BU1266" t="s">
        <v>682</v>
      </c>
      <c r="BV1266" t="s">
        <v>1153</v>
      </c>
    </row>
    <row r="1267" spans="68:74" x14ac:dyDescent="0.25">
      <c r="BP1267">
        <v>12756</v>
      </c>
      <c r="BQ1267">
        <v>30800082</v>
      </c>
      <c r="BR1267" s="15" t="s">
        <v>242</v>
      </c>
      <c r="BS1267" t="s">
        <v>233</v>
      </c>
      <c r="BT1267" t="s">
        <v>233</v>
      </c>
      <c r="BU1267" t="s">
        <v>681</v>
      </c>
      <c r="BV1267" t="s">
        <v>1153</v>
      </c>
    </row>
    <row r="1268" spans="68:74" x14ac:dyDescent="0.25">
      <c r="BQ1268">
        <v>30800083</v>
      </c>
      <c r="BR1268" s="15" t="s">
        <v>242</v>
      </c>
      <c r="BS1268" t="s">
        <v>233</v>
      </c>
      <c r="BT1268" t="s">
        <v>233</v>
      </c>
      <c r="BU1268" t="s">
        <v>682</v>
      </c>
      <c r="BV1268" t="s">
        <v>680</v>
      </c>
    </row>
    <row r="1269" spans="68:74" x14ac:dyDescent="0.25">
      <c r="BP1269">
        <v>588670</v>
      </c>
      <c r="BQ1269">
        <v>3080008302</v>
      </c>
      <c r="BR1269" s="15" t="s">
        <v>242</v>
      </c>
      <c r="BS1269" t="s">
        <v>233</v>
      </c>
      <c r="BT1269" t="s">
        <v>233</v>
      </c>
      <c r="BU1269" t="s">
        <v>682</v>
      </c>
      <c r="BV1269" t="s">
        <v>1153</v>
      </c>
    </row>
    <row r="1270" spans="68:74" x14ac:dyDescent="0.25">
      <c r="BQ1270">
        <v>30800092</v>
      </c>
      <c r="BR1270" s="15" t="s">
        <v>242</v>
      </c>
      <c r="BS1270" t="s">
        <v>233</v>
      </c>
      <c r="BT1270" t="s">
        <v>1959</v>
      </c>
      <c r="BU1270" t="s">
        <v>681</v>
      </c>
      <c r="BV1270" t="s">
        <v>680</v>
      </c>
    </row>
    <row r="1271" spans="68:74" x14ac:dyDescent="0.25">
      <c r="BQ1271">
        <v>30800093</v>
      </c>
      <c r="BR1271" s="15" t="s">
        <v>242</v>
      </c>
      <c r="BS1271" t="s">
        <v>233</v>
      </c>
      <c r="BT1271" t="s">
        <v>1959</v>
      </c>
      <c r="BU1271" t="s">
        <v>682</v>
      </c>
      <c r="BV1271" t="s">
        <v>680</v>
      </c>
    </row>
    <row r="1272" spans="68:74" x14ac:dyDescent="0.25">
      <c r="BP1272">
        <v>12857</v>
      </c>
      <c r="BQ1272">
        <v>3080393301</v>
      </c>
      <c r="BR1272" s="15" t="s">
        <v>242</v>
      </c>
      <c r="BS1272" t="s">
        <v>233</v>
      </c>
      <c r="BT1272" t="s">
        <v>1960</v>
      </c>
      <c r="BU1272" t="s">
        <v>682</v>
      </c>
      <c r="BV1272" t="s">
        <v>1153</v>
      </c>
    </row>
    <row r="1273" spans="68:74" x14ac:dyDescent="0.25">
      <c r="BP1273">
        <v>12873</v>
      </c>
      <c r="BQ1273">
        <v>3080393312</v>
      </c>
      <c r="BR1273" s="15" t="s">
        <v>242</v>
      </c>
      <c r="BS1273" t="s">
        <v>233</v>
      </c>
      <c r="BT1273" t="s">
        <v>1961</v>
      </c>
      <c r="BU1273" t="s">
        <v>682</v>
      </c>
      <c r="BV1273" t="s">
        <v>1153</v>
      </c>
    </row>
    <row r="1274" spans="68:74" x14ac:dyDescent="0.25">
      <c r="BP1274">
        <v>12874</v>
      </c>
      <c r="BQ1274">
        <v>3080393313</v>
      </c>
      <c r="BR1274" s="15" t="s">
        <v>242</v>
      </c>
      <c r="BS1274" t="s">
        <v>233</v>
      </c>
      <c r="BT1274" t="s">
        <v>1962</v>
      </c>
      <c r="BU1274" t="s">
        <v>682</v>
      </c>
      <c r="BV1274" t="s">
        <v>1153</v>
      </c>
    </row>
    <row r="1275" spans="68:74" x14ac:dyDescent="0.25">
      <c r="BP1275">
        <v>12899</v>
      </c>
      <c r="BQ1275">
        <v>3080393327</v>
      </c>
      <c r="BR1275" s="15" t="s">
        <v>242</v>
      </c>
      <c r="BS1275" t="s">
        <v>233</v>
      </c>
      <c r="BT1275" t="s">
        <v>1963</v>
      </c>
      <c r="BU1275" t="s">
        <v>682</v>
      </c>
      <c r="BV1275" t="s">
        <v>1153</v>
      </c>
    </row>
    <row r="1276" spans="68:74" x14ac:dyDescent="0.25">
      <c r="BP1276">
        <v>12825</v>
      </c>
      <c r="BQ1276">
        <v>3080008307</v>
      </c>
      <c r="BR1276" s="15" t="s">
        <v>242</v>
      </c>
      <c r="BS1276" t="s">
        <v>233</v>
      </c>
      <c r="BT1276" t="s">
        <v>1964</v>
      </c>
      <c r="BU1276" t="s">
        <v>682</v>
      </c>
      <c r="BV1276" t="s">
        <v>1153</v>
      </c>
    </row>
    <row r="1277" spans="68:74" x14ac:dyDescent="0.25">
      <c r="BP1277">
        <v>12832</v>
      </c>
      <c r="BQ1277">
        <v>3080008315</v>
      </c>
      <c r="BR1277" s="15" t="s">
        <v>242</v>
      </c>
      <c r="BS1277" t="s">
        <v>233</v>
      </c>
      <c r="BT1277" t="s">
        <v>1965</v>
      </c>
      <c r="BU1277" t="s">
        <v>682</v>
      </c>
      <c r="BV1277" t="s">
        <v>1153</v>
      </c>
    </row>
    <row r="1278" spans="68:74" x14ac:dyDescent="0.25">
      <c r="BP1278">
        <v>12844</v>
      </c>
      <c r="BQ1278">
        <v>3080008330</v>
      </c>
      <c r="BR1278" s="15" t="s">
        <v>242</v>
      </c>
      <c r="BS1278" t="s">
        <v>233</v>
      </c>
      <c r="BT1278" t="s">
        <v>1966</v>
      </c>
      <c r="BU1278" t="s">
        <v>682</v>
      </c>
      <c r="BV1278" t="s">
        <v>1153</v>
      </c>
    </row>
    <row r="1279" spans="68:74" x14ac:dyDescent="0.25">
      <c r="BP1279">
        <v>12845</v>
      </c>
      <c r="BQ1279">
        <v>3080008331</v>
      </c>
      <c r="BR1279" s="15" t="s">
        <v>242</v>
      </c>
      <c r="BS1279" t="s">
        <v>233</v>
      </c>
      <c r="BT1279" t="s">
        <v>1967</v>
      </c>
      <c r="BU1279" t="s">
        <v>682</v>
      </c>
      <c r="BV1279" t="s">
        <v>1153</v>
      </c>
    </row>
    <row r="1280" spans="68:74" x14ac:dyDescent="0.25">
      <c r="BQ1280">
        <v>3080008321</v>
      </c>
      <c r="BR1280" s="15" t="s">
        <v>242</v>
      </c>
      <c r="BS1280" t="s">
        <v>233</v>
      </c>
      <c r="BT1280" t="s">
        <v>1968</v>
      </c>
      <c r="BU1280" t="s">
        <v>682</v>
      </c>
      <c r="BV1280" t="s">
        <v>1153</v>
      </c>
    </row>
    <row r="1281" spans="68:74" x14ac:dyDescent="0.25">
      <c r="BP1281">
        <v>12837</v>
      </c>
      <c r="BQ1281">
        <v>3080008322</v>
      </c>
      <c r="BR1281" s="15" t="s">
        <v>242</v>
      </c>
      <c r="BS1281" t="s">
        <v>233</v>
      </c>
      <c r="BT1281" t="s">
        <v>1968</v>
      </c>
      <c r="BU1281" t="s">
        <v>682</v>
      </c>
      <c r="BV1281" t="s">
        <v>1153</v>
      </c>
    </row>
    <row r="1282" spans="68:74" x14ac:dyDescent="0.25">
      <c r="BQ1282">
        <v>3080008326</v>
      </c>
      <c r="BR1282" s="15" t="s">
        <v>242</v>
      </c>
      <c r="BS1282" t="s">
        <v>233</v>
      </c>
      <c r="BT1282" t="s">
        <v>1969</v>
      </c>
      <c r="BU1282" t="s">
        <v>682</v>
      </c>
      <c r="BV1282" t="s">
        <v>1153</v>
      </c>
    </row>
    <row r="1283" spans="68:74" x14ac:dyDescent="0.25">
      <c r="BP1283">
        <v>12842</v>
      </c>
      <c r="BQ1283">
        <v>3080008328</v>
      </c>
      <c r="BR1283" s="15" t="s">
        <v>242</v>
      </c>
      <c r="BS1283" t="s">
        <v>233</v>
      </c>
      <c r="BT1283" t="s">
        <v>1970</v>
      </c>
      <c r="BU1283" t="s">
        <v>682</v>
      </c>
      <c r="BV1283" t="s">
        <v>1153</v>
      </c>
    </row>
    <row r="1284" spans="68:74" x14ac:dyDescent="0.25">
      <c r="BP1284">
        <v>12841</v>
      </c>
      <c r="BQ1284">
        <v>3080008327</v>
      </c>
      <c r="BR1284" s="15" t="s">
        <v>242</v>
      </c>
      <c r="BS1284" t="s">
        <v>233</v>
      </c>
      <c r="BT1284" t="s">
        <v>1971</v>
      </c>
      <c r="BU1284" t="s">
        <v>682</v>
      </c>
      <c r="BV1284" t="s">
        <v>1153</v>
      </c>
    </row>
    <row r="1285" spans="68:74" x14ac:dyDescent="0.25">
      <c r="BP1285">
        <v>12833</v>
      </c>
      <c r="BQ1285">
        <v>3080008316</v>
      </c>
      <c r="BR1285" s="15" t="s">
        <v>242</v>
      </c>
      <c r="BS1285" t="s">
        <v>233</v>
      </c>
      <c r="BT1285" t="s">
        <v>1972</v>
      </c>
      <c r="BU1285" t="s">
        <v>682</v>
      </c>
      <c r="BV1285" t="s">
        <v>1153</v>
      </c>
    </row>
    <row r="1286" spans="68:74" x14ac:dyDescent="0.25">
      <c r="BP1286">
        <v>12834</v>
      </c>
      <c r="BQ1286">
        <v>3080008317</v>
      </c>
      <c r="BR1286" s="15" t="s">
        <v>242</v>
      </c>
      <c r="BS1286" t="s">
        <v>233</v>
      </c>
      <c r="BT1286" t="s">
        <v>1972</v>
      </c>
      <c r="BU1286" t="s">
        <v>682</v>
      </c>
      <c r="BV1286" t="s">
        <v>1153</v>
      </c>
    </row>
    <row r="1287" spans="68:74" x14ac:dyDescent="0.25">
      <c r="BP1287">
        <v>288562</v>
      </c>
      <c r="BQ1287">
        <v>30807533</v>
      </c>
      <c r="BR1287" s="15" t="s">
        <v>242</v>
      </c>
      <c r="BS1287" t="s">
        <v>233</v>
      </c>
      <c r="BT1287" t="s">
        <v>1973</v>
      </c>
      <c r="BU1287" t="s">
        <v>682</v>
      </c>
      <c r="BV1287" t="s">
        <v>1153</v>
      </c>
    </row>
    <row r="1288" spans="68:74" x14ac:dyDescent="0.25">
      <c r="BP1288">
        <v>286655</v>
      </c>
      <c r="BQ1288">
        <v>30807533</v>
      </c>
      <c r="BR1288" s="15" t="s">
        <v>242</v>
      </c>
      <c r="BS1288" t="s">
        <v>233</v>
      </c>
      <c r="BT1288" t="s">
        <v>1973</v>
      </c>
      <c r="BU1288" t="s">
        <v>682</v>
      </c>
      <c r="BV1288" t="s">
        <v>1149</v>
      </c>
    </row>
    <row r="1289" spans="68:74" x14ac:dyDescent="0.25">
      <c r="BP1289">
        <v>12838</v>
      </c>
      <c r="BQ1289">
        <v>3080008323</v>
      </c>
      <c r="BR1289" s="15" t="s">
        <v>242</v>
      </c>
      <c r="BS1289" t="s">
        <v>233</v>
      </c>
      <c r="BT1289" t="s">
        <v>1974</v>
      </c>
      <c r="BU1289" t="s">
        <v>682</v>
      </c>
      <c r="BV1289" t="s">
        <v>1153</v>
      </c>
    </row>
    <row r="1290" spans="68:74" x14ac:dyDescent="0.25">
      <c r="BP1290">
        <v>12839</v>
      </c>
      <c r="BQ1290">
        <v>3080008324</v>
      </c>
      <c r="BR1290" s="15" t="s">
        <v>242</v>
      </c>
      <c r="BS1290" t="s">
        <v>233</v>
      </c>
      <c r="BT1290" t="s">
        <v>1974</v>
      </c>
      <c r="BU1290" t="s">
        <v>682</v>
      </c>
      <c r="BV1290" t="s">
        <v>1153</v>
      </c>
    </row>
    <row r="1291" spans="68:74" x14ac:dyDescent="0.25">
      <c r="BP1291">
        <v>12775</v>
      </c>
      <c r="BQ1291">
        <v>30803932</v>
      </c>
      <c r="BR1291" s="15" t="s">
        <v>242</v>
      </c>
      <c r="BS1291" t="s">
        <v>233</v>
      </c>
      <c r="BT1291" t="s">
        <v>1975</v>
      </c>
      <c r="BU1291" t="s">
        <v>681</v>
      </c>
      <c r="BV1291" t="s">
        <v>1153</v>
      </c>
    </row>
    <row r="1292" spans="68:74" x14ac:dyDescent="0.25">
      <c r="BP1292">
        <v>12895</v>
      </c>
      <c r="BQ1292">
        <v>3080393326</v>
      </c>
      <c r="BR1292" s="15" t="s">
        <v>242</v>
      </c>
      <c r="BS1292" t="s">
        <v>233</v>
      </c>
      <c r="BT1292" t="s">
        <v>1976</v>
      </c>
      <c r="BU1292" t="s">
        <v>682</v>
      </c>
      <c r="BV1292" t="s">
        <v>1153</v>
      </c>
    </row>
    <row r="1293" spans="68:74" x14ac:dyDescent="0.25">
      <c r="BP1293">
        <v>12897</v>
      </c>
      <c r="BQ1293">
        <v>3080393326</v>
      </c>
      <c r="BR1293" s="15" t="s">
        <v>242</v>
      </c>
      <c r="BS1293" t="s">
        <v>233</v>
      </c>
      <c r="BT1293" t="s">
        <v>1976</v>
      </c>
      <c r="BU1293" t="s">
        <v>682</v>
      </c>
      <c r="BV1293" t="s">
        <v>1149</v>
      </c>
    </row>
    <row r="1294" spans="68:74" x14ac:dyDescent="0.25">
      <c r="BQ1294">
        <v>30800102</v>
      </c>
      <c r="BR1294" s="15" t="s">
        <v>242</v>
      </c>
      <c r="BS1294" t="s">
        <v>233</v>
      </c>
      <c r="BT1294" t="s">
        <v>1977</v>
      </c>
      <c r="BU1294" t="s">
        <v>681</v>
      </c>
      <c r="BV1294" t="s">
        <v>680</v>
      </c>
    </row>
    <row r="1295" spans="68:74" x14ac:dyDescent="0.25">
      <c r="BQ1295">
        <v>30800103</v>
      </c>
      <c r="BR1295" s="15" t="s">
        <v>242</v>
      </c>
      <c r="BS1295" t="s">
        <v>233</v>
      </c>
      <c r="BT1295" t="s">
        <v>1977</v>
      </c>
      <c r="BU1295" t="s">
        <v>682</v>
      </c>
      <c r="BV1295" t="s">
        <v>680</v>
      </c>
    </row>
    <row r="1296" spans="68:74" x14ac:dyDescent="0.25">
      <c r="BQ1296">
        <v>30800112</v>
      </c>
      <c r="BR1296" s="15" t="s">
        <v>242</v>
      </c>
      <c r="BS1296" t="s">
        <v>233</v>
      </c>
      <c r="BT1296" t="s">
        <v>1978</v>
      </c>
      <c r="BU1296" t="s">
        <v>681</v>
      </c>
      <c r="BV1296" t="s">
        <v>680</v>
      </c>
    </row>
    <row r="1297" spans="69:74" x14ac:dyDescent="0.25">
      <c r="BQ1297">
        <v>30800113</v>
      </c>
      <c r="BR1297" s="15" t="s">
        <v>242</v>
      </c>
      <c r="BS1297" t="s">
        <v>233</v>
      </c>
      <c r="BT1297" t="s">
        <v>1978</v>
      </c>
      <c r="BU1297" t="s">
        <v>682</v>
      </c>
      <c r="BV1297" t="s">
        <v>680</v>
      </c>
    </row>
    <row r="1298" spans="69:74" x14ac:dyDescent="0.25">
      <c r="BQ1298">
        <v>30800122</v>
      </c>
      <c r="BR1298" s="15" t="s">
        <v>242</v>
      </c>
      <c r="BS1298" t="s">
        <v>233</v>
      </c>
      <c r="BT1298" t="s">
        <v>1979</v>
      </c>
      <c r="BU1298" t="s">
        <v>681</v>
      </c>
      <c r="BV1298" t="s">
        <v>680</v>
      </c>
    </row>
    <row r="1299" spans="69:74" x14ac:dyDescent="0.25">
      <c r="BQ1299">
        <v>30800123</v>
      </c>
      <c r="BR1299" s="15" t="s">
        <v>242</v>
      </c>
      <c r="BS1299" t="s">
        <v>233</v>
      </c>
      <c r="BT1299" t="s">
        <v>1979</v>
      </c>
      <c r="BU1299" t="s">
        <v>682</v>
      </c>
      <c r="BV1299" t="s">
        <v>680</v>
      </c>
    </row>
    <row r="1300" spans="69:74" x14ac:dyDescent="0.25">
      <c r="BQ1300">
        <v>30800132</v>
      </c>
      <c r="BR1300" s="15" t="s">
        <v>242</v>
      </c>
      <c r="BS1300" t="s">
        <v>233</v>
      </c>
      <c r="BT1300" t="s">
        <v>1980</v>
      </c>
      <c r="BU1300" t="s">
        <v>681</v>
      </c>
      <c r="BV1300" t="s">
        <v>680</v>
      </c>
    </row>
    <row r="1301" spans="69:74" x14ac:dyDescent="0.25">
      <c r="BQ1301">
        <v>30800133</v>
      </c>
      <c r="BR1301" s="15" t="s">
        <v>242</v>
      </c>
      <c r="BS1301" t="s">
        <v>233</v>
      </c>
      <c r="BT1301" t="s">
        <v>1980</v>
      </c>
      <c r="BU1301" t="s">
        <v>682</v>
      </c>
      <c r="BV1301" t="s">
        <v>680</v>
      </c>
    </row>
    <row r="1302" spans="69:74" x14ac:dyDescent="0.25">
      <c r="BQ1302">
        <v>30800602</v>
      </c>
      <c r="BR1302" s="15" t="s">
        <v>242</v>
      </c>
      <c r="BS1302" t="s">
        <v>233</v>
      </c>
      <c r="BT1302" t="s">
        <v>1981</v>
      </c>
      <c r="BU1302" t="s">
        <v>681</v>
      </c>
      <c r="BV1302" t="s">
        <v>680</v>
      </c>
    </row>
    <row r="1303" spans="69:74" x14ac:dyDescent="0.25">
      <c r="BQ1303">
        <v>30800603</v>
      </c>
      <c r="BR1303" s="15" t="s">
        <v>242</v>
      </c>
      <c r="BS1303" t="s">
        <v>233</v>
      </c>
      <c r="BT1303" t="s">
        <v>1981</v>
      </c>
      <c r="BU1303" t="s">
        <v>682</v>
      </c>
      <c r="BV1303" t="s">
        <v>680</v>
      </c>
    </row>
    <row r="1304" spans="69:74" x14ac:dyDescent="0.25">
      <c r="BQ1304">
        <v>30800142</v>
      </c>
      <c r="BR1304" s="15" t="s">
        <v>242</v>
      </c>
      <c r="BS1304" t="s">
        <v>233</v>
      </c>
      <c r="BT1304" t="s">
        <v>1982</v>
      </c>
      <c r="BU1304" t="s">
        <v>681</v>
      </c>
      <c r="BV1304" t="s">
        <v>680</v>
      </c>
    </row>
    <row r="1305" spans="69:74" x14ac:dyDescent="0.25">
      <c r="BQ1305">
        <v>30800143</v>
      </c>
      <c r="BR1305" s="15" t="s">
        <v>242</v>
      </c>
      <c r="BS1305" t="s">
        <v>233</v>
      </c>
      <c r="BT1305" t="s">
        <v>1982</v>
      </c>
      <c r="BU1305" t="s">
        <v>682</v>
      </c>
      <c r="BV1305" t="s">
        <v>680</v>
      </c>
    </row>
    <row r="1306" spans="69:74" x14ac:dyDescent="0.25">
      <c r="BQ1306">
        <v>30800152</v>
      </c>
      <c r="BR1306" s="15" t="s">
        <v>242</v>
      </c>
      <c r="BS1306" t="s">
        <v>233</v>
      </c>
      <c r="BT1306" t="s">
        <v>1983</v>
      </c>
      <c r="BU1306" t="s">
        <v>681</v>
      </c>
      <c r="BV1306" t="s">
        <v>680</v>
      </c>
    </row>
    <row r="1307" spans="69:74" x14ac:dyDescent="0.25">
      <c r="BQ1307">
        <v>30800153</v>
      </c>
      <c r="BR1307" s="15" t="s">
        <v>242</v>
      </c>
      <c r="BS1307" t="s">
        <v>233</v>
      </c>
      <c r="BT1307" t="s">
        <v>1983</v>
      </c>
      <c r="BU1307" t="s">
        <v>682</v>
      </c>
      <c r="BV1307" t="s">
        <v>680</v>
      </c>
    </row>
    <row r="1308" spans="69:74" x14ac:dyDescent="0.25">
      <c r="BQ1308">
        <v>30800582</v>
      </c>
      <c r="BR1308" s="15" t="s">
        <v>242</v>
      </c>
      <c r="BS1308" t="s">
        <v>233</v>
      </c>
      <c r="BT1308" t="s">
        <v>1984</v>
      </c>
      <c r="BU1308" t="s">
        <v>681</v>
      </c>
      <c r="BV1308" t="s">
        <v>680</v>
      </c>
    </row>
    <row r="1309" spans="69:74" x14ac:dyDescent="0.25">
      <c r="BQ1309">
        <v>30800593</v>
      </c>
      <c r="BR1309" s="15" t="s">
        <v>242</v>
      </c>
      <c r="BS1309" t="s">
        <v>233</v>
      </c>
      <c r="BT1309" t="s">
        <v>1985</v>
      </c>
      <c r="BU1309" t="s">
        <v>682</v>
      </c>
      <c r="BV1309" t="s">
        <v>680</v>
      </c>
    </row>
    <row r="1310" spans="69:74" x14ac:dyDescent="0.25">
      <c r="BQ1310">
        <v>30800162</v>
      </c>
      <c r="BR1310" s="15" t="s">
        <v>242</v>
      </c>
      <c r="BS1310" t="s">
        <v>233</v>
      </c>
      <c r="BT1310" t="s">
        <v>1986</v>
      </c>
      <c r="BU1310" t="s">
        <v>681</v>
      </c>
      <c r="BV1310" t="s">
        <v>680</v>
      </c>
    </row>
    <row r="1311" spans="69:74" x14ac:dyDescent="0.25">
      <c r="BQ1311">
        <v>30800163</v>
      </c>
      <c r="BR1311" s="15" t="s">
        <v>242</v>
      </c>
      <c r="BS1311" t="s">
        <v>233</v>
      </c>
      <c r="BT1311" t="s">
        <v>1986</v>
      </c>
      <c r="BU1311" t="s">
        <v>682</v>
      </c>
      <c r="BV1311" t="s">
        <v>680</v>
      </c>
    </row>
    <row r="1312" spans="69:74" x14ac:dyDescent="0.25">
      <c r="BQ1312">
        <v>30800172</v>
      </c>
      <c r="BR1312" s="15" t="s">
        <v>242</v>
      </c>
      <c r="BS1312" t="s">
        <v>233</v>
      </c>
      <c r="BT1312" t="s">
        <v>1987</v>
      </c>
      <c r="BU1312" t="s">
        <v>681</v>
      </c>
      <c r="BV1312" t="s">
        <v>680</v>
      </c>
    </row>
    <row r="1313" spans="68:74" x14ac:dyDescent="0.25">
      <c r="BQ1313">
        <v>30800173</v>
      </c>
      <c r="BR1313" s="15" t="s">
        <v>242</v>
      </c>
      <c r="BS1313" t="s">
        <v>233</v>
      </c>
      <c r="BT1313" t="s">
        <v>1987</v>
      </c>
      <c r="BU1313" t="s">
        <v>682</v>
      </c>
      <c r="BV1313" t="s">
        <v>680</v>
      </c>
    </row>
    <row r="1314" spans="68:74" x14ac:dyDescent="0.25">
      <c r="BQ1314">
        <v>30800183</v>
      </c>
      <c r="BR1314" s="15" t="s">
        <v>242</v>
      </c>
      <c r="BS1314" t="s">
        <v>233</v>
      </c>
      <c r="BT1314" t="s">
        <v>1988</v>
      </c>
      <c r="BU1314" t="s">
        <v>682</v>
      </c>
      <c r="BV1314" t="s">
        <v>680</v>
      </c>
    </row>
    <row r="1315" spans="68:74" x14ac:dyDescent="0.25">
      <c r="BQ1315">
        <v>30800192</v>
      </c>
      <c r="BR1315" s="15" t="s">
        <v>242</v>
      </c>
      <c r="BS1315" t="s">
        <v>233</v>
      </c>
      <c r="BT1315" t="s">
        <v>1989</v>
      </c>
      <c r="BU1315" t="s">
        <v>681</v>
      </c>
      <c r="BV1315" t="s">
        <v>680</v>
      </c>
    </row>
    <row r="1316" spans="68:74" x14ac:dyDescent="0.25">
      <c r="BQ1316">
        <v>30800193</v>
      </c>
      <c r="BR1316" s="15" t="s">
        <v>242</v>
      </c>
      <c r="BS1316" t="s">
        <v>233</v>
      </c>
      <c r="BT1316" t="s">
        <v>1989</v>
      </c>
      <c r="BU1316" t="s">
        <v>682</v>
      </c>
      <c r="BV1316" t="s">
        <v>680</v>
      </c>
    </row>
    <row r="1317" spans="68:74" x14ac:dyDescent="0.25">
      <c r="BQ1317">
        <v>30800202</v>
      </c>
      <c r="BR1317" s="15" t="s">
        <v>242</v>
      </c>
      <c r="BS1317" t="s">
        <v>233</v>
      </c>
      <c r="BT1317" t="s">
        <v>1990</v>
      </c>
      <c r="BU1317" t="s">
        <v>681</v>
      </c>
      <c r="BV1317" t="s">
        <v>680</v>
      </c>
    </row>
    <row r="1318" spans="68:74" x14ac:dyDescent="0.25">
      <c r="BQ1318">
        <v>30800203</v>
      </c>
      <c r="BR1318" s="15" t="s">
        <v>242</v>
      </c>
      <c r="BS1318" t="s">
        <v>233</v>
      </c>
      <c r="BT1318" t="s">
        <v>1990</v>
      </c>
      <c r="BU1318" t="s">
        <v>682</v>
      </c>
      <c r="BV1318" t="s">
        <v>680</v>
      </c>
    </row>
    <row r="1319" spans="68:74" x14ac:dyDescent="0.25">
      <c r="BP1319">
        <v>12826</v>
      </c>
      <c r="BQ1319">
        <v>3080008308</v>
      </c>
      <c r="BR1319" s="15" t="s">
        <v>242</v>
      </c>
      <c r="BS1319" t="s">
        <v>233</v>
      </c>
      <c r="BT1319" t="s">
        <v>1991</v>
      </c>
      <c r="BU1319" t="s">
        <v>682</v>
      </c>
      <c r="BV1319" t="s">
        <v>1153</v>
      </c>
    </row>
    <row r="1320" spans="68:74" x14ac:dyDescent="0.25">
      <c r="BP1320">
        <v>12827</v>
      </c>
      <c r="BQ1320">
        <v>3080008309</v>
      </c>
      <c r="BR1320" s="15" t="s">
        <v>242</v>
      </c>
      <c r="BS1320" t="s">
        <v>233</v>
      </c>
      <c r="BT1320" t="s">
        <v>1991</v>
      </c>
      <c r="BU1320" t="s">
        <v>682</v>
      </c>
      <c r="BV1320" t="s">
        <v>1153</v>
      </c>
    </row>
    <row r="1321" spans="68:74" x14ac:dyDescent="0.25">
      <c r="BQ1321">
        <v>30800212</v>
      </c>
      <c r="BR1321" s="15" t="s">
        <v>242</v>
      </c>
      <c r="BS1321" t="s">
        <v>233</v>
      </c>
      <c r="BT1321" t="s">
        <v>1992</v>
      </c>
      <c r="BU1321" t="s">
        <v>681</v>
      </c>
      <c r="BV1321" t="s">
        <v>680</v>
      </c>
    </row>
    <row r="1322" spans="68:74" x14ac:dyDescent="0.25">
      <c r="BQ1322">
        <v>30800213</v>
      </c>
      <c r="BR1322" s="15" t="s">
        <v>242</v>
      </c>
      <c r="BS1322" t="s">
        <v>233</v>
      </c>
      <c r="BT1322" t="s">
        <v>1992</v>
      </c>
      <c r="BU1322" t="s">
        <v>682</v>
      </c>
      <c r="BV1322" t="s">
        <v>680</v>
      </c>
    </row>
    <row r="1323" spans="68:74" x14ac:dyDescent="0.25">
      <c r="BQ1323">
        <v>30800222</v>
      </c>
      <c r="BR1323" s="15" t="s">
        <v>242</v>
      </c>
      <c r="BS1323" t="s">
        <v>233</v>
      </c>
      <c r="BT1323" t="s">
        <v>1993</v>
      </c>
      <c r="BU1323" t="s">
        <v>681</v>
      </c>
      <c r="BV1323" t="s">
        <v>680</v>
      </c>
    </row>
    <row r="1324" spans="68:74" x14ac:dyDescent="0.25">
      <c r="BQ1324">
        <v>30800223</v>
      </c>
      <c r="BR1324" s="15" t="s">
        <v>242</v>
      </c>
      <c r="BS1324" t="s">
        <v>233</v>
      </c>
      <c r="BT1324" t="s">
        <v>1993</v>
      </c>
      <c r="BU1324" t="s">
        <v>682</v>
      </c>
      <c r="BV1324" t="s">
        <v>680</v>
      </c>
    </row>
    <row r="1325" spans="68:74" x14ac:dyDescent="0.25">
      <c r="BQ1325">
        <v>3080008303</v>
      </c>
      <c r="BR1325" s="15" t="s">
        <v>242</v>
      </c>
      <c r="BS1325" t="s">
        <v>233</v>
      </c>
      <c r="BT1325" t="s">
        <v>1994</v>
      </c>
      <c r="BU1325" t="s">
        <v>682</v>
      </c>
      <c r="BV1325" t="s">
        <v>1153</v>
      </c>
    </row>
    <row r="1326" spans="68:74" x14ac:dyDescent="0.25">
      <c r="BQ1326">
        <v>3080008310</v>
      </c>
      <c r="BR1326" s="15" t="s">
        <v>242</v>
      </c>
      <c r="BS1326" t="s">
        <v>233</v>
      </c>
      <c r="BT1326" t="s">
        <v>1994</v>
      </c>
      <c r="BU1326" t="s">
        <v>682</v>
      </c>
      <c r="BV1326" t="s">
        <v>1153</v>
      </c>
    </row>
    <row r="1327" spans="68:74" x14ac:dyDescent="0.25">
      <c r="BQ1327">
        <v>30800772</v>
      </c>
      <c r="BR1327" s="15" t="s">
        <v>242</v>
      </c>
      <c r="BS1327" t="s">
        <v>233</v>
      </c>
      <c r="BT1327" t="s">
        <v>1995</v>
      </c>
      <c r="BU1327" t="s">
        <v>681</v>
      </c>
      <c r="BV1327" t="s">
        <v>680</v>
      </c>
    </row>
    <row r="1328" spans="68:74" x14ac:dyDescent="0.25">
      <c r="BQ1328">
        <v>30800762</v>
      </c>
      <c r="BR1328" s="15" t="s">
        <v>242</v>
      </c>
      <c r="BS1328" t="s">
        <v>233</v>
      </c>
      <c r="BT1328" t="s">
        <v>1996</v>
      </c>
      <c r="BU1328" t="s">
        <v>681</v>
      </c>
      <c r="BV1328" t="s">
        <v>680</v>
      </c>
    </row>
    <row r="1329" spans="68:74" x14ac:dyDescent="0.25">
      <c r="BQ1329">
        <v>30800613</v>
      </c>
      <c r="BR1329" s="15" t="s">
        <v>242</v>
      </c>
      <c r="BS1329" t="s">
        <v>233</v>
      </c>
      <c r="BT1329" t="s">
        <v>1997</v>
      </c>
      <c r="BU1329" t="s">
        <v>682</v>
      </c>
      <c r="BV1329" t="s">
        <v>680</v>
      </c>
    </row>
    <row r="1330" spans="68:74" x14ac:dyDescent="0.25">
      <c r="BQ1330">
        <v>30800453</v>
      </c>
      <c r="BR1330" s="15" t="s">
        <v>242</v>
      </c>
      <c r="BS1330" t="s">
        <v>233</v>
      </c>
      <c r="BT1330" t="s">
        <v>1998</v>
      </c>
      <c r="BU1330" t="s">
        <v>682</v>
      </c>
      <c r="BV1330" t="s">
        <v>680</v>
      </c>
    </row>
    <row r="1331" spans="68:74" x14ac:dyDescent="0.25">
      <c r="BQ1331">
        <v>30800463</v>
      </c>
      <c r="BR1331" s="15" t="s">
        <v>242</v>
      </c>
      <c r="BS1331" t="s">
        <v>233</v>
      </c>
      <c r="BT1331" t="s">
        <v>1999</v>
      </c>
      <c r="BU1331" t="s">
        <v>682</v>
      </c>
      <c r="BV1331" t="s">
        <v>680</v>
      </c>
    </row>
    <row r="1332" spans="68:74" x14ac:dyDescent="0.25">
      <c r="BQ1332">
        <v>30800743</v>
      </c>
      <c r="BR1332" s="15" t="s">
        <v>242</v>
      </c>
      <c r="BS1332" t="s">
        <v>233</v>
      </c>
      <c r="BT1332" t="s">
        <v>2000</v>
      </c>
      <c r="BU1332" t="s">
        <v>682</v>
      </c>
      <c r="BV1332" t="s">
        <v>680</v>
      </c>
    </row>
    <row r="1333" spans="68:74" x14ac:dyDescent="0.25">
      <c r="BQ1333">
        <v>30800473</v>
      </c>
      <c r="BR1333" s="15" t="s">
        <v>242</v>
      </c>
      <c r="BS1333" t="s">
        <v>233</v>
      </c>
      <c r="BT1333" t="s">
        <v>2001</v>
      </c>
      <c r="BU1333" t="s">
        <v>682</v>
      </c>
      <c r="BV1333" t="s">
        <v>680</v>
      </c>
    </row>
    <row r="1334" spans="68:74" x14ac:dyDescent="0.25">
      <c r="BQ1334">
        <v>30800693</v>
      </c>
      <c r="BR1334" s="15" t="s">
        <v>242</v>
      </c>
      <c r="BS1334" t="s">
        <v>233</v>
      </c>
      <c r="BT1334" t="s">
        <v>2002</v>
      </c>
      <c r="BU1334" t="s">
        <v>682</v>
      </c>
      <c r="BV1334" t="s">
        <v>680</v>
      </c>
    </row>
    <row r="1335" spans="68:74" x14ac:dyDescent="0.25">
      <c r="BQ1335">
        <v>30800783</v>
      </c>
      <c r="BR1335" s="15" t="s">
        <v>242</v>
      </c>
      <c r="BS1335" t="s">
        <v>233</v>
      </c>
      <c r="BT1335" t="s">
        <v>2003</v>
      </c>
      <c r="BU1335" t="s">
        <v>682</v>
      </c>
      <c r="BV1335" t="s">
        <v>680</v>
      </c>
    </row>
    <row r="1336" spans="68:74" x14ac:dyDescent="0.25">
      <c r="BQ1336">
        <v>30800633</v>
      </c>
      <c r="BR1336" s="15" t="s">
        <v>242</v>
      </c>
      <c r="BS1336" t="s">
        <v>233</v>
      </c>
      <c r="BT1336" t="s">
        <v>2004</v>
      </c>
      <c r="BU1336" t="s">
        <v>682</v>
      </c>
      <c r="BV1336" t="s">
        <v>680</v>
      </c>
    </row>
    <row r="1337" spans="68:74" x14ac:dyDescent="0.25">
      <c r="BQ1337">
        <v>30800733</v>
      </c>
      <c r="BR1337" s="15" t="s">
        <v>242</v>
      </c>
      <c r="BS1337" t="s">
        <v>233</v>
      </c>
      <c r="BT1337" t="s">
        <v>2005</v>
      </c>
      <c r="BU1337" t="s">
        <v>682</v>
      </c>
      <c r="BV1337" t="s">
        <v>680</v>
      </c>
    </row>
    <row r="1338" spans="68:74" x14ac:dyDescent="0.25">
      <c r="BP1338">
        <v>12868</v>
      </c>
      <c r="BQ1338">
        <v>3080393307</v>
      </c>
      <c r="BR1338" s="15" t="s">
        <v>242</v>
      </c>
      <c r="BS1338" t="s">
        <v>233</v>
      </c>
      <c r="BT1338" t="s">
        <v>2006</v>
      </c>
      <c r="BU1338" t="s">
        <v>682</v>
      </c>
      <c r="BV1338" t="s">
        <v>1153</v>
      </c>
    </row>
    <row r="1339" spans="68:74" x14ac:dyDescent="0.25">
      <c r="BP1339">
        <v>12851</v>
      </c>
      <c r="BQ1339">
        <v>3080008337</v>
      </c>
      <c r="BR1339" s="15" t="s">
        <v>242</v>
      </c>
      <c r="BS1339" t="s">
        <v>233</v>
      </c>
      <c r="BT1339" t="s">
        <v>2007</v>
      </c>
      <c r="BU1339" t="s">
        <v>682</v>
      </c>
      <c r="BV1339" t="s">
        <v>1153</v>
      </c>
    </row>
    <row r="1340" spans="68:74" x14ac:dyDescent="0.25">
      <c r="BQ1340">
        <v>3080393308</v>
      </c>
      <c r="BR1340" s="15" t="s">
        <v>242</v>
      </c>
      <c r="BS1340" t="s">
        <v>233</v>
      </c>
      <c r="BT1340" t="s">
        <v>2008</v>
      </c>
      <c r="BU1340" t="s">
        <v>682</v>
      </c>
      <c r="BV1340" t="s">
        <v>1153</v>
      </c>
    </row>
    <row r="1341" spans="68:74" x14ac:dyDescent="0.25">
      <c r="BP1341">
        <v>12852</v>
      </c>
      <c r="BQ1341">
        <v>3080008338</v>
      </c>
      <c r="BR1341" s="15" t="s">
        <v>242</v>
      </c>
      <c r="BS1341" t="s">
        <v>233</v>
      </c>
      <c r="BT1341" t="s">
        <v>2009</v>
      </c>
      <c r="BU1341" t="s">
        <v>682</v>
      </c>
      <c r="BV1341" t="s">
        <v>1153</v>
      </c>
    </row>
    <row r="1342" spans="68:74" x14ac:dyDescent="0.25">
      <c r="BQ1342">
        <v>30800242</v>
      </c>
      <c r="BR1342" s="15" t="s">
        <v>242</v>
      </c>
      <c r="BS1342" t="s">
        <v>233</v>
      </c>
      <c r="BT1342" t="s">
        <v>2010</v>
      </c>
      <c r="BU1342" t="s">
        <v>681</v>
      </c>
      <c r="BV1342" t="s">
        <v>680</v>
      </c>
    </row>
    <row r="1343" spans="68:74" x14ac:dyDescent="0.25">
      <c r="BQ1343">
        <v>30800243</v>
      </c>
      <c r="BR1343" s="15" t="s">
        <v>242</v>
      </c>
      <c r="BS1343" t="s">
        <v>233</v>
      </c>
      <c r="BT1343" t="s">
        <v>2010</v>
      </c>
      <c r="BU1343" t="s">
        <v>682</v>
      </c>
      <c r="BV1343" t="s">
        <v>680</v>
      </c>
    </row>
    <row r="1344" spans="68:74" x14ac:dyDescent="0.25">
      <c r="BP1344">
        <v>12823</v>
      </c>
      <c r="BQ1344">
        <v>3080008304</v>
      </c>
      <c r="BR1344" s="15" t="s">
        <v>242</v>
      </c>
      <c r="BS1344" t="s">
        <v>233</v>
      </c>
      <c r="BT1344" t="s">
        <v>2010</v>
      </c>
      <c r="BU1344" t="s">
        <v>682</v>
      </c>
      <c r="BV1344" t="s">
        <v>1153</v>
      </c>
    </row>
    <row r="1345" spans="68:74" x14ac:dyDescent="0.25">
      <c r="BP1345">
        <v>12828</v>
      </c>
      <c r="BQ1345">
        <v>3080008311</v>
      </c>
      <c r="BR1345" s="15" t="s">
        <v>242</v>
      </c>
      <c r="BS1345" t="s">
        <v>233</v>
      </c>
      <c r="BT1345" t="s">
        <v>2010</v>
      </c>
      <c r="BU1345" t="s">
        <v>682</v>
      </c>
      <c r="BV1345" t="s">
        <v>1153</v>
      </c>
    </row>
    <row r="1346" spans="68:74" x14ac:dyDescent="0.25">
      <c r="BQ1346">
        <v>30800252</v>
      </c>
      <c r="BR1346" s="15" t="s">
        <v>242</v>
      </c>
      <c r="BS1346" t="s">
        <v>233</v>
      </c>
      <c r="BT1346" t="s">
        <v>2011</v>
      </c>
      <c r="BU1346" t="s">
        <v>681</v>
      </c>
      <c r="BV1346" t="s">
        <v>680</v>
      </c>
    </row>
    <row r="1347" spans="68:74" x14ac:dyDescent="0.25">
      <c r="BQ1347">
        <v>30800253</v>
      </c>
      <c r="BR1347" s="15" t="s">
        <v>242</v>
      </c>
      <c r="BS1347" t="s">
        <v>233</v>
      </c>
      <c r="BT1347" t="s">
        <v>2011</v>
      </c>
      <c r="BU1347" t="s">
        <v>682</v>
      </c>
      <c r="BV1347" t="s">
        <v>680</v>
      </c>
    </row>
    <row r="1348" spans="68:74" x14ac:dyDescent="0.25">
      <c r="BQ1348">
        <v>30800673</v>
      </c>
      <c r="BR1348" s="15" t="s">
        <v>242</v>
      </c>
      <c r="BS1348" t="s">
        <v>233</v>
      </c>
      <c r="BT1348" t="s">
        <v>2012</v>
      </c>
      <c r="BU1348" t="s">
        <v>682</v>
      </c>
      <c r="BV1348" t="s">
        <v>680</v>
      </c>
    </row>
    <row r="1349" spans="68:74" x14ac:dyDescent="0.25">
      <c r="BQ1349">
        <v>30800643</v>
      </c>
      <c r="BR1349" s="15" t="s">
        <v>242</v>
      </c>
      <c r="BS1349" t="s">
        <v>233</v>
      </c>
      <c r="BT1349" t="s">
        <v>2013</v>
      </c>
      <c r="BU1349" t="s">
        <v>682</v>
      </c>
      <c r="BV1349" t="s">
        <v>680</v>
      </c>
    </row>
    <row r="1350" spans="68:74" x14ac:dyDescent="0.25">
      <c r="BQ1350">
        <v>30800483</v>
      </c>
      <c r="BR1350" s="15" t="s">
        <v>242</v>
      </c>
      <c r="BS1350" t="s">
        <v>233</v>
      </c>
      <c r="BT1350" t="s">
        <v>2014</v>
      </c>
      <c r="BU1350" t="s">
        <v>682</v>
      </c>
      <c r="BV1350" t="s">
        <v>680</v>
      </c>
    </row>
    <row r="1351" spans="68:74" x14ac:dyDescent="0.25">
      <c r="BQ1351">
        <v>30800653</v>
      </c>
      <c r="BR1351" s="15" t="s">
        <v>242</v>
      </c>
      <c r="BS1351" t="s">
        <v>233</v>
      </c>
      <c r="BT1351" t="s">
        <v>2015</v>
      </c>
      <c r="BU1351" t="s">
        <v>682</v>
      </c>
      <c r="BV1351" t="s">
        <v>680</v>
      </c>
    </row>
    <row r="1352" spans="68:74" x14ac:dyDescent="0.25">
      <c r="BQ1352">
        <v>30800713</v>
      </c>
      <c r="BR1352" s="15" t="s">
        <v>242</v>
      </c>
      <c r="BS1352" t="s">
        <v>233</v>
      </c>
      <c r="BT1352" t="s">
        <v>2016</v>
      </c>
      <c r="BU1352" t="s">
        <v>682</v>
      </c>
      <c r="BV1352" t="s">
        <v>680</v>
      </c>
    </row>
    <row r="1353" spans="68:74" x14ac:dyDescent="0.25">
      <c r="BQ1353">
        <v>30800493</v>
      </c>
      <c r="BR1353" s="15" t="s">
        <v>242</v>
      </c>
      <c r="BS1353" t="s">
        <v>233</v>
      </c>
      <c r="BT1353" t="s">
        <v>2017</v>
      </c>
      <c r="BU1353" t="s">
        <v>682</v>
      </c>
      <c r="BV1353" t="s">
        <v>680</v>
      </c>
    </row>
    <row r="1354" spans="68:74" x14ac:dyDescent="0.25">
      <c r="BP1354">
        <v>456845</v>
      </c>
      <c r="BQ1354">
        <v>30806143</v>
      </c>
      <c r="BR1354" s="15" t="s">
        <v>242</v>
      </c>
      <c r="BS1354" t="s">
        <v>233</v>
      </c>
      <c r="BT1354" t="s">
        <v>6160</v>
      </c>
      <c r="BU1354" t="s">
        <v>682</v>
      </c>
      <c r="BV1354" t="s">
        <v>1153</v>
      </c>
    </row>
    <row r="1355" spans="68:74" x14ac:dyDescent="0.25">
      <c r="BQ1355">
        <v>30800262</v>
      </c>
      <c r="BR1355" s="15" t="s">
        <v>242</v>
      </c>
      <c r="BS1355" t="s">
        <v>233</v>
      </c>
      <c r="BT1355" t="s">
        <v>2018</v>
      </c>
      <c r="BU1355" t="s">
        <v>681</v>
      </c>
      <c r="BV1355" t="s">
        <v>680</v>
      </c>
    </row>
    <row r="1356" spans="68:74" x14ac:dyDescent="0.25">
      <c r="BQ1356">
        <v>30800263</v>
      </c>
      <c r="BR1356" s="15" t="s">
        <v>242</v>
      </c>
      <c r="BS1356" t="s">
        <v>233</v>
      </c>
      <c r="BT1356" t="s">
        <v>2018</v>
      </c>
      <c r="BU1356" t="s">
        <v>682</v>
      </c>
      <c r="BV1356" t="s">
        <v>680</v>
      </c>
    </row>
    <row r="1357" spans="68:74" x14ac:dyDescent="0.25">
      <c r="BQ1357">
        <v>30800703</v>
      </c>
      <c r="BR1357" s="15" t="s">
        <v>242</v>
      </c>
      <c r="BS1357" t="s">
        <v>233</v>
      </c>
      <c r="BT1357" t="s">
        <v>2019</v>
      </c>
      <c r="BU1357" t="s">
        <v>682</v>
      </c>
      <c r="BV1357" t="s">
        <v>680</v>
      </c>
    </row>
    <row r="1358" spans="68:74" x14ac:dyDescent="0.25">
      <c r="BQ1358">
        <v>30800353</v>
      </c>
      <c r="BR1358" s="15" t="s">
        <v>242</v>
      </c>
      <c r="BS1358" t="s">
        <v>233</v>
      </c>
      <c r="BT1358" t="s">
        <v>2020</v>
      </c>
      <c r="BU1358" t="s">
        <v>682</v>
      </c>
      <c r="BV1358" t="s">
        <v>680</v>
      </c>
    </row>
    <row r="1359" spans="68:74" x14ac:dyDescent="0.25">
      <c r="BQ1359">
        <v>30800503</v>
      </c>
      <c r="BR1359" s="15" t="s">
        <v>242</v>
      </c>
      <c r="BS1359" t="s">
        <v>233</v>
      </c>
      <c r="BT1359" t="s">
        <v>2021</v>
      </c>
      <c r="BU1359" t="s">
        <v>682</v>
      </c>
      <c r="BV1359" t="s">
        <v>680</v>
      </c>
    </row>
    <row r="1360" spans="68:74" x14ac:dyDescent="0.25">
      <c r="BP1360">
        <v>12901</v>
      </c>
      <c r="BQ1360">
        <v>3080393328</v>
      </c>
      <c r="BR1360" s="15" t="s">
        <v>242</v>
      </c>
      <c r="BS1360" t="s">
        <v>233</v>
      </c>
      <c r="BT1360" t="s">
        <v>2022</v>
      </c>
      <c r="BU1360" t="s">
        <v>682</v>
      </c>
      <c r="BV1360" t="s">
        <v>1149</v>
      </c>
    </row>
    <row r="1361" spans="68:74" x14ac:dyDescent="0.25">
      <c r="BP1361">
        <v>282737</v>
      </c>
      <c r="BQ1361">
        <v>30807503</v>
      </c>
      <c r="BR1361" s="15" t="s">
        <v>242</v>
      </c>
      <c r="BS1361" t="s">
        <v>233</v>
      </c>
      <c r="BT1361" t="s">
        <v>2023</v>
      </c>
      <c r="BU1361" t="s">
        <v>682</v>
      </c>
      <c r="BV1361" t="s">
        <v>1149</v>
      </c>
    </row>
    <row r="1362" spans="68:74" x14ac:dyDescent="0.25">
      <c r="BP1362">
        <v>12856</v>
      </c>
      <c r="BQ1362">
        <v>3080008342</v>
      </c>
      <c r="BR1362" s="15" t="s">
        <v>242</v>
      </c>
      <c r="BS1362" t="s">
        <v>233</v>
      </c>
      <c r="BT1362" t="s">
        <v>2024</v>
      </c>
      <c r="BU1362" t="s">
        <v>682</v>
      </c>
      <c r="BV1362" t="s">
        <v>1153</v>
      </c>
    </row>
    <row r="1363" spans="68:74" x14ac:dyDescent="0.25">
      <c r="BP1363">
        <v>12854</v>
      </c>
      <c r="BQ1363">
        <v>3080008340</v>
      </c>
      <c r="BR1363" s="15" t="s">
        <v>242</v>
      </c>
      <c r="BS1363" t="s">
        <v>233</v>
      </c>
      <c r="BT1363" t="s">
        <v>2025</v>
      </c>
      <c r="BU1363" t="s">
        <v>682</v>
      </c>
      <c r="BV1363" t="s">
        <v>1153</v>
      </c>
    </row>
    <row r="1364" spans="68:74" x14ac:dyDescent="0.25">
      <c r="BP1364">
        <v>12855</v>
      </c>
      <c r="BQ1364">
        <v>3080008341</v>
      </c>
      <c r="BR1364" s="15" t="s">
        <v>242</v>
      </c>
      <c r="BS1364" t="s">
        <v>233</v>
      </c>
      <c r="BT1364" t="s">
        <v>2026</v>
      </c>
      <c r="BU1364" t="s">
        <v>682</v>
      </c>
      <c r="BV1364" t="s">
        <v>1153</v>
      </c>
    </row>
    <row r="1365" spans="68:74" x14ac:dyDescent="0.25">
      <c r="BP1365">
        <v>12886</v>
      </c>
      <c r="BQ1365">
        <v>3080393321</v>
      </c>
      <c r="BR1365" s="15" t="s">
        <v>242</v>
      </c>
      <c r="BS1365" t="s">
        <v>233</v>
      </c>
      <c r="BT1365" t="s">
        <v>2027</v>
      </c>
      <c r="BU1365" t="s">
        <v>682</v>
      </c>
      <c r="BV1365" t="s">
        <v>1153</v>
      </c>
    </row>
    <row r="1366" spans="68:74" x14ac:dyDescent="0.25">
      <c r="BP1366">
        <v>12860</v>
      </c>
      <c r="BQ1366">
        <v>3080393303</v>
      </c>
      <c r="BR1366" s="15" t="s">
        <v>242</v>
      </c>
      <c r="BS1366" t="s">
        <v>233</v>
      </c>
      <c r="BT1366" t="s">
        <v>2028</v>
      </c>
      <c r="BU1366" t="s">
        <v>682</v>
      </c>
      <c r="BV1366" t="s">
        <v>1153</v>
      </c>
    </row>
    <row r="1367" spans="68:74" x14ac:dyDescent="0.25">
      <c r="BP1367">
        <v>12888</v>
      </c>
      <c r="BQ1367">
        <v>3080393322</v>
      </c>
      <c r="BR1367" s="15" t="s">
        <v>242</v>
      </c>
      <c r="BS1367" t="s">
        <v>233</v>
      </c>
      <c r="BT1367" t="s">
        <v>2029</v>
      </c>
      <c r="BU1367" t="s">
        <v>682</v>
      </c>
      <c r="BV1367" t="s">
        <v>1153</v>
      </c>
    </row>
    <row r="1368" spans="68:74" x14ac:dyDescent="0.25">
      <c r="BP1368">
        <v>12869</v>
      </c>
      <c r="BQ1368">
        <v>3080393309</v>
      </c>
      <c r="BR1368" s="15" t="s">
        <v>242</v>
      </c>
      <c r="BS1368" t="s">
        <v>233</v>
      </c>
      <c r="BT1368" t="s">
        <v>2030</v>
      </c>
      <c r="BU1368" t="s">
        <v>682</v>
      </c>
      <c r="BV1368" t="s">
        <v>1153</v>
      </c>
    </row>
    <row r="1369" spans="68:74" x14ac:dyDescent="0.25">
      <c r="BQ1369">
        <v>30800823</v>
      </c>
      <c r="BR1369" s="15" t="s">
        <v>242</v>
      </c>
      <c r="BS1369" t="s">
        <v>233</v>
      </c>
      <c r="BT1369" t="s">
        <v>2031</v>
      </c>
      <c r="BU1369" t="s">
        <v>682</v>
      </c>
      <c r="BV1369" t="s">
        <v>680</v>
      </c>
    </row>
    <row r="1370" spans="68:74" x14ac:dyDescent="0.25">
      <c r="BP1370">
        <v>12853</v>
      </c>
      <c r="BQ1370">
        <v>3080008339</v>
      </c>
      <c r="BR1370" s="15" t="s">
        <v>242</v>
      </c>
      <c r="BS1370" t="s">
        <v>233</v>
      </c>
      <c r="BT1370" t="s">
        <v>2032</v>
      </c>
      <c r="BU1370" t="s">
        <v>682</v>
      </c>
      <c r="BV1370" t="s">
        <v>1153</v>
      </c>
    </row>
    <row r="1371" spans="68:74" x14ac:dyDescent="0.25">
      <c r="BP1371">
        <v>12862</v>
      </c>
      <c r="BQ1371">
        <v>3080393304</v>
      </c>
      <c r="BR1371" s="15" t="s">
        <v>242</v>
      </c>
      <c r="BS1371" t="s">
        <v>233</v>
      </c>
      <c r="BT1371" t="s">
        <v>2033</v>
      </c>
      <c r="BU1371" t="s">
        <v>682</v>
      </c>
      <c r="BV1371" t="s">
        <v>1153</v>
      </c>
    </row>
    <row r="1372" spans="68:74" x14ac:dyDescent="0.25">
      <c r="BP1372">
        <v>66147</v>
      </c>
      <c r="BQ1372">
        <v>3080393331</v>
      </c>
      <c r="BR1372" s="15" t="s">
        <v>242</v>
      </c>
      <c r="BS1372" t="s">
        <v>233</v>
      </c>
      <c r="BT1372" t="s">
        <v>2034</v>
      </c>
      <c r="BU1372" t="s">
        <v>682</v>
      </c>
      <c r="BV1372" t="s">
        <v>1153</v>
      </c>
    </row>
    <row r="1373" spans="68:74" x14ac:dyDescent="0.25">
      <c r="BP1373">
        <v>12859</v>
      </c>
      <c r="BQ1373">
        <v>3080393302</v>
      </c>
      <c r="BR1373" s="15" t="s">
        <v>242</v>
      </c>
      <c r="BS1373" t="s">
        <v>233</v>
      </c>
      <c r="BT1373" t="s">
        <v>2035</v>
      </c>
      <c r="BU1373" t="s">
        <v>682</v>
      </c>
      <c r="BV1373" t="s">
        <v>1153</v>
      </c>
    </row>
    <row r="1374" spans="68:74" x14ac:dyDescent="0.25">
      <c r="BP1374">
        <v>12846</v>
      </c>
      <c r="BQ1374">
        <v>3080008332</v>
      </c>
      <c r="BR1374" s="15" t="s">
        <v>242</v>
      </c>
      <c r="BS1374" t="s">
        <v>233</v>
      </c>
      <c r="BT1374" t="s">
        <v>2036</v>
      </c>
      <c r="BU1374" t="s">
        <v>682</v>
      </c>
      <c r="BV1374" t="s">
        <v>1153</v>
      </c>
    </row>
    <row r="1375" spans="68:74" x14ac:dyDescent="0.25">
      <c r="BQ1375">
        <v>3080393314</v>
      </c>
      <c r="BR1375" s="15" t="s">
        <v>242</v>
      </c>
      <c r="BS1375" t="s">
        <v>233</v>
      </c>
      <c r="BT1375" t="s">
        <v>2037</v>
      </c>
      <c r="BU1375" t="s">
        <v>682</v>
      </c>
      <c r="BV1375" t="s">
        <v>1153</v>
      </c>
    </row>
    <row r="1376" spans="68:74" x14ac:dyDescent="0.25">
      <c r="BP1376">
        <v>12847</v>
      </c>
      <c r="BQ1376">
        <v>3080008333</v>
      </c>
      <c r="BR1376" s="15" t="s">
        <v>242</v>
      </c>
      <c r="BS1376" t="s">
        <v>233</v>
      </c>
      <c r="BT1376" t="s">
        <v>2038</v>
      </c>
      <c r="BU1376" t="s">
        <v>682</v>
      </c>
      <c r="BV1376" t="s">
        <v>1153</v>
      </c>
    </row>
    <row r="1377" spans="68:74" x14ac:dyDescent="0.25">
      <c r="BP1377">
        <v>12876</v>
      </c>
      <c r="BQ1377">
        <v>3080393315</v>
      </c>
      <c r="BR1377" s="15" t="s">
        <v>242</v>
      </c>
      <c r="BS1377" t="s">
        <v>233</v>
      </c>
      <c r="BT1377" t="s">
        <v>2039</v>
      </c>
      <c r="BU1377" t="s">
        <v>682</v>
      </c>
      <c r="BV1377" t="s">
        <v>1153</v>
      </c>
    </row>
    <row r="1378" spans="68:74" x14ac:dyDescent="0.25">
      <c r="BQ1378">
        <v>30800272</v>
      </c>
      <c r="BR1378" s="15" t="s">
        <v>242</v>
      </c>
      <c r="BS1378" t="s">
        <v>233</v>
      </c>
      <c r="BT1378" t="s">
        <v>2040</v>
      </c>
      <c r="BU1378" t="s">
        <v>681</v>
      </c>
      <c r="BV1378" t="s">
        <v>680</v>
      </c>
    </row>
    <row r="1379" spans="68:74" x14ac:dyDescent="0.25">
      <c r="BQ1379">
        <v>30800273</v>
      </c>
      <c r="BR1379" s="15" t="s">
        <v>242</v>
      </c>
      <c r="BS1379" t="s">
        <v>233</v>
      </c>
      <c r="BT1379" t="s">
        <v>2040</v>
      </c>
      <c r="BU1379" t="s">
        <v>682</v>
      </c>
      <c r="BV1379" t="s">
        <v>680</v>
      </c>
    </row>
    <row r="1380" spans="68:74" x14ac:dyDescent="0.25">
      <c r="BQ1380">
        <v>30800723</v>
      </c>
      <c r="BR1380" s="15" t="s">
        <v>242</v>
      </c>
      <c r="BS1380" t="s">
        <v>233</v>
      </c>
      <c r="BT1380" t="s">
        <v>2041</v>
      </c>
      <c r="BU1380" t="s">
        <v>682</v>
      </c>
      <c r="BV1380" t="s">
        <v>680</v>
      </c>
    </row>
    <row r="1381" spans="68:74" x14ac:dyDescent="0.25">
      <c r="BQ1381">
        <v>30800623</v>
      </c>
      <c r="BR1381" s="15" t="s">
        <v>242</v>
      </c>
      <c r="BS1381" t="s">
        <v>233</v>
      </c>
      <c r="BT1381" t="s">
        <v>2042</v>
      </c>
      <c r="BU1381" t="s">
        <v>682</v>
      </c>
      <c r="BV1381" t="s">
        <v>680</v>
      </c>
    </row>
    <row r="1382" spans="68:74" x14ac:dyDescent="0.25">
      <c r="BQ1382">
        <v>30800382</v>
      </c>
      <c r="BR1382" s="15" t="s">
        <v>242</v>
      </c>
      <c r="BS1382" t="s">
        <v>233</v>
      </c>
      <c r="BT1382" t="s">
        <v>2043</v>
      </c>
      <c r="BU1382" t="s">
        <v>681</v>
      </c>
      <c r="BV1382" t="s">
        <v>680</v>
      </c>
    </row>
    <row r="1383" spans="68:74" x14ac:dyDescent="0.25">
      <c r="BQ1383">
        <v>30800383</v>
      </c>
      <c r="BR1383" s="15" t="s">
        <v>242</v>
      </c>
      <c r="BS1383" t="s">
        <v>233</v>
      </c>
      <c r="BT1383" t="s">
        <v>2043</v>
      </c>
      <c r="BU1383" t="s">
        <v>682</v>
      </c>
      <c r="BV1383" t="s">
        <v>680</v>
      </c>
    </row>
    <row r="1384" spans="68:74" x14ac:dyDescent="0.25">
      <c r="BQ1384">
        <v>30800683</v>
      </c>
      <c r="BR1384" s="15" t="s">
        <v>242</v>
      </c>
      <c r="BS1384" t="s">
        <v>233</v>
      </c>
      <c r="BT1384" t="s">
        <v>2044</v>
      </c>
      <c r="BU1384" t="s">
        <v>682</v>
      </c>
      <c r="BV1384" t="s">
        <v>680</v>
      </c>
    </row>
    <row r="1385" spans="68:74" x14ac:dyDescent="0.25">
      <c r="BQ1385">
        <v>30800513</v>
      </c>
      <c r="BR1385" s="15" t="s">
        <v>242</v>
      </c>
      <c r="BS1385" t="s">
        <v>233</v>
      </c>
      <c r="BT1385" t="s">
        <v>2045</v>
      </c>
      <c r="BU1385" t="s">
        <v>682</v>
      </c>
      <c r="BV1385" t="s">
        <v>680</v>
      </c>
    </row>
    <row r="1386" spans="68:74" x14ac:dyDescent="0.25">
      <c r="BQ1386">
        <v>30800523</v>
      </c>
      <c r="BR1386" s="15" t="s">
        <v>242</v>
      </c>
      <c r="BS1386" t="s">
        <v>233</v>
      </c>
      <c r="BT1386" t="s">
        <v>2046</v>
      </c>
      <c r="BU1386" t="s">
        <v>682</v>
      </c>
      <c r="BV1386" t="s">
        <v>680</v>
      </c>
    </row>
    <row r="1387" spans="68:74" x14ac:dyDescent="0.25">
      <c r="BQ1387">
        <v>30800282</v>
      </c>
      <c r="BR1387" s="15" t="s">
        <v>242</v>
      </c>
      <c r="BS1387" t="s">
        <v>233</v>
      </c>
      <c r="BT1387" t="s">
        <v>2047</v>
      </c>
      <c r="BU1387" t="s">
        <v>681</v>
      </c>
      <c r="BV1387" t="s">
        <v>680</v>
      </c>
    </row>
    <row r="1388" spans="68:74" x14ac:dyDescent="0.25">
      <c r="BQ1388">
        <v>30800283</v>
      </c>
      <c r="BR1388" s="15" t="s">
        <v>242</v>
      </c>
      <c r="BS1388" t="s">
        <v>233</v>
      </c>
      <c r="BT1388" t="s">
        <v>2047</v>
      </c>
      <c r="BU1388" t="s">
        <v>682</v>
      </c>
      <c r="BV1388" t="s">
        <v>680</v>
      </c>
    </row>
    <row r="1389" spans="68:74" x14ac:dyDescent="0.25">
      <c r="BQ1389">
        <v>3080008305</v>
      </c>
      <c r="BR1389" s="15" t="s">
        <v>242</v>
      </c>
      <c r="BS1389" t="s">
        <v>233</v>
      </c>
      <c r="BT1389" t="s">
        <v>2047</v>
      </c>
      <c r="BU1389" t="s">
        <v>682</v>
      </c>
      <c r="BV1389" t="s">
        <v>1153</v>
      </c>
    </row>
    <row r="1390" spans="68:74" x14ac:dyDescent="0.25">
      <c r="BQ1390">
        <v>3080008312</v>
      </c>
      <c r="BR1390" s="15" t="s">
        <v>242</v>
      </c>
      <c r="BS1390" t="s">
        <v>233</v>
      </c>
      <c r="BT1390" t="s">
        <v>2047</v>
      </c>
      <c r="BU1390" t="s">
        <v>682</v>
      </c>
      <c r="BV1390" t="s">
        <v>1153</v>
      </c>
    </row>
    <row r="1391" spans="68:74" x14ac:dyDescent="0.25">
      <c r="BP1391">
        <v>12835</v>
      </c>
      <c r="BQ1391">
        <v>3080008318</v>
      </c>
      <c r="BR1391" s="15" t="s">
        <v>242</v>
      </c>
      <c r="BS1391" t="s">
        <v>233</v>
      </c>
      <c r="BT1391" t="s">
        <v>2048</v>
      </c>
      <c r="BU1391" t="s">
        <v>682</v>
      </c>
      <c r="BV1391" t="s">
        <v>1153</v>
      </c>
    </row>
    <row r="1392" spans="68:74" x14ac:dyDescent="0.25">
      <c r="BP1392">
        <v>12836</v>
      </c>
      <c r="BQ1392">
        <v>3080008319</v>
      </c>
      <c r="BR1392" s="15" t="s">
        <v>242</v>
      </c>
      <c r="BS1392" t="s">
        <v>233</v>
      </c>
      <c r="BT1392" t="s">
        <v>2048</v>
      </c>
      <c r="BU1392" t="s">
        <v>682</v>
      </c>
      <c r="BV1392" t="s">
        <v>1153</v>
      </c>
    </row>
    <row r="1393" spans="68:74" x14ac:dyDescent="0.25">
      <c r="BP1393">
        <v>12878</v>
      </c>
      <c r="BQ1393">
        <v>3080393316</v>
      </c>
      <c r="BR1393" s="15" t="s">
        <v>242</v>
      </c>
      <c r="BS1393" t="s">
        <v>233</v>
      </c>
      <c r="BT1393" t="s">
        <v>2049</v>
      </c>
      <c r="BU1393" t="s">
        <v>682</v>
      </c>
      <c r="BV1393" t="s">
        <v>1153</v>
      </c>
    </row>
    <row r="1394" spans="68:74" x14ac:dyDescent="0.25">
      <c r="BP1394">
        <v>12848</v>
      </c>
      <c r="BQ1394">
        <v>3080008334</v>
      </c>
      <c r="BR1394" s="15" t="s">
        <v>242</v>
      </c>
      <c r="BS1394" t="s">
        <v>233</v>
      </c>
      <c r="BT1394" t="s">
        <v>2050</v>
      </c>
      <c r="BU1394" t="s">
        <v>682</v>
      </c>
      <c r="BV1394" t="s">
        <v>1153</v>
      </c>
    </row>
    <row r="1395" spans="68:74" x14ac:dyDescent="0.25">
      <c r="BP1395">
        <v>12879</v>
      </c>
      <c r="BQ1395">
        <v>3080393317</v>
      </c>
      <c r="BR1395" s="15" t="s">
        <v>242</v>
      </c>
      <c r="BS1395" t="s">
        <v>233</v>
      </c>
      <c r="BT1395" t="s">
        <v>2051</v>
      </c>
      <c r="BU1395" t="s">
        <v>682</v>
      </c>
      <c r="BV1395" t="s">
        <v>1153</v>
      </c>
    </row>
    <row r="1396" spans="68:74" x14ac:dyDescent="0.25">
      <c r="BP1396">
        <v>12849</v>
      </c>
      <c r="BQ1396">
        <v>3080008335</v>
      </c>
      <c r="BR1396" s="15" t="s">
        <v>242</v>
      </c>
      <c r="BS1396" t="s">
        <v>233</v>
      </c>
      <c r="BT1396" t="s">
        <v>2052</v>
      </c>
      <c r="BU1396" t="s">
        <v>682</v>
      </c>
      <c r="BV1396" t="s">
        <v>1153</v>
      </c>
    </row>
    <row r="1397" spans="68:74" x14ac:dyDescent="0.25">
      <c r="BP1397">
        <v>12880</v>
      </c>
      <c r="BQ1397">
        <v>3080393318</v>
      </c>
      <c r="BR1397" s="15" t="s">
        <v>242</v>
      </c>
      <c r="BS1397" t="s">
        <v>233</v>
      </c>
      <c r="BT1397" t="s">
        <v>2053</v>
      </c>
      <c r="BU1397" t="s">
        <v>682</v>
      </c>
      <c r="BV1397" t="s">
        <v>1153</v>
      </c>
    </row>
    <row r="1398" spans="68:74" x14ac:dyDescent="0.25">
      <c r="BQ1398">
        <v>30800572</v>
      </c>
      <c r="BR1398" s="15" t="s">
        <v>242</v>
      </c>
      <c r="BS1398" t="s">
        <v>233</v>
      </c>
      <c r="BT1398" t="s">
        <v>2054</v>
      </c>
      <c r="BU1398" t="s">
        <v>681</v>
      </c>
      <c r="BV1398" t="s">
        <v>680</v>
      </c>
    </row>
    <row r="1399" spans="68:74" x14ac:dyDescent="0.25">
      <c r="BQ1399">
        <v>30800292</v>
      </c>
      <c r="BR1399" s="15" t="s">
        <v>242</v>
      </c>
      <c r="BS1399" t="s">
        <v>233</v>
      </c>
      <c r="BT1399" t="s">
        <v>1919</v>
      </c>
      <c r="BU1399" t="s">
        <v>681</v>
      </c>
      <c r="BV1399" t="s">
        <v>680</v>
      </c>
    </row>
    <row r="1400" spans="68:74" x14ac:dyDescent="0.25">
      <c r="BQ1400">
        <v>30800293</v>
      </c>
      <c r="BR1400" s="15" t="s">
        <v>242</v>
      </c>
      <c r="BS1400" t="s">
        <v>233</v>
      </c>
      <c r="BT1400" t="s">
        <v>1919</v>
      </c>
      <c r="BU1400" t="s">
        <v>682</v>
      </c>
      <c r="BV1400" t="s">
        <v>680</v>
      </c>
    </row>
    <row r="1401" spans="68:74" x14ac:dyDescent="0.25">
      <c r="BQ1401">
        <v>30800302</v>
      </c>
      <c r="BR1401" s="15" t="s">
        <v>242</v>
      </c>
      <c r="BS1401" t="s">
        <v>233</v>
      </c>
      <c r="BT1401" t="s">
        <v>2055</v>
      </c>
      <c r="BU1401" t="s">
        <v>681</v>
      </c>
      <c r="BV1401" t="s">
        <v>680</v>
      </c>
    </row>
    <row r="1402" spans="68:74" x14ac:dyDescent="0.25">
      <c r="BQ1402">
        <v>30800303</v>
      </c>
      <c r="BR1402" s="15" t="s">
        <v>242</v>
      </c>
      <c r="BS1402" t="s">
        <v>233</v>
      </c>
      <c r="BT1402" t="s">
        <v>2055</v>
      </c>
      <c r="BU1402" t="s">
        <v>682</v>
      </c>
      <c r="BV1402" t="s">
        <v>680</v>
      </c>
    </row>
    <row r="1403" spans="68:74" x14ac:dyDescent="0.25">
      <c r="BQ1403">
        <v>30800832</v>
      </c>
      <c r="BR1403" s="15" t="s">
        <v>242</v>
      </c>
      <c r="BS1403" t="s">
        <v>233</v>
      </c>
      <c r="BT1403" t="s">
        <v>1920</v>
      </c>
      <c r="BU1403" t="s">
        <v>681</v>
      </c>
      <c r="BV1403" t="s">
        <v>680</v>
      </c>
    </row>
    <row r="1404" spans="68:74" x14ac:dyDescent="0.25">
      <c r="BQ1404">
        <v>30800312</v>
      </c>
      <c r="BR1404" s="15" t="s">
        <v>242</v>
      </c>
      <c r="BS1404" t="s">
        <v>233</v>
      </c>
      <c r="BT1404" t="s">
        <v>2056</v>
      </c>
      <c r="BU1404" t="s">
        <v>681</v>
      </c>
      <c r="BV1404" t="s">
        <v>680</v>
      </c>
    </row>
    <row r="1405" spans="68:74" x14ac:dyDescent="0.25">
      <c r="BQ1405">
        <v>30800313</v>
      </c>
      <c r="BR1405" s="15" t="s">
        <v>242</v>
      </c>
      <c r="BS1405" t="s">
        <v>233</v>
      </c>
      <c r="BT1405" t="s">
        <v>2056</v>
      </c>
      <c r="BU1405" t="s">
        <v>682</v>
      </c>
      <c r="BV1405" t="s">
        <v>680</v>
      </c>
    </row>
    <row r="1406" spans="68:74" x14ac:dyDescent="0.25">
      <c r="BP1406">
        <v>12891</v>
      </c>
      <c r="BQ1406">
        <v>3080393324</v>
      </c>
      <c r="BR1406" s="15" t="s">
        <v>242</v>
      </c>
      <c r="BS1406" t="s">
        <v>233</v>
      </c>
      <c r="BT1406" t="s">
        <v>2057</v>
      </c>
      <c r="BU1406" t="s">
        <v>682</v>
      </c>
      <c r="BV1406" t="s">
        <v>1153</v>
      </c>
    </row>
    <row r="1407" spans="68:74" x14ac:dyDescent="0.25">
      <c r="BP1407">
        <v>12893</v>
      </c>
      <c r="BQ1407">
        <v>3080393325</v>
      </c>
      <c r="BR1407" s="15" t="s">
        <v>242</v>
      </c>
      <c r="BS1407" t="s">
        <v>233</v>
      </c>
      <c r="BT1407" t="s">
        <v>2058</v>
      </c>
      <c r="BU1407" t="s">
        <v>682</v>
      </c>
      <c r="BV1407" t="s">
        <v>1153</v>
      </c>
    </row>
    <row r="1408" spans="68:74" x14ac:dyDescent="0.25">
      <c r="BQ1408">
        <v>30800322</v>
      </c>
      <c r="BR1408" s="15" t="s">
        <v>242</v>
      </c>
      <c r="BS1408" t="s">
        <v>233</v>
      </c>
      <c r="BT1408" t="s">
        <v>2059</v>
      </c>
      <c r="BU1408" t="s">
        <v>681</v>
      </c>
      <c r="BV1408" t="s">
        <v>680</v>
      </c>
    </row>
    <row r="1409" spans="68:74" x14ac:dyDescent="0.25">
      <c r="BQ1409">
        <v>30800323</v>
      </c>
      <c r="BR1409" s="15" t="s">
        <v>242</v>
      </c>
      <c r="BS1409" t="s">
        <v>233</v>
      </c>
      <c r="BT1409" t="s">
        <v>2059</v>
      </c>
      <c r="BU1409" t="s">
        <v>682</v>
      </c>
      <c r="BV1409" t="s">
        <v>680</v>
      </c>
    </row>
    <row r="1410" spans="68:74" x14ac:dyDescent="0.25">
      <c r="BP1410">
        <v>12843</v>
      </c>
      <c r="BQ1410">
        <v>3080008329</v>
      </c>
      <c r="BR1410" s="15" t="s">
        <v>242</v>
      </c>
      <c r="BS1410" t="s">
        <v>233</v>
      </c>
      <c r="BT1410" t="s">
        <v>2060</v>
      </c>
      <c r="BU1410" t="s">
        <v>682</v>
      </c>
      <c r="BV1410" t="s">
        <v>1153</v>
      </c>
    </row>
    <row r="1411" spans="68:74" x14ac:dyDescent="0.25">
      <c r="BP1411">
        <v>12864</v>
      </c>
      <c r="BQ1411">
        <v>3080393305</v>
      </c>
      <c r="BR1411" s="15" t="s">
        <v>242</v>
      </c>
      <c r="BS1411" t="s">
        <v>233</v>
      </c>
      <c r="BT1411" t="s">
        <v>2061</v>
      </c>
      <c r="BU1411" t="s">
        <v>682</v>
      </c>
      <c r="BV1411" t="s">
        <v>1153</v>
      </c>
    </row>
    <row r="1412" spans="68:74" x14ac:dyDescent="0.25">
      <c r="BP1412">
        <v>12777</v>
      </c>
      <c r="BQ1412">
        <v>30805223</v>
      </c>
      <c r="BR1412" s="15" t="s">
        <v>242</v>
      </c>
      <c r="BS1412" t="s">
        <v>233</v>
      </c>
      <c r="BT1412" t="s">
        <v>2062</v>
      </c>
      <c r="BU1412" t="s">
        <v>682</v>
      </c>
      <c r="BV1412" t="s">
        <v>1153</v>
      </c>
    </row>
    <row r="1413" spans="68:74" x14ac:dyDescent="0.25">
      <c r="BP1413">
        <v>187909</v>
      </c>
      <c r="BQ1413">
        <v>30807233</v>
      </c>
      <c r="BR1413" s="15" t="s">
        <v>242</v>
      </c>
      <c r="BS1413" t="s">
        <v>233</v>
      </c>
      <c r="BT1413" t="s">
        <v>2063</v>
      </c>
      <c r="BU1413" t="s">
        <v>682</v>
      </c>
      <c r="BV1413" t="s">
        <v>1153</v>
      </c>
    </row>
    <row r="1414" spans="68:74" x14ac:dyDescent="0.25">
      <c r="BP1414">
        <v>12866</v>
      </c>
      <c r="BQ1414">
        <v>3080393306</v>
      </c>
      <c r="BR1414" s="15" t="s">
        <v>242</v>
      </c>
      <c r="BS1414" t="s">
        <v>233</v>
      </c>
      <c r="BT1414" t="s">
        <v>2064</v>
      </c>
      <c r="BU1414" t="s">
        <v>682</v>
      </c>
      <c r="BV1414" t="s">
        <v>1153</v>
      </c>
    </row>
    <row r="1415" spans="68:74" x14ac:dyDescent="0.25">
      <c r="BP1415">
        <v>12778</v>
      </c>
      <c r="BQ1415">
        <v>30805233</v>
      </c>
      <c r="BR1415" s="15" t="s">
        <v>242</v>
      </c>
      <c r="BS1415" t="s">
        <v>233</v>
      </c>
      <c r="BT1415" t="s">
        <v>2065</v>
      </c>
      <c r="BU1415" t="s">
        <v>682</v>
      </c>
      <c r="BV1415" t="s">
        <v>1153</v>
      </c>
    </row>
    <row r="1416" spans="68:74" x14ac:dyDescent="0.25">
      <c r="BQ1416">
        <v>30800533</v>
      </c>
      <c r="BR1416" s="15" t="s">
        <v>242</v>
      </c>
      <c r="BS1416" t="s">
        <v>233</v>
      </c>
      <c r="BT1416" t="s">
        <v>2066</v>
      </c>
      <c r="BU1416" t="s">
        <v>682</v>
      </c>
      <c r="BV1416" t="s">
        <v>680</v>
      </c>
    </row>
    <row r="1417" spans="68:74" x14ac:dyDescent="0.25">
      <c r="BQ1417">
        <v>30800543</v>
      </c>
      <c r="BR1417" s="15" t="s">
        <v>242</v>
      </c>
      <c r="BS1417" t="s">
        <v>233</v>
      </c>
      <c r="BT1417" t="s">
        <v>2067</v>
      </c>
      <c r="BU1417" t="s">
        <v>682</v>
      </c>
      <c r="BV1417" t="s">
        <v>680</v>
      </c>
    </row>
    <row r="1418" spans="68:74" x14ac:dyDescent="0.25">
      <c r="BQ1418">
        <v>30800553</v>
      </c>
      <c r="BR1418" s="15" t="s">
        <v>242</v>
      </c>
      <c r="BS1418" t="s">
        <v>233</v>
      </c>
      <c r="BT1418" t="s">
        <v>2068</v>
      </c>
      <c r="BU1418" t="s">
        <v>682</v>
      </c>
      <c r="BV1418" t="s">
        <v>680</v>
      </c>
    </row>
    <row r="1419" spans="68:74" x14ac:dyDescent="0.25">
      <c r="BQ1419">
        <v>30800813</v>
      </c>
      <c r="BR1419" s="15" t="s">
        <v>242</v>
      </c>
      <c r="BS1419" t="s">
        <v>233</v>
      </c>
      <c r="BT1419" t="s">
        <v>2069</v>
      </c>
      <c r="BU1419" t="s">
        <v>682</v>
      </c>
      <c r="BV1419" t="s">
        <v>680</v>
      </c>
    </row>
    <row r="1420" spans="68:74" x14ac:dyDescent="0.25">
      <c r="BP1420">
        <v>12783</v>
      </c>
      <c r="BQ1420">
        <v>30806512</v>
      </c>
      <c r="BR1420" s="15" t="s">
        <v>242</v>
      </c>
      <c r="BS1420" t="s">
        <v>233</v>
      </c>
      <c r="BT1420" t="s">
        <v>2070</v>
      </c>
      <c r="BU1420" t="s">
        <v>681</v>
      </c>
      <c r="BV1420" t="s">
        <v>1153</v>
      </c>
    </row>
    <row r="1421" spans="68:74" x14ac:dyDescent="0.25">
      <c r="BQ1421">
        <v>30800793</v>
      </c>
      <c r="BR1421" s="15" t="s">
        <v>242</v>
      </c>
      <c r="BS1421" t="s">
        <v>233</v>
      </c>
      <c r="BT1421" t="s">
        <v>2071</v>
      </c>
      <c r="BU1421" t="s">
        <v>682</v>
      </c>
      <c r="BV1421" t="s">
        <v>680</v>
      </c>
    </row>
    <row r="1422" spans="68:74" x14ac:dyDescent="0.25">
      <c r="BQ1422">
        <v>30800663</v>
      </c>
      <c r="BR1422" s="15" t="s">
        <v>242</v>
      </c>
      <c r="BS1422" t="s">
        <v>233</v>
      </c>
      <c r="BT1422" t="s">
        <v>2072</v>
      </c>
      <c r="BU1422" t="s">
        <v>682</v>
      </c>
      <c r="BV1422" t="s">
        <v>680</v>
      </c>
    </row>
    <row r="1423" spans="68:74" x14ac:dyDescent="0.25">
      <c r="BP1423">
        <v>142245</v>
      </c>
      <c r="BQ1423">
        <v>30807033</v>
      </c>
      <c r="BR1423" s="15" t="s">
        <v>242</v>
      </c>
      <c r="BS1423" t="s">
        <v>233</v>
      </c>
      <c r="BT1423" t="s">
        <v>2073</v>
      </c>
      <c r="BU1423" t="s">
        <v>682</v>
      </c>
      <c r="BV1423" t="s">
        <v>1149</v>
      </c>
    </row>
    <row r="1424" spans="68:74" x14ac:dyDescent="0.25">
      <c r="BQ1424">
        <v>30800332</v>
      </c>
      <c r="BR1424" s="15" t="s">
        <v>242</v>
      </c>
      <c r="BS1424" t="s">
        <v>233</v>
      </c>
      <c r="BT1424" t="s">
        <v>2074</v>
      </c>
      <c r="BU1424" t="s">
        <v>681</v>
      </c>
      <c r="BV1424" t="s">
        <v>680</v>
      </c>
    </row>
    <row r="1425" spans="68:74" x14ac:dyDescent="0.25">
      <c r="BQ1425">
        <v>30800333</v>
      </c>
      <c r="BR1425" s="15" t="s">
        <v>242</v>
      </c>
      <c r="BS1425" t="s">
        <v>233</v>
      </c>
      <c r="BT1425" t="s">
        <v>2074</v>
      </c>
      <c r="BU1425" t="s">
        <v>682</v>
      </c>
      <c r="BV1425" t="s">
        <v>680</v>
      </c>
    </row>
    <row r="1426" spans="68:74" x14ac:dyDescent="0.25">
      <c r="BP1426">
        <v>12824</v>
      </c>
      <c r="BQ1426">
        <v>3080008306</v>
      </c>
      <c r="BR1426" s="15" t="s">
        <v>242</v>
      </c>
      <c r="BS1426" t="s">
        <v>233</v>
      </c>
      <c r="BT1426" t="s">
        <v>2075</v>
      </c>
      <c r="BU1426" t="s">
        <v>682</v>
      </c>
      <c r="BV1426" t="s">
        <v>1153</v>
      </c>
    </row>
    <row r="1427" spans="68:74" x14ac:dyDescent="0.25">
      <c r="BP1427">
        <v>12882</v>
      </c>
      <c r="BQ1427">
        <v>3080393319</v>
      </c>
      <c r="BR1427" s="15" t="s">
        <v>242</v>
      </c>
      <c r="BS1427" t="s">
        <v>233</v>
      </c>
      <c r="BT1427" t="s">
        <v>2076</v>
      </c>
      <c r="BU1427" t="s">
        <v>682</v>
      </c>
      <c r="BV1427" t="s">
        <v>1153</v>
      </c>
    </row>
    <row r="1428" spans="68:74" x14ac:dyDescent="0.25">
      <c r="BP1428">
        <v>12884</v>
      </c>
      <c r="BQ1428">
        <v>3080393320</v>
      </c>
      <c r="BR1428" s="15" t="s">
        <v>242</v>
      </c>
      <c r="BS1428" t="s">
        <v>233</v>
      </c>
      <c r="BT1428" t="s">
        <v>2077</v>
      </c>
      <c r="BU1428" t="s">
        <v>682</v>
      </c>
      <c r="BV1428" t="s">
        <v>1153</v>
      </c>
    </row>
    <row r="1429" spans="68:74" x14ac:dyDescent="0.25">
      <c r="BP1429">
        <v>12779</v>
      </c>
      <c r="BQ1429">
        <v>30805243</v>
      </c>
      <c r="BR1429" s="15" t="s">
        <v>242</v>
      </c>
      <c r="BS1429" t="s">
        <v>233</v>
      </c>
      <c r="BT1429" t="s">
        <v>2078</v>
      </c>
      <c r="BU1429" t="s">
        <v>682</v>
      </c>
      <c r="BV1429" t="s">
        <v>1153</v>
      </c>
    </row>
    <row r="1430" spans="68:74" x14ac:dyDescent="0.25">
      <c r="BP1430">
        <v>142244</v>
      </c>
      <c r="BQ1430">
        <v>30807023</v>
      </c>
      <c r="BR1430" s="15" t="s">
        <v>242</v>
      </c>
      <c r="BS1430" t="s">
        <v>233</v>
      </c>
      <c r="BT1430" t="s">
        <v>2079</v>
      </c>
      <c r="BU1430" t="s">
        <v>682</v>
      </c>
      <c r="BV1430" t="s">
        <v>1153</v>
      </c>
    </row>
    <row r="1431" spans="68:74" x14ac:dyDescent="0.25">
      <c r="BP1431">
        <v>188282</v>
      </c>
      <c r="BQ1431">
        <v>30807243</v>
      </c>
      <c r="BR1431" s="15" t="s">
        <v>242</v>
      </c>
      <c r="BS1431" t="s">
        <v>233</v>
      </c>
      <c r="BT1431" t="s">
        <v>2080</v>
      </c>
      <c r="BU1431" t="s">
        <v>682</v>
      </c>
      <c r="BV1431" t="s">
        <v>1153</v>
      </c>
    </row>
    <row r="1432" spans="68:74" x14ac:dyDescent="0.25">
      <c r="BP1432">
        <v>286741</v>
      </c>
      <c r="BQ1432">
        <v>30807543</v>
      </c>
      <c r="BR1432" s="15" t="s">
        <v>242</v>
      </c>
      <c r="BS1432" t="s">
        <v>233</v>
      </c>
      <c r="BT1432" t="s">
        <v>2081</v>
      </c>
      <c r="BU1432" t="s">
        <v>682</v>
      </c>
      <c r="BV1432" t="s">
        <v>1153</v>
      </c>
    </row>
    <row r="1433" spans="68:74" x14ac:dyDescent="0.25">
      <c r="BP1433">
        <v>287083</v>
      </c>
      <c r="BQ1433">
        <v>30807553</v>
      </c>
      <c r="BR1433" s="15" t="s">
        <v>242</v>
      </c>
      <c r="BS1433" t="s">
        <v>233</v>
      </c>
      <c r="BT1433" t="s">
        <v>2082</v>
      </c>
      <c r="BU1433" t="s">
        <v>682</v>
      </c>
      <c r="BV1433" t="s">
        <v>1153</v>
      </c>
    </row>
    <row r="1434" spans="68:74" x14ac:dyDescent="0.25">
      <c r="BP1434">
        <v>287084</v>
      </c>
      <c r="BQ1434">
        <v>30807563</v>
      </c>
      <c r="BR1434" s="15" t="s">
        <v>242</v>
      </c>
      <c r="BS1434" t="s">
        <v>233</v>
      </c>
      <c r="BT1434" t="s">
        <v>2083</v>
      </c>
      <c r="BU1434" t="s">
        <v>682</v>
      </c>
      <c r="BV1434" t="s">
        <v>1153</v>
      </c>
    </row>
    <row r="1435" spans="68:74" x14ac:dyDescent="0.25">
      <c r="BQ1435">
        <v>30800342</v>
      </c>
      <c r="BR1435" s="15" t="s">
        <v>242</v>
      </c>
      <c r="BS1435" t="s">
        <v>233</v>
      </c>
      <c r="BT1435" t="s">
        <v>2084</v>
      </c>
      <c r="BU1435" t="s">
        <v>681</v>
      </c>
      <c r="BV1435" t="s">
        <v>680</v>
      </c>
    </row>
    <row r="1436" spans="68:74" x14ac:dyDescent="0.25">
      <c r="BQ1436">
        <v>30800343</v>
      </c>
      <c r="BR1436" s="15" t="s">
        <v>242</v>
      </c>
      <c r="BS1436" t="s">
        <v>233</v>
      </c>
      <c r="BT1436" t="s">
        <v>2084</v>
      </c>
      <c r="BU1436" t="s">
        <v>682</v>
      </c>
      <c r="BV1436" t="s">
        <v>680</v>
      </c>
    </row>
    <row r="1437" spans="68:74" x14ac:dyDescent="0.25">
      <c r="BQ1437">
        <v>30800563</v>
      </c>
      <c r="BR1437" s="15" t="s">
        <v>242</v>
      </c>
      <c r="BS1437" t="s">
        <v>233</v>
      </c>
      <c r="BT1437" t="s">
        <v>2085</v>
      </c>
      <c r="BU1437" t="s">
        <v>682</v>
      </c>
      <c r="BV1437" t="s">
        <v>680</v>
      </c>
    </row>
    <row r="1438" spans="68:74" x14ac:dyDescent="0.25">
      <c r="BP1438">
        <v>12872</v>
      </c>
      <c r="BQ1438">
        <v>3080393311</v>
      </c>
      <c r="BR1438" s="15" t="s">
        <v>242</v>
      </c>
      <c r="BS1438" t="s">
        <v>233</v>
      </c>
      <c r="BT1438" t="s">
        <v>2086</v>
      </c>
      <c r="BU1438" t="s">
        <v>682</v>
      </c>
      <c r="BV1438" t="s">
        <v>1153</v>
      </c>
    </row>
    <row r="1439" spans="68:74" x14ac:dyDescent="0.25">
      <c r="BP1439">
        <v>12871</v>
      </c>
      <c r="BQ1439">
        <v>3080393310</v>
      </c>
      <c r="BR1439" s="15" t="s">
        <v>242</v>
      </c>
      <c r="BS1439" t="s">
        <v>233</v>
      </c>
      <c r="BT1439" t="s">
        <v>2087</v>
      </c>
      <c r="BU1439" t="s">
        <v>682</v>
      </c>
      <c r="BV1439" t="s">
        <v>1153</v>
      </c>
    </row>
    <row r="1440" spans="68:74" x14ac:dyDescent="0.25">
      <c r="BP1440">
        <v>12850</v>
      </c>
      <c r="BQ1440">
        <v>3080008336</v>
      </c>
      <c r="BR1440" s="15" t="s">
        <v>242</v>
      </c>
      <c r="BS1440" t="s">
        <v>233</v>
      </c>
      <c r="BT1440" t="s">
        <v>2088</v>
      </c>
      <c r="BU1440" t="s">
        <v>682</v>
      </c>
      <c r="BV1440" t="s">
        <v>1153</v>
      </c>
    </row>
    <row r="1441" spans="68:74" x14ac:dyDescent="0.25">
      <c r="BQ1441">
        <v>3080008320</v>
      </c>
      <c r="BR1441" s="15" t="s">
        <v>242</v>
      </c>
      <c r="BS1441" t="s">
        <v>233</v>
      </c>
      <c r="BT1441" t="s">
        <v>2089</v>
      </c>
      <c r="BU1441" t="s">
        <v>682</v>
      </c>
      <c r="BV1441" t="s">
        <v>1153</v>
      </c>
    </row>
    <row r="1442" spans="68:74" x14ac:dyDescent="0.25">
      <c r="BP1442">
        <v>12840</v>
      </c>
      <c r="BQ1442">
        <v>3080008325</v>
      </c>
      <c r="BR1442" s="15" t="s">
        <v>242</v>
      </c>
      <c r="BS1442" t="s">
        <v>233</v>
      </c>
      <c r="BT1442" t="s">
        <v>2090</v>
      </c>
      <c r="BU1442" t="s">
        <v>682</v>
      </c>
      <c r="BV1442" t="s">
        <v>1153</v>
      </c>
    </row>
    <row r="1443" spans="68:74" x14ac:dyDescent="0.25">
      <c r="BQ1443">
        <v>30900022</v>
      </c>
      <c r="BR1443" s="15" t="s">
        <v>243</v>
      </c>
      <c r="BS1443" t="s">
        <v>234</v>
      </c>
      <c r="BT1443" t="s">
        <v>2091</v>
      </c>
      <c r="BU1443" t="s">
        <v>681</v>
      </c>
      <c r="BV1443" t="s">
        <v>680</v>
      </c>
    </row>
    <row r="1444" spans="68:74" x14ac:dyDescent="0.25">
      <c r="BP1444">
        <v>12407</v>
      </c>
      <c r="BQ1444">
        <v>3090001303</v>
      </c>
      <c r="BR1444" s="15" t="s">
        <v>243</v>
      </c>
      <c r="BS1444" t="s">
        <v>234</v>
      </c>
      <c r="BT1444" t="s">
        <v>2092</v>
      </c>
      <c r="BU1444" t="s">
        <v>682</v>
      </c>
      <c r="BV1444" t="s">
        <v>1149</v>
      </c>
    </row>
    <row r="1445" spans="68:74" x14ac:dyDescent="0.25">
      <c r="BQ1445">
        <v>30900062</v>
      </c>
      <c r="BR1445" s="15" t="s">
        <v>243</v>
      </c>
      <c r="BS1445" t="s">
        <v>234</v>
      </c>
      <c r="BT1445" t="s">
        <v>2093</v>
      </c>
      <c r="BU1445" t="s">
        <v>681</v>
      </c>
      <c r="BV1445" t="s">
        <v>680</v>
      </c>
    </row>
    <row r="1446" spans="68:74" x14ac:dyDescent="0.25">
      <c r="BP1446">
        <v>12405</v>
      </c>
      <c r="BQ1446">
        <v>3090001301</v>
      </c>
      <c r="BR1446" s="15" t="s">
        <v>243</v>
      </c>
      <c r="BS1446" t="s">
        <v>234</v>
      </c>
      <c r="BT1446" t="s">
        <v>2093</v>
      </c>
      <c r="BU1446" t="s">
        <v>682</v>
      </c>
      <c r="BV1446" t="s">
        <v>1149</v>
      </c>
    </row>
    <row r="1447" spans="68:74" x14ac:dyDescent="0.25">
      <c r="BQ1447">
        <v>30900073</v>
      </c>
      <c r="BR1447" s="15" t="s">
        <v>243</v>
      </c>
      <c r="BS1447" t="s">
        <v>234</v>
      </c>
      <c r="BT1447" t="s">
        <v>2094</v>
      </c>
      <c r="BU1447" t="s">
        <v>682</v>
      </c>
      <c r="BV1447" t="s">
        <v>680</v>
      </c>
    </row>
    <row r="1448" spans="68:74" x14ac:dyDescent="0.25">
      <c r="BQ1448">
        <v>3090001304</v>
      </c>
      <c r="BR1448" s="15" t="s">
        <v>243</v>
      </c>
      <c r="BS1448" t="s">
        <v>234</v>
      </c>
      <c r="BT1448" t="s">
        <v>2095</v>
      </c>
      <c r="BU1448" t="s">
        <v>682</v>
      </c>
      <c r="BV1448" t="s">
        <v>1149</v>
      </c>
    </row>
    <row r="1449" spans="68:74" x14ac:dyDescent="0.25">
      <c r="BP1449">
        <v>12327</v>
      </c>
      <c r="BQ1449">
        <v>30900012</v>
      </c>
      <c r="BR1449" s="15" t="s">
        <v>243</v>
      </c>
      <c r="BS1449" t="s">
        <v>234</v>
      </c>
      <c r="BT1449" t="s">
        <v>234</v>
      </c>
      <c r="BU1449" t="s">
        <v>681</v>
      </c>
      <c r="BV1449" t="s">
        <v>1153</v>
      </c>
    </row>
    <row r="1450" spans="68:74" x14ac:dyDescent="0.25">
      <c r="BP1450">
        <v>12329</v>
      </c>
      <c r="BQ1450">
        <v>30900013</v>
      </c>
      <c r="BR1450" s="15" t="s">
        <v>243</v>
      </c>
      <c r="BS1450" t="s">
        <v>234</v>
      </c>
      <c r="BT1450" t="s">
        <v>234</v>
      </c>
      <c r="BU1450" t="s">
        <v>682</v>
      </c>
      <c r="BV1450" t="s">
        <v>1149</v>
      </c>
    </row>
    <row r="1451" spans="68:74" x14ac:dyDescent="0.25">
      <c r="BP1451">
        <v>12328</v>
      </c>
      <c r="BQ1451">
        <v>30900013</v>
      </c>
      <c r="BR1451" s="15" t="s">
        <v>243</v>
      </c>
      <c r="BS1451" t="s">
        <v>234</v>
      </c>
      <c r="BT1451" t="s">
        <v>234</v>
      </c>
      <c r="BU1451" t="s">
        <v>682</v>
      </c>
      <c r="BV1451" t="s">
        <v>1149</v>
      </c>
    </row>
    <row r="1452" spans="68:74" x14ac:dyDescent="0.25">
      <c r="BP1452">
        <v>588206</v>
      </c>
      <c r="BQ1452">
        <v>3090001302</v>
      </c>
      <c r="BR1452" s="15" t="s">
        <v>243</v>
      </c>
      <c r="BS1452" t="s">
        <v>234</v>
      </c>
      <c r="BT1452" t="s">
        <v>234</v>
      </c>
      <c r="BU1452" t="s">
        <v>682</v>
      </c>
      <c r="BV1452" t="s">
        <v>1153</v>
      </c>
    </row>
    <row r="1453" spans="68:74" x14ac:dyDescent="0.25">
      <c r="BP1453">
        <v>12412</v>
      </c>
      <c r="BQ1453">
        <v>3090001307</v>
      </c>
      <c r="BR1453" s="15" t="s">
        <v>243</v>
      </c>
      <c r="BS1453" t="s">
        <v>234</v>
      </c>
      <c r="BT1453" t="s">
        <v>2096</v>
      </c>
      <c r="BU1453" t="s">
        <v>682</v>
      </c>
      <c r="BV1453" t="s">
        <v>1149</v>
      </c>
    </row>
    <row r="1454" spans="68:74" x14ac:dyDescent="0.25">
      <c r="BP1454">
        <v>12408</v>
      </c>
      <c r="BQ1454">
        <v>3090001305</v>
      </c>
      <c r="BR1454" s="15" t="s">
        <v>243</v>
      </c>
      <c r="BS1454" t="s">
        <v>234</v>
      </c>
      <c r="BT1454" t="s">
        <v>2097</v>
      </c>
      <c r="BU1454" t="s">
        <v>682</v>
      </c>
      <c r="BV1454" t="s">
        <v>1149</v>
      </c>
    </row>
    <row r="1455" spans="68:74" x14ac:dyDescent="0.25">
      <c r="BQ1455">
        <v>30900103</v>
      </c>
      <c r="BR1455" s="15" t="s">
        <v>243</v>
      </c>
      <c r="BS1455" t="s">
        <v>234</v>
      </c>
      <c r="BT1455" t="s">
        <v>2098</v>
      </c>
      <c r="BU1455" t="s">
        <v>682</v>
      </c>
      <c r="BV1455" t="s">
        <v>680</v>
      </c>
    </row>
    <row r="1456" spans="68:74" x14ac:dyDescent="0.25">
      <c r="BP1456">
        <v>12414</v>
      </c>
      <c r="BQ1456">
        <v>3090001308</v>
      </c>
      <c r="BR1456" s="15" t="s">
        <v>243</v>
      </c>
      <c r="BS1456" t="s">
        <v>234</v>
      </c>
      <c r="BT1456" t="s">
        <v>2099</v>
      </c>
      <c r="BU1456" t="s">
        <v>682</v>
      </c>
      <c r="BV1456" t="s">
        <v>1149</v>
      </c>
    </row>
    <row r="1457" spans="68:74" x14ac:dyDescent="0.25">
      <c r="BP1457">
        <v>12410</v>
      </c>
      <c r="BQ1457">
        <v>3090001306</v>
      </c>
      <c r="BR1457" s="15" t="s">
        <v>243</v>
      </c>
      <c r="BS1457" t="s">
        <v>234</v>
      </c>
      <c r="BT1457" t="s">
        <v>2100</v>
      </c>
      <c r="BU1457" t="s">
        <v>682</v>
      </c>
      <c r="BV1457" t="s">
        <v>1149</v>
      </c>
    </row>
    <row r="1458" spans="68:74" x14ac:dyDescent="0.25">
      <c r="BP1458">
        <v>11971</v>
      </c>
      <c r="BQ1458">
        <v>4010002310</v>
      </c>
      <c r="BR1458" s="15" t="s">
        <v>250</v>
      </c>
      <c r="BS1458" t="s">
        <v>244</v>
      </c>
      <c r="BT1458" t="s">
        <v>2101</v>
      </c>
      <c r="BU1458" t="s">
        <v>682</v>
      </c>
      <c r="BV1458" t="s">
        <v>1153</v>
      </c>
    </row>
    <row r="1459" spans="68:74" x14ac:dyDescent="0.25">
      <c r="BQ1459">
        <v>4010002310</v>
      </c>
      <c r="BR1459" s="15" t="s">
        <v>250</v>
      </c>
      <c r="BS1459" t="s">
        <v>244</v>
      </c>
      <c r="BT1459" t="s">
        <v>2101</v>
      </c>
      <c r="BU1459" t="s">
        <v>682</v>
      </c>
      <c r="BV1459" t="s">
        <v>1153</v>
      </c>
    </row>
    <row r="1460" spans="68:74" x14ac:dyDescent="0.25">
      <c r="BQ1460">
        <v>40100012</v>
      </c>
      <c r="BR1460" s="15" t="s">
        <v>250</v>
      </c>
      <c r="BS1460" t="s">
        <v>244</v>
      </c>
      <c r="BT1460" t="s">
        <v>2102</v>
      </c>
      <c r="BU1460" t="s">
        <v>681</v>
      </c>
      <c r="BV1460" t="s">
        <v>680</v>
      </c>
    </row>
    <row r="1461" spans="68:74" x14ac:dyDescent="0.25">
      <c r="BP1461">
        <v>12011</v>
      </c>
      <c r="BQ1461">
        <v>4010011304</v>
      </c>
      <c r="BR1461" s="15" t="s">
        <v>250</v>
      </c>
      <c r="BS1461" t="s">
        <v>244</v>
      </c>
      <c r="BT1461" t="s">
        <v>2103</v>
      </c>
      <c r="BU1461" t="s">
        <v>682</v>
      </c>
      <c r="BV1461" t="s">
        <v>1153</v>
      </c>
    </row>
    <row r="1462" spans="68:74" x14ac:dyDescent="0.25">
      <c r="BP1462">
        <v>12013</v>
      </c>
      <c r="BQ1462">
        <v>4010011306</v>
      </c>
      <c r="BR1462" s="15" t="s">
        <v>250</v>
      </c>
      <c r="BS1462" t="s">
        <v>244</v>
      </c>
      <c r="BT1462" t="s">
        <v>2103</v>
      </c>
      <c r="BU1462" t="s">
        <v>682</v>
      </c>
      <c r="BV1462" t="s">
        <v>1153</v>
      </c>
    </row>
    <row r="1463" spans="68:74" x14ac:dyDescent="0.25">
      <c r="BQ1463">
        <v>4010011307</v>
      </c>
      <c r="BR1463" s="15" t="s">
        <v>250</v>
      </c>
      <c r="BS1463" t="s">
        <v>244</v>
      </c>
      <c r="BT1463" t="s">
        <v>2103</v>
      </c>
      <c r="BU1463" t="s">
        <v>682</v>
      </c>
      <c r="BV1463" t="s">
        <v>1153</v>
      </c>
    </row>
    <row r="1464" spans="68:74" x14ac:dyDescent="0.25">
      <c r="BP1464">
        <v>12018</v>
      </c>
      <c r="BQ1464">
        <v>4010011310</v>
      </c>
      <c r="BR1464" s="15" t="s">
        <v>250</v>
      </c>
      <c r="BS1464" t="s">
        <v>244</v>
      </c>
      <c r="BT1464" t="s">
        <v>2104</v>
      </c>
      <c r="BU1464" t="s">
        <v>682</v>
      </c>
      <c r="BV1464" t="s">
        <v>1149</v>
      </c>
    </row>
    <row r="1465" spans="68:74" x14ac:dyDescent="0.25">
      <c r="BP1465">
        <v>11895</v>
      </c>
      <c r="BQ1465">
        <v>40100112</v>
      </c>
      <c r="BR1465" s="15" t="s">
        <v>250</v>
      </c>
      <c r="BS1465" t="s">
        <v>244</v>
      </c>
      <c r="BT1465" t="s">
        <v>2105</v>
      </c>
      <c r="BU1465" t="s">
        <v>681</v>
      </c>
      <c r="BV1465" t="s">
        <v>1149</v>
      </c>
    </row>
    <row r="1466" spans="68:74" x14ac:dyDescent="0.25">
      <c r="BP1466">
        <v>11893</v>
      </c>
      <c r="BQ1466">
        <v>40100112</v>
      </c>
      <c r="BR1466" s="15" t="s">
        <v>250</v>
      </c>
      <c r="BS1466" t="s">
        <v>244</v>
      </c>
      <c r="BT1466" t="s">
        <v>2105</v>
      </c>
      <c r="BU1466" t="s">
        <v>681</v>
      </c>
      <c r="BV1466" t="s">
        <v>1153</v>
      </c>
    </row>
    <row r="1467" spans="68:74" x14ac:dyDescent="0.25">
      <c r="BP1467">
        <v>11961</v>
      </c>
      <c r="BQ1467">
        <v>4010002302</v>
      </c>
      <c r="BR1467" s="15" t="s">
        <v>250</v>
      </c>
      <c r="BS1467" t="s">
        <v>244</v>
      </c>
      <c r="BT1467" t="s">
        <v>2106</v>
      </c>
      <c r="BU1467" t="s">
        <v>682</v>
      </c>
      <c r="BV1467" t="s">
        <v>1153</v>
      </c>
    </row>
    <row r="1468" spans="68:74" x14ac:dyDescent="0.25">
      <c r="BP1468">
        <v>11964</v>
      </c>
      <c r="BQ1468">
        <v>4010002302</v>
      </c>
      <c r="BR1468" s="15" t="s">
        <v>250</v>
      </c>
      <c r="BS1468" t="s">
        <v>244</v>
      </c>
      <c r="BT1468" t="s">
        <v>2106</v>
      </c>
      <c r="BU1468" t="s">
        <v>682</v>
      </c>
      <c r="BV1468" t="s">
        <v>1149</v>
      </c>
    </row>
    <row r="1469" spans="68:74" x14ac:dyDescent="0.25">
      <c r="BQ1469">
        <v>4010002302</v>
      </c>
      <c r="BR1469" s="15" t="s">
        <v>250</v>
      </c>
      <c r="BS1469" t="s">
        <v>244</v>
      </c>
      <c r="BT1469" t="s">
        <v>2106</v>
      </c>
      <c r="BU1469" t="s">
        <v>682</v>
      </c>
      <c r="BV1469" t="s">
        <v>1153</v>
      </c>
    </row>
    <row r="1470" spans="68:74" x14ac:dyDescent="0.25">
      <c r="BP1470">
        <v>11963</v>
      </c>
      <c r="BQ1470">
        <v>4010002302</v>
      </c>
      <c r="BR1470" s="15" t="s">
        <v>250</v>
      </c>
      <c r="BS1470" t="s">
        <v>244</v>
      </c>
      <c r="BT1470" t="s">
        <v>2106</v>
      </c>
      <c r="BU1470" t="s">
        <v>682</v>
      </c>
      <c r="BV1470" t="s">
        <v>1153</v>
      </c>
    </row>
    <row r="1471" spans="68:74" x14ac:dyDescent="0.25">
      <c r="BP1471">
        <v>12002</v>
      </c>
      <c r="BQ1471">
        <v>4010011301</v>
      </c>
      <c r="BR1471" s="15" t="s">
        <v>250</v>
      </c>
      <c r="BS1471" t="s">
        <v>244</v>
      </c>
      <c r="BT1471" t="s">
        <v>2107</v>
      </c>
      <c r="BU1471" t="s">
        <v>682</v>
      </c>
      <c r="BV1471" t="s">
        <v>1153</v>
      </c>
    </row>
    <row r="1472" spans="68:74" x14ac:dyDescent="0.25">
      <c r="BP1472">
        <v>12003</v>
      </c>
      <c r="BQ1472">
        <v>4010011301</v>
      </c>
      <c r="BR1472" s="15" t="s">
        <v>250</v>
      </c>
      <c r="BS1472" t="s">
        <v>244</v>
      </c>
      <c r="BT1472" t="s">
        <v>2107</v>
      </c>
      <c r="BU1472" t="s">
        <v>682</v>
      </c>
      <c r="BV1472" t="s">
        <v>1149</v>
      </c>
    </row>
    <row r="1473" spans="68:74" x14ac:dyDescent="0.25">
      <c r="BQ1473">
        <v>4010011305</v>
      </c>
      <c r="BR1473" s="15" t="s">
        <v>250</v>
      </c>
      <c r="BS1473" t="s">
        <v>244</v>
      </c>
      <c r="BT1473" t="s">
        <v>2108</v>
      </c>
      <c r="BU1473" t="s">
        <v>682</v>
      </c>
      <c r="BV1473" t="s">
        <v>1149</v>
      </c>
    </row>
    <row r="1474" spans="68:74" x14ac:dyDescent="0.25">
      <c r="BQ1474">
        <v>4010011305</v>
      </c>
      <c r="BR1474" s="15" t="s">
        <v>250</v>
      </c>
      <c r="BS1474" t="s">
        <v>244</v>
      </c>
      <c r="BT1474" t="s">
        <v>2108</v>
      </c>
      <c r="BU1474" t="s">
        <v>682</v>
      </c>
      <c r="BV1474" t="s">
        <v>1153</v>
      </c>
    </row>
    <row r="1475" spans="68:74" x14ac:dyDescent="0.25">
      <c r="BP1475">
        <v>12015</v>
      </c>
      <c r="BQ1475">
        <v>4010011309</v>
      </c>
      <c r="BR1475" s="15" t="s">
        <v>250</v>
      </c>
      <c r="BS1475" t="s">
        <v>244</v>
      </c>
      <c r="BT1475" t="s">
        <v>2109</v>
      </c>
      <c r="BU1475" t="s">
        <v>682</v>
      </c>
      <c r="BV1475" t="s">
        <v>1153</v>
      </c>
    </row>
    <row r="1476" spans="68:74" x14ac:dyDescent="0.25">
      <c r="BP1476">
        <v>12016</v>
      </c>
      <c r="BQ1476">
        <v>4010011309</v>
      </c>
      <c r="BR1476" s="15" t="s">
        <v>250</v>
      </c>
      <c r="BS1476" t="s">
        <v>244</v>
      </c>
      <c r="BT1476" t="s">
        <v>2109</v>
      </c>
      <c r="BU1476" t="s">
        <v>682</v>
      </c>
      <c r="BV1476" t="s">
        <v>1149</v>
      </c>
    </row>
    <row r="1477" spans="68:74" x14ac:dyDescent="0.25">
      <c r="BP1477">
        <v>12014</v>
      </c>
      <c r="BQ1477">
        <v>4010011308</v>
      </c>
      <c r="BR1477" s="15" t="s">
        <v>250</v>
      </c>
      <c r="BS1477" t="s">
        <v>244</v>
      </c>
      <c r="BT1477" t="s">
        <v>2110</v>
      </c>
      <c r="BU1477" t="s">
        <v>682</v>
      </c>
      <c r="BV1477" t="s">
        <v>1153</v>
      </c>
    </row>
    <row r="1478" spans="68:74" x14ac:dyDescent="0.25">
      <c r="BP1478">
        <v>11879</v>
      </c>
      <c r="BQ1478">
        <v>40100022</v>
      </c>
      <c r="BR1478" s="15" t="s">
        <v>250</v>
      </c>
      <c r="BS1478" t="s">
        <v>244</v>
      </c>
      <c r="BT1478" t="s">
        <v>2111</v>
      </c>
      <c r="BU1478" t="s">
        <v>681</v>
      </c>
      <c r="BV1478" t="s">
        <v>1153</v>
      </c>
    </row>
    <row r="1479" spans="68:74" x14ac:dyDescent="0.25">
      <c r="BP1479">
        <v>11881</v>
      </c>
      <c r="BQ1479">
        <v>40100022</v>
      </c>
      <c r="BR1479" s="15" t="s">
        <v>250</v>
      </c>
      <c r="BS1479" t="s">
        <v>244</v>
      </c>
      <c r="BT1479" t="s">
        <v>2111</v>
      </c>
      <c r="BU1479" t="s">
        <v>681</v>
      </c>
      <c r="BV1479" t="s">
        <v>1149</v>
      </c>
    </row>
    <row r="1480" spans="68:74" x14ac:dyDescent="0.25">
      <c r="BQ1480">
        <v>40100023</v>
      </c>
      <c r="BR1480" s="15" t="s">
        <v>250</v>
      </c>
      <c r="BS1480" t="s">
        <v>244</v>
      </c>
      <c r="BT1480" t="s">
        <v>2111</v>
      </c>
      <c r="BU1480" t="s">
        <v>682</v>
      </c>
      <c r="BV1480" t="s">
        <v>1149</v>
      </c>
    </row>
    <row r="1481" spans="68:74" x14ac:dyDescent="0.25">
      <c r="BP1481">
        <v>11960</v>
      </c>
      <c r="BQ1481">
        <v>4010002301</v>
      </c>
      <c r="BR1481" s="15" t="s">
        <v>250</v>
      </c>
      <c r="BS1481" t="s">
        <v>244</v>
      </c>
      <c r="BT1481" t="s">
        <v>2111</v>
      </c>
      <c r="BU1481" t="s">
        <v>682</v>
      </c>
      <c r="BV1481" t="s">
        <v>1153</v>
      </c>
    </row>
    <row r="1482" spans="68:74" x14ac:dyDescent="0.25">
      <c r="BQ1482">
        <v>4010002303</v>
      </c>
      <c r="BR1482" s="15" t="s">
        <v>250</v>
      </c>
      <c r="BS1482" t="s">
        <v>244</v>
      </c>
      <c r="BT1482" t="s">
        <v>2112</v>
      </c>
      <c r="BU1482" t="s">
        <v>682</v>
      </c>
      <c r="BV1482" t="s">
        <v>1153</v>
      </c>
    </row>
    <row r="1483" spans="68:74" x14ac:dyDescent="0.25">
      <c r="BQ1483">
        <v>4010003302</v>
      </c>
      <c r="BR1483" s="15" t="s">
        <v>250</v>
      </c>
      <c r="BS1483" t="s">
        <v>244</v>
      </c>
      <c r="BT1483" t="s">
        <v>2113</v>
      </c>
      <c r="BU1483" t="s">
        <v>682</v>
      </c>
      <c r="BV1483" t="s">
        <v>680</v>
      </c>
    </row>
    <row r="1484" spans="68:74" x14ac:dyDescent="0.25">
      <c r="BP1484">
        <v>11970</v>
      </c>
      <c r="BQ1484">
        <v>4010002309</v>
      </c>
      <c r="BR1484" s="15" t="s">
        <v>250</v>
      </c>
      <c r="BS1484" t="s">
        <v>244</v>
      </c>
      <c r="BT1484" t="s">
        <v>2114</v>
      </c>
      <c r="BU1484" t="s">
        <v>682</v>
      </c>
      <c r="BV1484" t="s">
        <v>1153</v>
      </c>
    </row>
    <row r="1485" spans="68:74" x14ac:dyDescent="0.25">
      <c r="BP1485">
        <v>11923</v>
      </c>
      <c r="BQ1485">
        <v>40100362</v>
      </c>
      <c r="BR1485" s="15" t="s">
        <v>250</v>
      </c>
      <c r="BS1485" t="s">
        <v>244</v>
      </c>
      <c r="BT1485" t="s">
        <v>2115</v>
      </c>
      <c r="BU1485" t="s">
        <v>681</v>
      </c>
      <c r="BV1485" t="s">
        <v>1153</v>
      </c>
    </row>
    <row r="1486" spans="68:74" x14ac:dyDescent="0.25">
      <c r="BP1486">
        <v>259555</v>
      </c>
      <c r="BQ1486">
        <v>40100843</v>
      </c>
      <c r="BR1486" s="15" t="s">
        <v>250</v>
      </c>
      <c r="BS1486" t="s">
        <v>244</v>
      </c>
      <c r="BT1486" t="s">
        <v>2116</v>
      </c>
      <c r="BU1486" t="s">
        <v>682</v>
      </c>
      <c r="BV1486" t="s">
        <v>1153</v>
      </c>
    </row>
    <row r="1487" spans="68:74" x14ac:dyDescent="0.25">
      <c r="BP1487">
        <v>11899</v>
      </c>
      <c r="BQ1487">
        <v>40100212</v>
      </c>
      <c r="BR1487" s="15" t="s">
        <v>250</v>
      </c>
      <c r="BS1487" t="s">
        <v>244</v>
      </c>
      <c r="BT1487" t="s">
        <v>2117</v>
      </c>
      <c r="BU1487" t="s">
        <v>681</v>
      </c>
      <c r="BV1487" t="s">
        <v>1153</v>
      </c>
    </row>
    <row r="1488" spans="68:74" x14ac:dyDescent="0.25">
      <c r="BP1488">
        <v>11900</v>
      </c>
      <c r="BQ1488">
        <v>40100213</v>
      </c>
      <c r="BR1488" s="15" t="s">
        <v>250</v>
      </c>
      <c r="BS1488" t="s">
        <v>244</v>
      </c>
      <c r="BT1488" t="s">
        <v>2117</v>
      </c>
      <c r="BU1488" t="s">
        <v>682</v>
      </c>
      <c r="BV1488" t="s">
        <v>1153</v>
      </c>
    </row>
    <row r="1489" spans="68:74" x14ac:dyDescent="0.25">
      <c r="BP1489">
        <v>11972</v>
      </c>
      <c r="BQ1489">
        <v>4010003216</v>
      </c>
      <c r="BR1489" s="15" t="s">
        <v>250</v>
      </c>
      <c r="BS1489" t="s">
        <v>244</v>
      </c>
      <c r="BT1489" t="s">
        <v>2118</v>
      </c>
      <c r="BU1489" t="s">
        <v>682</v>
      </c>
      <c r="BV1489" t="s">
        <v>1153</v>
      </c>
    </row>
    <row r="1490" spans="68:74" x14ac:dyDescent="0.25">
      <c r="BP1490">
        <v>11988</v>
      </c>
      <c r="BQ1490">
        <v>4010003319</v>
      </c>
      <c r="BR1490" s="15" t="s">
        <v>250</v>
      </c>
      <c r="BS1490" t="s">
        <v>244</v>
      </c>
      <c r="BT1490" t="s">
        <v>2119</v>
      </c>
      <c r="BU1490" t="s">
        <v>682</v>
      </c>
      <c r="BV1490" t="s">
        <v>1153</v>
      </c>
    </row>
    <row r="1491" spans="68:74" x14ac:dyDescent="0.25">
      <c r="BQ1491">
        <v>4010003303</v>
      </c>
      <c r="BR1491" s="15" t="s">
        <v>250</v>
      </c>
      <c r="BS1491" t="s">
        <v>244</v>
      </c>
      <c r="BT1491" t="s">
        <v>2120</v>
      </c>
      <c r="BU1491" t="s">
        <v>682</v>
      </c>
      <c r="BV1491" t="s">
        <v>1153</v>
      </c>
    </row>
    <row r="1492" spans="68:74" x14ac:dyDescent="0.25">
      <c r="BP1492">
        <v>11897</v>
      </c>
      <c r="BQ1492">
        <v>40100172</v>
      </c>
      <c r="BR1492" s="15" t="s">
        <v>250</v>
      </c>
      <c r="BS1492" t="s">
        <v>244</v>
      </c>
      <c r="BT1492" t="s">
        <v>2121</v>
      </c>
      <c r="BU1492" t="s">
        <v>681</v>
      </c>
      <c r="BV1492" t="s">
        <v>1153</v>
      </c>
    </row>
    <row r="1493" spans="68:74" x14ac:dyDescent="0.25">
      <c r="BP1493">
        <v>11935</v>
      </c>
      <c r="BQ1493">
        <v>40100593</v>
      </c>
      <c r="BR1493" s="15" t="s">
        <v>250</v>
      </c>
      <c r="BS1493" t="s">
        <v>244</v>
      </c>
      <c r="BT1493" t="s">
        <v>2121</v>
      </c>
      <c r="BU1493" t="s">
        <v>682</v>
      </c>
      <c r="BV1493" t="s">
        <v>1153</v>
      </c>
    </row>
    <row r="1494" spans="68:74" x14ac:dyDescent="0.25">
      <c r="BP1494">
        <v>12021</v>
      </c>
      <c r="BQ1494">
        <v>4010017201</v>
      </c>
      <c r="BR1494" s="15" t="s">
        <v>250</v>
      </c>
      <c r="BS1494" t="s">
        <v>244</v>
      </c>
      <c r="BT1494" t="s">
        <v>2122</v>
      </c>
      <c r="BU1494" t="s">
        <v>682</v>
      </c>
      <c r="BV1494" t="s">
        <v>1153</v>
      </c>
    </row>
    <row r="1495" spans="68:74" x14ac:dyDescent="0.25">
      <c r="BP1495">
        <v>11993</v>
      </c>
      <c r="BQ1495">
        <v>4010003323</v>
      </c>
      <c r="BR1495" s="15" t="s">
        <v>250</v>
      </c>
      <c r="BS1495" t="s">
        <v>244</v>
      </c>
      <c r="BT1495" t="s">
        <v>2123</v>
      </c>
      <c r="BU1495" t="s">
        <v>682</v>
      </c>
      <c r="BV1495" t="s">
        <v>1153</v>
      </c>
    </row>
    <row r="1496" spans="68:74" x14ac:dyDescent="0.25">
      <c r="BP1496">
        <v>11974</v>
      </c>
      <c r="BQ1496">
        <v>4010003304</v>
      </c>
      <c r="BR1496" s="15" t="s">
        <v>250</v>
      </c>
      <c r="BS1496" t="s">
        <v>244</v>
      </c>
      <c r="BT1496" t="s">
        <v>2124</v>
      </c>
      <c r="BU1496" t="s">
        <v>682</v>
      </c>
      <c r="BV1496" t="s">
        <v>1153</v>
      </c>
    </row>
    <row r="1497" spans="68:74" x14ac:dyDescent="0.25">
      <c r="BP1497">
        <v>12023</v>
      </c>
      <c r="BQ1497">
        <v>4010017202</v>
      </c>
      <c r="BR1497" s="15" t="s">
        <v>250</v>
      </c>
      <c r="BS1497" t="s">
        <v>244</v>
      </c>
      <c r="BT1497" t="s">
        <v>2124</v>
      </c>
      <c r="BU1497" t="s">
        <v>682</v>
      </c>
      <c r="BV1497" t="s">
        <v>1153</v>
      </c>
    </row>
    <row r="1498" spans="68:74" x14ac:dyDescent="0.25">
      <c r="BP1498">
        <v>11975</v>
      </c>
      <c r="BQ1498">
        <v>4010003305</v>
      </c>
      <c r="BR1498" s="15" t="s">
        <v>250</v>
      </c>
      <c r="BS1498" t="s">
        <v>244</v>
      </c>
      <c r="BT1498" t="s">
        <v>2125</v>
      </c>
      <c r="BU1498" t="s">
        <v>682</v>
      </c>
      <c r="BV1498" t="s">
        <v>1153</v>
      </c>
    </row>
    <row r="1499" spans="68:74" x14ac:dyDescent="0.25">
      <c r="BQ1499">
        <v>4010003306</v>
      </c>
      <c r="BR1499" s="15" t="s">
        <v>250</v>
      </c>
      <c r="BS1499" t="s">
        <v>244</v>
      </c>
      <c r="BT1499" t="s">
        <v>2126</v>
      </c>
      <c r="BU1499" t="s">
        <v>682</v>
      </c>
      <c r="BV1499" t="s">
        <v>1153</v>
      </c>
    </row>
    <row r="1500" spans="68:74" x14ac:dyDescent="0.25">
      <c r="BP1500">
        <v>458410</v>
      </c>
      <c r="BQ1500">
        <v>40100863</v>
      </c>
      <c r="BR1500" s="15" t="s">
        <v>250</v>
      </c>
      <c r="BS1500" t="s">
        <v>244</v>
      </c>
      <c r="BT1500" t="s">
        <v>6148</v>
      </c>
      <c r="BU1500" t="s">
        <v>682</v>
      </c>
      <c r="BV1500" t="s">
        <v>1153</v>
      </c>
    </row>
    <row r="1501" spans="68:74" x14ac:dyDescent="0.25">
      <c r="BP1501">
        <v>12005</v>
      </c>
      <c r="BQ1501">
        <v>4010011302</v>
      </c>
      <c r="BR1501" s="15" t="s">
        <v>250</v>
      </c>
      <c r="BS1501" t="s">
        <v>244</v>
      </c>
      <c r="BT1501" t="s">
        <v>2127</v>
      </c>
      <c r="BU1501" t="s">
        <v>682</v>
      </c>
      <c r="BV1501" t="s">
        <v>1153</v>
      </c>
    </row>
    <row r="1502" spans="68:74" x14ac:dyDescent="0.25">
      <c r="BP1502">
        <v>12007</v>
      </c>
      <c r="BQ1502">
        <v>4010011302</v>
      </c>
      <c r="BR1502" s="15" t="s">
        <v>250</v>
      </c>
      <c r="BS1502" t="s">
        <v>244</v>
      </c>
      <c r="BT1502" t="s">
        <v>2127</v>
      </c>
      <c r="BU1502" t="s">
        <v>682</v>
      </c>
      <c r="BV1502" t="s">
        <v>1149</v>
      </c>
    </row>
    <row r="1503" spans="68:74" x14ac:dyDescent="0.25">
      <c r="BP1503">
        <v>12010</v>
      </c>
      <c r="BQ1503">
        <v>4010011303</v>
      </c>
      <c r="BR1503" s="15" t="s">
        <v>250</v>
      </c>
      <c r="BS1503" t="s">
        <v>244</v>
      </c>
      <c r="BT1503" t="s">
        <v>2127</v>
      </c>
      <c r="BU1503" t="s">
        <v>682</v>
      </c>
      <c r="BV1503" t="s">
        <v>1149</v>
      </c>
    </row>
    <row r="1504" spans="68:74" x14ac:dyDescent="0.25">
      <c r="BP1504">
        <v>12008</v>
      </c>
      <c r="BQ1504">
        <v>4010011303</v>
      </c>
      <c r="BR1504" s="15" t="s">
        <v>250</v>
      </c>
      <c r="BS1504" t="s">
        <v>244</v>
      </c>
      <c r="BT1504" t="s">
        <v>2127</v>
      </c>
      <c r="BU1504" t="s">
        <v>682</v>
      </c>
      <c r="BV1504" t="s">
        <v>1153</v>
      </c>
    </row>
    <row r="1505" spans="68:74" x14ac:dyDescent="0.25">
      <c r="BQ1505">
        <v>4010002306</v>
      </c>
      <c r="BR1505" s="15" t="s">
        <v>250</v>
      </c>
      <c r="BS1505" t="s">
        <v>244</v>
      </c>
      <c r="BT1505" t="s">
        <v>2128</v>
      </c>
      <c r="BU1505" t="s">
        <v>682</v>
      </c>
      <c r="BV1505" t="s">
        <v>1153</v>
      </c>
    </row>
    <row r="1506" spans="68:74" x14ac:dyDescent="0.25">
      <c r="BP1506">
        <v>11966</v>
      </c>
      <c r="BQ1506">
        <v>4010002304</v>
      </c>
      <c r="BR1506" s="15" t="s">
        <v>250</v>
      </c>
      <c r="BS1506" t="s">
        <v>244</v>
      </c>
      <c r="BT1506" t="s">
        <v>2129</v>
      </c>
      <c r="BU1506" t="s">
        <v>682</v>
      </c>
      <c r="BV1506" t="s">
        <v>1153</v>
      </c>
    </row>
    <row r="1507" spans="68:74" x14ac:dyDescent="0.25">
      <c r="BP1507">
        <v>11967</v>
      </c>
      <c r="BQ1507">
        <v>4010002304</v>
      </c>
      <c r="BR1507" s="15" t="s">
        <v>250</v>
      </c>
      <c r="BS1507" t="s">
        <v>244</v>
      </c>
      <c r="BT1507" t="s">
        <v>2129</v>
      </c>
      <c r="BU1507" t="s">
        <v>682</v>
      </c>
      <c r="BV1507" t="s">
        <v>1149</v>
      </c>
    </row>
    <row r="1508" spans="68:74" x14ac:dyDescent="0.25">
      <c r="BQ1508">
        <v>4010002307</v>
      </c>
      <c r="BR1508" s="15" t="s">
        <v>250</v>
      </c>
      <c r="BS1508" t="s">
        <v>244</v>
      </c>
      <c r="BT1508" t="s">
        <v>2130</v>
      </c>
      <c r="BU1508" t="s">
        <v>682</v>
      </c>
      <c r="BV1508" t="s">
        <v>1153</v>
      </c>
    </row>
    <row r="1509" spans="68:74" x14ac:dyDescent="0.25">
      <c r="BQ1509">
        <v>4010003307</v>
      </c>
      <c r="BR1509" s="15" t="s">
        <v>250</v>
      </c>
      <c r="BS1509" t="s">
        <v>244</v>
      </c>
      <c r="BT1509" t="s">
        <v>2131</v>
      </c>
      <c r="BU1509" t="s">
        <v>682</v>
      </c>
      <c r="BV1509" t="s">
        <v>1153</v>
      </c>
    </row>
    <row r="1510" spans="68:74" x14ac:dyDescent="0.25">
      <c r="BQ1510">
        <v>4010003308</v>
      </c>
      <c r="BR1510" s="15" t="s">
        <v>250</v>
      </c>
      <c r="BS1510" t="s">
        <v>244</v>
      </c>
      <c r="BT1510" t="s">
        <v>2132</v>
      </c>
      <c r="BU1510" t="s">
        <v>682</v>
      </c>
      <c r="BV1510" t="s">
        <v>1153</v>
      </c>
    </row>
    <row r="1511" spans="68:74" x14ac:dyDescent="0.25">
      <c r="BP1511">
        <v>11977</v>
      </c>
      <c r="BQ1511">
        <v>4010003309</v>
      </c>
      <c r="BR1511" s="15" t="s">
        <v>250</v>
      </c>
      <c r="BS1511" t="s">
        <v>244</v>
      </c>
      <c r="BT1511" t="s">
        <v>2133</v>
      </c>
      <c r="BU1511" t="s">
        <v>682</v>
      </c>
      <c r="BV1511" t="s">
        <v>1153</v>
      </c>
    </row>
    <row r="1512" spans="68:74" x14ac:dyDescent="0.25">
      <c r="BP1512">
        <v>11929</v>
      </c>
      <c r="BQ1512">
        <v>40100382</v>
      </c>
      <c r="BR1512" s="15" t="s">
        <v>250</v>
      </c>
      <c r="BS1512" t="s">
        <v>244</v>
      </c>
      <c r="BT1512" t="s">
        <v>2134</v>
      </c>
      <c r="BU1512" t="s">
        <v>681</v>
      </c>
      <c r="BV1512" t="s">
        <v>1149</v>
      </c>
    </row>
    <row r="1513" spans="68:74" x14ac:dyDescent="0.25">
      <c r="BP1513">
        <v>11927</v>
      </c>
      <c r="BQ1513">
        <v>40100382</v>
      </c>
      <c r="BR1513" s="15" t="s">
        <v>250</v>
      </c>
      <c r="BS1513" t="s">
        <v>244</v>
      </c>
      <c r="BT1513" t="s">
        <v>2134</v>
      </c>
      <c r="BU1513" t="s">
        <v>681</v>
      </c>
      <c r="BV1513" t="s">
        <v>1153</v>
      </c>
    </row>
    <row r="1514" spans="68:74" x14ac:dyDescent="0.25">
      <c r="BP1514">
        <v>12029</v>
      </c>
      <c r="BQ1514">
        <v>4010038304</v>
      </c>
      <c r="BR1514" s="15" t="s">
        <v>250</v>
      </c>
      <c r="BS1514" t="s">
        <v>244</v>
      </c>
      <c r="BT1514" t="s">
        <v>2134</v>
      </c>
      <c r="BU1514" t="s">
        <v>682</v>
      </c>
      <c r="BV1514" t="s">
        <v>1153</v>
      </c>
    </row>
    <row r="1515" spans="68:74" x14ac:dyDescent="0.25">
      <c r="BQ1515">
        <v>4010003316</v>
      </c>
      <c r="BR1515" s="15" t="s">
        <v>250</v>
      </c>
      <c r="BS1515" t="s">
        <v>244</v>
      </c>
      <c r="BT1515" t="s">
        <v>2135</v>
      </c>
      <c r="BU1515" t="s">
        <v>682</v>
      </c>
      <c r="BV1515" t="s">
        <v>1153</v>
      </c>
    </row>
    <row r="1516" spans="68:74" x14ac:dyDescent="0.25">
      <c r="BP1516">
        <v>12024</v>
      </c>
      <c r="BQ1516">
        <v>4010038301</v>
      </c>
      <c r="BR1516" s="15" t="s">
        <v>250</v>
      </c>
      <c r="BS1516" t="s">
        <v>244</v>
      </c>
      <c r="BT1516" t="s">
        <v>2135</v>
      </c>
      <c r="BU1516" t="s">
        <v>682</v>
      </c>
      <c r="BV1516" t="s">
        <v>1153</v>
      </c>
    </row>
    <row r="1517" spans="68:74" x14ac:dyDescent="0.25">
      <c r="BP1517">
        <v>12025</v>
      </c>
      <c r="BQ1517">
        <v>4010038302</v>
      </c>
      <c r="BR1517" s="15" t="s">
        <v>250</v>
      </c>
      <c r="BS1517" t="s">
        <v>244</v>
      </c>
      <c r="BT1517" t="s">
        <v>2136</v>
      </c>
      <c r="BU1517" t="s">
        <v>682</v>
      </c>
      <c r="BV1517" t="s">
        <v>1153</v>
      </c>
    </row>
    <row r="1518" spans="68:74" x14ac:dyDescent="0.25">
      <c r="BP1518">
        <v>12027</v>
      </c>
      <c r="BQ1518">
        <v>4010038303</v>
      </c>
      <c r="BR1518" s="15" t="s">
        <v>250</v>
      </c>
      <c r="BS1518" t="s">
        <v>244</v>
      </c>
      <c r="BT1518" t="s">
        <v>2137</v>
      </c>
      <c r="BU1518" t="s">
        <v>682</v>
      </c>
      <c r="BV1518" t="s">
        <v>1149</v>
      </c>
    </row>
    <row r="1519" spans="68:74" x14ac:dyDescent="0.25">
      <c r="BQ1519">
        <v>4010003324</v>
      </c>
      <c r="BR1519" s="15" t="s">
        <v>250</v>
      </c>
      <c r="BS1519" t="s">
        <v>244</v>
      </c>
      <c r="BT1519" t="s">
        <v>2138</v>
      </c>
      <c r="BU1519" t="s">
        <v>682</v>
      </c>
      <c r="BV1519" t="s">
        <v>1149</v>
      </c>
    </row>
    <row r="1520" spans="68:74" x14ac:dyDescent="0.25">
      <c r="BP1520">
        <v>11996</v>
      </c>
      <c r="BQ1520">
        <v>4010003327</v>
      </c>
      <c r="BR1520" s="15" t="s">
        <v>250</v>
      </c>
      <c r="BS1520" t="s">
        <v>244</v>
      </c>
      <c r="BT1520" t="s">
        <v>2139</v>
      </c>
      <c r="BU1520" t="s">
        <v>682</v>
      </c>
      <c r="BV1520" t="s">
        <v>1153</v>
      </c>
    </row>
    <row r="1521" spans="68:74" x14ac:dyDescent="0.25">
      <c r="BP1521">
        <v>11940</v>
      </c>
      <c r="BQ1521">
        <v>40100673</v>
      </c>
      <c r="BR1521" s="15" t="s">
        <v>250</v>
      </c>
      <c r="BS1521" t="s">
        <v>244</v>
      </c>
      <c r="BT1521" t="s">
        <v>2140</v>
      </c>
      <c r="BU1521" t="s">
        <v>682</v>
      </c>
      <c r="BV1521" t="s">
        <v>1149</v>
      </c>
    </row>
    <row r="1522" spans="68:74" x14ac:dyDescent="0.25">
      <c r="BP1522">
        <v>11938</v>
      </c>
      <c r="BQ1522">
        <v>40100673</v>
      </c>
      <c r="BR1522" s="15" t="s">
        <v>250</v>
      </c>
      <c r="BS1522" t="s">
        <v>244</v>
      </c>
      <c r="BT1522" t="s">
        <v>2140</v>
      </c>
      <c r="BU1522" t="s">
        <v>682</v>
      </c>
      <c r="BV1522" t="s">
        <v>1153</v>
      </c>
    </row>
    <row r="1523" spans="68:74" x14ac:dyDescent="0.25">
      <c r="BP1523">
        <v>11989</v>
      </c>
      <c r="BQ1523">
        <v>4010003320</v>
      </c>
      <c r="BR1523" s="15" t="s">
        <v>250</v>
      </c>
      <c r="BS1523" t="s">
        <v>244</v>
      </c>
      <c r="BT1523" t="s">
        <v>2141</v>
      </c>
      <c r="BU1523" t="s">
        <v>682</v>
      </c>
      <c r="BV1523" t="s">
        <v>1153</v>
      </c>
    </row>
    <row r="1524" spans="68:74" x14ac:dyDescent="0.25">
      <c r="BP1524">
        <v>11978</v>
      </c>
      <c r="BQ1524">
        <v>4010003310</v>
      </c>
      <c r="BR1524" s="15" t="s">
        <v>250</v>
      </c>
      <c r="BS1524" t="s">
        <v>244</v>
      </c>
      <c r="BT1524" t="s">
        <v>2142</v>
      </c>
      <c r="BU1524" t="s">
        <v>682</v>
      </c>
      <c r="BV1524" t="s">
        <v>1153</v>
      </c>
    </row>
    <row r="1525" spans="68:74" x14ac:dyDescent="0.25">
      <c r="BP1525">
        <v>11987</v>
      </c>
      <c r="BQ1525">
        <v>4010003318</v>
      </c>
      <c r="BR1525" s="15" t="s">
        <v>250</v>
      </c>
      <c r="BS1525" t="s">
        <v>244</v>
      </c>
      <c r="BT1525" t="s">
        <v>2143</v>
      </c>
      <c r="BU1525" t="s">
        <v>682</v>
      </c>
      <c r="BV1525" t="s">
        <v>1153</v>
      </c>
    </row>
    <row r="1526" spans="68:74" x14ac:dyDescent="0.25">
      <c r="BP1526">
        <v>11991</v>
      </c>
      <c r="BQ1526">
        <v>4010003321</v>
      </c>
      <c r="BR1526" s="15" t="s">
        <v>250</v>
      </c>
      <c r="BS1526" t="s">
        <v>244</v>
      </c>
      <c r="BT1526" t="s">
        <v>2144</v>
      </c>
      <c r="BU1526" t="s">
        <v>682</v>
      </c>
      <c r="BV1526" t="s">
        <v>1153</v>
      </c>
    </row>
    <row r="1527" spans="68:74" x14ac:dyDescent="0.25">
      <c r="BP1527">
        <v>11994</v>
      </c>
      <c r="BQ1527">
        <v>4010003325</v>
      </c>
      <c r="BR1527" s="15" t="s">
        <v>250</v>
      </c>
      <c r="BS1527" t="s">
        <v>244</v>
      </c>
      <c r="BT1527" t="s">
        <v>2145</v>
      </c>
      <c r="BU1527" t="s">
        <v>682</v>
      </c>
      <c r="BV1527" t="s">
        <v>1153</v>
      </c>
    </row>
    <row r="1528" spans="68:74" x14ac:dyDescent="0.25">
      <c r="BP1528">
        <v>11883</v>
      </c>
      <c r="BQ1528">
        <v>40100032</v>
      </c>
      <c r="BR1528" s="15" t="s">
        <v>250</v>
      </c>
      <c r="BS1528" t="s">
        <v>244</v>
      </c>
      <c r="BT1528" t="s">
        <v>2146</v>
      </c>
      <c r="BU1528" t="s">
        <v>681</v>
      </c>
      <c r="BV1528" t="s">
        <v>1153</v>
      </c>
    </row>
    <row r="1529" spans="68:74" x14ac:dyDescent="0.25">
      <c r="BP1529">
        <v>11885</v>
      </c>
      <c r="BQ1529">
        <v>40100032</v>
      </c>
      <c r="BR1529" s="15" t="s">
        <v>250</v>
      </c>
      <c r="BS1529" t="s">
        <v>244</v>
      </c>
      <c r="BT1529" t="s">
        <v>2146</v>
      </c>
      <c r="BU1529" t="s">
        <v>681</v>
      </c>
      <c r="BV1529" t="s">
        <v>1149</v>
      </c>
    </row>
    <row r="1530" spans="68:74" x14ac:dyDescent="0.25">
      <c r="BP1530">
        <v>11886</v>
      </c>
      <c r="BQ1530">
        <v>40100033</v>
      </c>
      <c r="BR1530" s="15" t="s">
        <v>250</v>
      </c>
      <c r="BS1530" t="s">
        <v>244</v>
      </c>
      <c r="BT1530" t="s">
        <v>2146</v>
      </c>
      <c r="BU1530" t="s">
        <v>682</v>
      </c>
      <c r="BV1530" t="s">
        <v>1149</v>
      </c>
    </row>
    <row r="1531" spans="68:74" x14ac:dyDescent="0.25">
      <c r="BQ1531">
        <v>40100053</v>
      </c>
      <c r="BR1531" s="15" t="s">
        <v>250</v>
      </c>
      <c r="BS1531" t="s">
        <v>244</v>
      </c>
      <c r="BT1531" t="s">
        <v>2146</v>
      </c>
      <c r="BU1531" t="s">
        <v>682</v>
      </c>
      <c r="BV1531" t="s">
        <v>680</v>
      </c>
    </row>
    <row r="1532" spans="68:74" x14ac:dyDescent="0.25">
      <c r="BP1532">
        <v>11973</v>
      </c>
      <c r="BQ1532">
        <v>4010003301</v>
      </c>
      <c r="BR1532" s="15" t="s">
        <v>250</v>
      </c>
      <c r="BS1532" t="s">
        <v>244</v>
      </c>
      <c r="BT1532" t="s">
        <v>2146</v>
      </c>
      <c r="BU1532" t="s">
        <v>682</v>
      </c>
      <c r="BV1532" t="s">
        <v>1153</v>
      </c>
    </row>
    <row r="1533" spans="68:74" x14ac:dyDescent="0.25">
      <c r="BQ1533">
        <v>4010003311</v>
      </c>
      <c r="BR1533" s="15" t="s">
        <v>250</v>
      </c>
      <c r="BS1533" t="s">
        <v>244</v>
      </c>
      <c r="BT1533" t="s">
        <v>2147</v>
      </c>
      <c r="BU1533" t="s">
        <v>682</v>
      </c>
      <c r="BV1533" t="s">
        <v>1153</v>
      </c>
    </row>
    <row r="1534" spans="68:74" x14ac:dyDescent="0.25">
      <c r="BP1534">
        <v>12020</v>
      </c>
      <c r="BQ1534">
        <v>4010011311</v>
      </c>
      <c r="BR1534" s="15" t="s">
        <v>250</v>
      </c>
      <c r="BS1534" t="s">
        <v>244</v>
      </c>
      <c r="BT1534" t="s">
        <v>2148</v>
      </c>
      <c r="BU1534" t="s">
        <v>682</v>
      </c>
      <c r="BV1534" t="s">
        <v>1149</v>
      </c>
    </row>
    <row r="1535" spans="68:74" x14ac:dyDescent="0.25">
      <c r="BP1535">
        <v>11980</v>
      </c>
      <c r="BQ1535">
        <v>4010003312</v>
      </c>
      <c r="BR1535" s="15" t="s">
        <v>250</v>
      </c>
      <c r="BS1535" t="s">
        <v>244</v>
      </c>
      <c r="BT1535" t="s">
        <v>2149</v>
      </c>
      <c r="BU1535" t="s">
        <v>682</v>
      </c>
      <c r="BV1535" t="s">
        <v>1149</v>
      </c>
    </row>
    <row r="1536" spans="68:74" x14ac:dyDescent="0.25">
      <c r="BP1536">
        <v>11979</v>
      </c>
      <c r="BQ1536">
        <v>4010003312</v>
      </c>
      <c r="BR1536" s="15" t="s">
        <v>250</v>
      </c>
      <c r="BS1536" t="s">
        <v>244</v>
      </c>
      <c r="BT1536" t="s">
        <v>2149</v>
      </c>
      <c r="BU1536" t="s">
        <v>682</v>
      </c>
      <c r="BV1536" t="s">
        <v>1153</v>
      </c>
    </row>
    <row r="1537" spans="68:74" x14ac:dyDescent="0.25">
      <c r="BP1537">
        <v>11992</v>
      </c>
      <c r="BQ1537">
        <v>4010003322</v>
      </c>
      <c r="BR1537" s="15" t="s">
        <v>250</v>
      </c>
      <c r="BS1537" t="s">
        <v>244</v>
      </c>
      <c r="BT1537" t="s">
        <v>2150</v>
      </c>
      <c r="BU1537" t="s">
        <v>682</v>
      </c>
      <c r="BV1537" t="s">
        <v>1153</v>
      </c>
    </row>
    <row r="1538" spans="68:74" x14ac:dyDescent="0.25">
      <c r="BQ1538">
        <v>4010002308</v>
      </c>
      <c r="BR1538" s="15" t="s">
        <v>250</v>
      </c>
      <c r="BS1538" t="s">
        <v>244</v>
      </c>
      <c r="BT1538" t="s">
        <v>2151</v>
      </c>
      <c r="BU1538" t="s">
        <v>682</v>
      </c>
      <c r="BV1538" t="s">
        <v>1153</v>
      </c>
    </row>
    <row r="1539" spans="68:74" x14ac:dyDescent="0.25">
      <c r="BP1539">
        <v>584275</v>
      </c>
      <c r="BQ1539">
        <v>4010003317</v>
      </c>
      <c r="BR1539" s="15" t="s">
        <v>250</v>
      </c>
      <c r="BS1539" t="s">
        <v>244</v>
      </c>
      <c r="BT1539" t="s">
        <v>2152</v>
      </c>
      <c r="BU1539" t="s">
        <v>682</v>
      </c>
      <c r="BV1539" t="s">
        <v>1153</v>
      </c>
    </row>
    <row r="1540" spans="68:74" x14ac:dyDescent="0.25">
      <c r="BP1540">
        <v>11981</v>
      </c>
      <c r="BQ1540">
        <v>4010003313</v>
      </c>
      <c r="BR1540" s="15" t="s">
        <v>250</v>
      </c>
      <c r="BS1540" t="s">
        <v>244</v>
      </c>
      <c r="BT1540" t="s">
        <v>2153</v>
      </c>
      <c r="BU1540" t="s">
        <v>682</v>
      </c>
      <c r="BV1540" t="s">
        <v>1153</v>
      </c>
    </row>
    <row r="1541" spans="68:74" x14ac:dyDescent="0.25">
      <c r="BP1541">
        <v>11937</v>
      </c>
      <c r="BQ1541">
        <v>40100632</v>
      </c>
      <c r="BR1541" s="15" t="s">
        <v>250</v>
      </c>
      <c r="BS1541" t="s">
        <v>244</v>
      </c>
      <c r="BT1541" t="s">
        <v>2154</v>
      </c>
      <c r="BU1541" t="s">
        <v>681</v>
      </c>
      <c r="BV1541" t="s">
        <v>1153</v>
      </c>
    </row>
    <row r="1542" spans="68:74" x14ac:dyDescent="0.25">
      <c r="BP1542">
        <v>11983</v>
      </c>
      <c r="BQ1542">
        <v>4010003314</v>
      </c>
      <c r="BR1542" s="15" t="s">
        <v>250</v>
      </c>
      <c r="BS1542" t="s">
        <v>244</v>
      </c>
      <c r="BT1542" t="s">
        <v>2154</v>
      </c>
      <c r="BU1542" t="s">
        <v>682</v>
      </c>
      <c r="BV1542" t="s">
        <v>1153</v>
      </c>
    </row>
    <row r="1543" spans="68:74" x14ac:dyDescent="0.25">
      <c r="BP1543">
        <v>11985</v>
      </c>
      <c r="BQ1543">
        <v>4010003315</v>
      </c>
      <c r="BR1543" s="15" t="s">
        <v>250</v>
      </c>
      <c r="BS1543" t="s">
        <v>244</v>
      </c>
      <c r="BT1543" t="s">
        <v>2154</v>
      </c>
      <c r="BU1543" t="s">
        <v>682</v>
      </c>
      <c r="BV1543" t="s">
        <v>1153</v>
      </c>
    </row>
    <row r="1544" spans="68:74" x14ac:dyDescent="0.25">
      <c r="BQ1544">
        <v>4010003326</v>
      </c>
      <c r="BR1544" s="15" t="s">
        <v>250</v>
      </c>
      <c r="BS1544" t="s">
        <v>244</v>
      </c>
      <c r="BT1544" t="s">
        <v>2155</v>
      </c>
      <c r="BU1544" t="s">
        <v>682</v>
      </c>
      <c r="BV1544" t="s">
        <v>1153</v>
      </c>
    </row>
    <row r="1545" spans="68:74" x14ac:dyDescent="0.25">
      <c r="BP1545">
        <v>11925</v>
      </c>
      <c r="BQ1545">
        <v>40100372</v>
      </c>
      <c r="BR1545" s="15" t="s">
        <v>250</v>
      </c>
      <c r="BS1545" t="s">
        <v>244</v>
      </c>
      <c r="BT1545" t="s">
        <v>2156</v>
      </c>
      <c r="BU1545" t="s">
        <v>681</v>
      </c>
      <c r="BV1545" t="s">
        <v>1153</v>
      </c>
    </row>
    <row r="1546" spans="68:74" x14ac:dyDescent="0.25">
      <c r="BQ1546">
        <v>4010002305</v>
      </c>
      <c r="BR1546" s="15" t="s">
        <v>250</v>
      </c>
      <c r="BS1546" t="s">
        <v>244</v>
      </c>
      <c r="BT1546" t="s">
        <v>2157</v>
      </c>
      <c r="BU1546" t="s">
        <v>682</v>
      </c>
      <c r="BV1546" t="s">
        <v>680</v>
      </c>
    </row>
    <row r="1547" spans="68:74" x14ac:dyDescent="0.25">
      <c r="BP1547">
        <v>12001</v>
      </c>
      <c r="BQ1547">
        <v>4010004304</v>
      </c>
      <c r="BR1547" s="15" t="s">
        <v>250</v>
      </c>
      <c r="BS1547" t="s">
        <v>244</v>
      </c>
      <c r="BT1547" t="s">
        <v>2158</v>
      </c>
      <c r="BU1547" t="s">
        <v>682</v>
      </c>
      <c r="BV1547" t="s">
        <v>1153</v>
      </c>
    </row>
    <row r="1548" spans="68:74" x14ac:dyDescent="0.25">
      <c r="BP1548">
        <v>11999</v>
      </c>
      <c r="BQ1548">
        <v>4010004303</v>
      </c>
      <c r="BR1548" s="15" t="s">
        <v>250</v>
      </c>
      <c r="BS1548" t="s">
        <v>244</v>
      </c>
      <c r="BT1548" t="s">
        <v>2159</v>
      </c>
      <c r="BU1548" t="s">
        <v>682</v>
      </c>
      <c r="BV1548" t="s">
        <v>1149</v>
      </c>
    </row>
    <row r="1549" spans="68:74" x14ac:dyDescent="0.25">
      <c r="BP1549">
        <v>11997</v>
      </c>
      <c r="BQ1549">
        <v>4010004302</v>
      </c>
      <c r="BR1549" s="15" t="s">
        <v>250</v>
      </c>
      <c r="BS1549" t="s">
        <v>244</v>
      </c>
      <c r="BT1549" t="s">
        <v>2160</v>
      </c>
      <c r="BU1549" t="s">
        <v>682</v>
      </c>
      <c r="BV1549" t="s">
        <v>1149</v>
      </c>
    </row>
    <row r="1550" spans="68:74" x14ac:dyDescent="0.25">
      <c r="BP1550">
        <v>11891</v>
      </c>
      <c r="BQ1550">
        <v>40100043</v>
      </c>
      <c r="BR1550" s="15" t="s">
        <v>250</v>
      </c>
      <c r="BS1550" t="s">
        <v>244</v>
      </c>
      <c r="BT1550" t="s">
        <v>2161</v>
      </c>
      <c r="BU1550" t="s">
        <v>682</v>
      </c>
      <c r="BV1550" t="s">
        <v>1149</v>
      </c>
    </row>
    <row r="1551" spans="68:74" x14ac:dyDescent="0.25">
      <c r="BP1551">
        <v>11890</v>
      </c>
      <c r="BQ1551">
        <v>40100043</v>
      </c>
      <c r="BR1551" s="15" t="s">
        <v>250</v>
      </c>
      <c r="BS1551" t="s">
        <v>244</v>
      </c>
      <c r="BT1551" t="s">
        <v>2161</v>
      </c>
      <c r="BU1551" t="s">
        <v>682</v>
      </c>
      <c r="BV1551" t="s">
        <v>1153</v>
      </c>
    </row>
    <row r="1552" spans="68:74" x14ac:dyDescent="0.25">
      <c r="BQ1552">
        <v>4010004301</v>
      </c>
      <c r="BR1552" s="15" t="s">
        <v>250</v>
      </c>
      <c r="BS1552" t="s">
        <v>244</v>
      </c>
      <c r="BT1552" t="s">
        <v>2161</v>
      </c>
      <c r="BU1552" t="s">
        <v>682</v>
      </c>
      <c r="BV1552" t="s">
        <v>680</v>
      </c>
    </row>
    <row r="1553" spans="68:74" x14ac:dyDescent="0.25">
      <c r="BP1553">
        <v>11888</v>
      </c>
      <c r="BQ1553">
        <v>40100042</v>
      </c>
      <c r="BR1553" s="15" t="s">
        <v>250</v>
      </c>
      <c r="BS1553" t="s">
        <v>244</v>
      </c>
      <c r="BT1553" t="s">
        <v>2162</v>
      </c>
      <c r="BU1553" t="s">
        <v>681</v>
      </c>
      <c r="BV1553" t="s">
        <v>1153</v>
      </c>
    </row>
    <row r="1554" spans="68:74" x14ac:dyDescent="0.25">
      <c r="BP1554">
        <v>12099</v>
      </c>
      <c r="BQ1554">
        <v>4020004301</v>
      </c>
      <c r="BR1554" s="15" t="s">
        <v>251</v>
      </c>
      <c r="BS1554" t="s">
        <v>245</v>
      </c>
      <c r="BT1554" t="s">
        <v>1521</v>
      </c>
      <c r="BU1554" t="s">
        <v>682</v>
      </c>
      <c r="BV1554" t="s">
        <v>1153</v>
      </c>
    </row>
    <row r="1555" spans="68:74" x14ac:dyDescent="0.25">
      <c r="BP1555">
        <v>12119</v>
      </c>
      <c r="BQ1555">
        <v>4020004320</v>
      </c>
      <c r="BR1555" s="15" t="s">
        <v>251</v>
      </c>
      <c r="BS1555" t="s">
        <v>245</v>
      </c>
      <c r="BT1555" t="s">
        <v>2163</v>
      </c>
      <c r="BU1555" t="s">
        <v>682</v>
      </c>
      <c r="BV1555" t="s">
        <v>1153</v>
      </c>
    </row>
    <row r="1556" spans="68:74" x14ac:dyDescent="0.25">
      <c r="BP1556">
        <v>12134</v>
      </c>
      <c r="BQ1556">
        <v>4020015301</v>
      </c>
      <c r="BR1556" s="15" t="s">
        <v>251</v>
      </c>
      <c r="BS1556" t="s">
        <v>245</v>
      </c>
      <c r="BT1556" t="s">
        <v>2163</v>
      </c>
      <c r="BU1556" t="s">
        <v>682</v>
      </c>
      <c r="BV1556" t="s">
        <v>1153</v>
      </c>
    </row>
    <row r="1557" spans="68:74" x14ac:dyDescent="0.25">
      <c r="BQ1557">
        <v>40200052</v>
      </c>
      <c r="BR1557" s="15" t="s">
        <v>251</v>
      </c>
      <c r="BS1557" t="s">
        <v>245</v>
      </c>
      <c r="BT1557" t="s">
        <v>2164</v>
      </c>
      <c r="BU1557" t="s">
        <v>681</v>
      </c>
      <c r="BV1557" t="s">
        <v>680</v>
      </c>
    </row>
    <row r="1558" spans="68:74" x14ac:dyDescent="0.25">
      <c r="BQ1558">
        <v>40200053</v>
      </c>
      <c r="BR1558" s="15" t="s">
        <v>251</v>
      </c>
      <c r="BS1558" t="s">
        <v>245</v>
      </c>
      <c r="BT1558" t="s">
        <v>2164</v>
      </c>
      <c r="BU1558" t="s">
        <v>682</v>
      </c>
      <c r="BV1558" t="s">
        <v>680</v>
      </c>
    </row>
    <row r="1559" spans="68:74" x14ac:dyDescent="0.25">
      <c r="BP1559">
        <v>12067</v>
      </c>
      <c r="BQ1559">
        <v>40200122</v>
      </c>
      <c r="BR1559" s="15" t="s">
        <v>251</v>
      </c>
      <c r="BS1559" t="s">
        <v>245</v>
      </c>
      <c r="BT1559" t="s">
        <v>2165</v>
      </c>
      <c r="BU1559" t="s">
        <v>681</v>
      </c>
      <c r="BV1559" t="s">
        <v>1153</v>
      </c>
    </row>
    <row r="1560" spans="68:74" x14ac:dyDescent="0.25">
      <c r="BP1560">
        <v>12100</v>
      </c>
      <c r="BQ1560">
        <v>4020004302</v>
      </c>
      <c r="BR1560" s="15" t="s">
        <v>251</v>
      </c>
      <c r="BS1560" t="s">
        <v>245</v>
      </c>
      <c r="BT1560" t="s">
        <v>2165</v>
      </c>
      <c r="BU1560" t="s">
        <v>682</v>
      </c>
      <c r="BV1560" t="s">
        <v>1153</v>
      </c>
    </row>
    <row r="1561" spans="68:74" x14ac:dyDescent="0.25">
      <c r="BP1561">
        <v>12101</v>
      </c>
      <c r="BQ1561">
        <v>4020004302</v>
      </c>
      <c r="BR1561" s="15" t="s">
        <v>251</v>
      </c>
      <c r="BS1561" t="s">
        <v>245</v>
      </c>
      <c r="BT1561" t="s">
        <v>2165</v>
      </c>
      <c r="BU1561" t="s">
        <v>682</v>
      </c>
      <c r="BV1561" t="s">
        <v>1149</v>
      </c>
    </row>
    <row r="1562" spans="68:74" x14ac:dyDescent="0.25">
      <c r="BP1562">
        <v>12122</v>
      </c>
      <c r="BQ1562">
        <v>4020012301</v>
      </c>
      <c r="BR1562" s="15" t="s">
        <v>251</v>
      </c>
      <c r="BS1562" t="s">
        <v>245</v>
      </c>
      <c r="BT1562" t="s">
        <v>2166</v>
      </c>
      <c r="BU1562" t="s">
        <v>682</v>
      </c>
      <c r="BV1562" t="s">
        <v>1149</v>
      </c>
    </row>
    <row r="1563" spans="68:74" x14ac:dyDescent="0.25">
      <c r="BP1563">
        <v>12121</v>
      </c>
      <c r="BQ1563">
        <v>4020012301</v>
      </c>
      <c r="BR1563" s="15" t="s">
        <v>251</v>
      </c>
      <c r="BS1563" t="s">
        <v>245</v>
      </c>
      <c r="BT1563" t="s">
        <v>2166</v>
      </c>
      <c r="BU1563" t="s">
        <v>682</v>
      </c>
      <c r="BV1563" t="s">
        <v>1153</v>
      </c>
    </row>
    <row r="1564" spans="68:74" x14ac:dyDescent="0.25">
      <c r="BP1564">
        <v>12102</v>
      </c>
      <c r="BQ1564">
        <v>4020004303</v>
      </c>
      <c r="BR1564" s="15" t="s">
        <v>251</v>
      </c>
      <c r="BS1564" t="s">
        <v>245</v>
      </c>
      <c r="BT1564" t="s">
        <v>2167</v>
      </c>
      <c r="BU1564" t="s">
        <v>682</v>
      </c>
      <c r="BV1564" t="s">
        <v>1153</v>
      </c>
    </row>
    <row r="1565" spans="68:74" x14ac:dyDescent="0.25">
      <c r="BP1565">
        <v>12098</v>
      </c>
      <c r="BQ1565">
        <v>4020001301</v>
      </c>
      <c r="BR1565" s="15" t="s">
        <v>251</v>
      </c>
      <c r="BS1565" t="s">
        <v>245</v>
      </c>
      <c r="BT1565" t="s">
        <v>2168</v>
      </c>
      <c r="BU1565" t="s">
        <v>682</v>
      </c>
      <c r="BV1565" t="s">
        <v>1153</v>
      </c>
    </row>
    <row r="1566" spans="68:74" x14ac:dyDescent="0.25">
      <c r="BP1566">
        <v>12071</v>
      </c>
      <c r="BQ1566">
        <v>40200152</v>
      </c>
      <c r="BR1566" s="15" t="s">
        <v>251</v>
      </c>
      <c r="BS1566" t="s">
        <v>245</v>
      </c>
      <c r="BT1566" t="s">
        <v>2169</v>
      </c>
      <c r="BU1566" t="s">
        <v>681</v>
      </c>
      <c r="BV1566" t="s">
        <v>1153</v>
      </c>
    </row>
    <row r="1567" spans="68:74" x14ac:dyDescent="0.25">
      <c r="BP1567">
        <v>550154</v>
      </c>
      <c r="BQ1567">
        <v>40200673</v>
      </c>
      <c r="BR1567" s="15" t="s">
        <v>251</v>
      </c>
      <c r="BS1567" t="s">
        <v>245</v>
      </c>
      <c r="BT1567" t="s">
        <v>5677</v>
      </c>
      <c r="BU1567" t="s">
        <v>682</v>
      </c>
      <c r="BV1567" t="s">
        <v>1153</v>
      </c>
    </row>
    <row r="1568" spans="68:74" x14ac:dyDescent="0.25">
      <c r="BQ1568">
        <v>4020004304</v>
      </c>
      <c r="BR1568" s="15" t="s">
        <v>251</v>
      </c>
      <c r="BS1568" t="s">
        <v>245</v>
      </c>
      <c r="BT1568" t="s">
        <v>2170</v>
      </c>
      <c r="BU1568" t="s">
        <v>682</v>
      </c>
      <c r="BV1568" t="s">
        <v>1153</v>
      </c>
    </row>
    <row r="1569" spans="68:74" x14ac:dyDescent="0.25">
      <c r="BP1569">
        <v>583049</v>
      </c>
      <c r="BQ1569">
        <v>4020004304</v>
      </c>
      <c r="BR1569" s="15" t="s">
        <v>251</v>
      </c>
      <c r="BS1569" t="s">
        <v>245</v>
      </c>
      <c r="BT1569" t="s">
        <v>2170</v>
      </c>
      <c r="BU1569" t="s">
        <v>682</v>
      </c>
      <c r="BV1569" t="s">
        <v>1149</v>
      </c>
    </row>
    <row r="1570" spans="68:74" x14ac:dyDescent="0.25">
      <c r="BP1570">
        <v>12141</v>
      </c>
      <c r="BQ1570">
        <v>4020015307</v>
      </c>
      <c r="BR1570" s="15" t="s">
        <v>251</v>
      </c>
      <c r="BS1570" t="s">
        <v>245</v>
      </c>
      <c r="BT1570" t="s">
        <v>2171</v>
      </c>
      <c r="BU1570" t="s">
        <v>682</v>
      </c>
      <c r="BV1570" t="s">
        <v>1153</v>
      </c>
    </row>
    <row r="1571" spans="68:74" x14ac:dyDescent="0.25">
      <c r="BP1571">
        <v>12144</v>
      </c>
      <c r="BQ1571">
        <v>4020015307</v>
      </c>
      <c r="BR1571" s="15" t="s">
        <v>251</v>
      </c>
      <c r="BS1571" t="s">
        <v>245</v>
      </c>
      <c r="BT1571" t="s">
        <v>2171</v>
      </c>
      <c r="BU1571" t="s">
        <v>682</v>
      </c>
      <c r="BV1571" t="s">
        <v>1149</v>
      </c>
    </row>
    <row r="1572" spans="68:74" x14ac:dyDescent="0.25">
      <c r="BP1572">
        <v>188685</v>
      </c>
      <c r="BQ1572">
        <v>40200583</v>
      </c>
      <c r="BR1572" s="15" t="s">
        <v>251</v>
      </c>
      <c r="BS1572" t="s">
        <v>245</v>
      </c>
      <c r="BT1572" t="s">
        <v>2172</v>
      </c>
      <c r="BU1572" t="s">
        <v>682</v>
      </c>
      <c r="BV1572" t="s">
        <v>1149</v>
      </c>
    </row>
    <row r="1573" spans="68:74" x14ac:dyDescent="0.25">
      <c r="BP1573">
        <v>12104</v>
      </c>
      <c r="BQ1573">
        <v>4020004305</v>
      </c>
      <c r="BR1573" s="15" t="s">
        <v>251</v>
      </c>
      <c r="BS1573" t="s">
        <v>245</v>
      </c>
      <c r="BT1573" t="s">
        <v>2173</v>
      </c>
      <c r="BU1573" t="s">
        <v>682</v>
      </c>
      <c r="BV1573" t="s">
        <v>1149</v>
      </c>
    </row>
    <row r="1574" spans="68:74" x14ac:dyDescent="0.25">
      <c r="BP1574">
        <v>12103</v>
      </c>
      <c r="BQ1574">
        <v>4020004305</v>
      </c>
      <c r="BR1574" s="15" t="s">
        <v>251</v>
      </c>
      <c r="BS1574" t="s">
        <v>245</v>
      </c>
      <c r="BT1574" t="s">
        <v>2173</v>
      </c>
      <c r="BU1574" t="s">
        <v>682</v>
      </c>
      <c r="BV1574" t="s">
        <v>1153</v>
      </c>
    </row>
    <row r="1575" spans="68:74" x14ac:dyDescent="0.25">
      <c r="BP1575">
        <v>12058</v>
      </c>
      <c r="BQ1575">
        <v>40200012</v>
      </c>
      <c r="BR1575" s="15" t="s">
        <v>251</v>
      </c>
      <c r="BS1575" t="s">
        <v>245</v>
      </c>
      <c r="BT1575" t="s">
        <v>2174</v>
      </c>
      <c r="BU1575" t="s">
        <v>681</v>
      </c>
      <c r="BV1575" t="s">
        <v>1153</v>
      </c>
    </row>
    <row r="1576" spans="68:74" x14ac:dyDescent="0.25">
      <c r="BP1576">
        <v>12105</v>
      </c>
      <c r="BQ1576">
        <v>4020004306</v>
      </c>
      <c r="BR1576" s="15" t="s">
        <v>251</v>
      </c>
      <c r="BS1576" t="s">
        <v>245</v>
      </c>
      <c r="BT1576" t="s">
        <v>2175</v>
      </c>
      <c r="BU1576" t="s">
        <v>682</v>
      </c>
      <c r="BV1576" t="s">
        <v>1153</v>
      </c>
    </row>
    <row r="1577" spans="68:74" x14ac:dyDescent="0.25">
      <c r="BQ1577">
        <v>4020004321</v>
      </c>
      <c r="BR1577" s="15" t="s">
        <v>251</v>
      </c>
      <c r="BS1577" t="s">
        <v>245</v>
      </c>
      <c r="BT1577" t="s">
        <v>2176</v>
      </c>
      <c r="BU1577" t="s">
        <v>682</v>
      </c>
      <c r="BV1577" t="s">
        <v>1153</v>
      </c>
    </row>
    <row r="1578" spans="68:74" x14ac:dyDescent="0.25">
      <c r="BP1578">
        <v>12106</v>
      </c>
      <c r="BQ1578">
        <v>4020004307</v>
      </c>
      <c r="BR1578" s="15" t="s">
        <v>251</v>
      </c>
      <c r="BS1578" t="s">
        <v>245</v>
      </c>
      <c r="BT1578" t="s">
        <v>2177</v>
      </c>
      <c r="BU1578" t="s">
        <v>682</v>
      </c>
      <c r="BV1578" t="s">
        <v>1153</v>
      </c>
    </row>
    <row r="1579" spans="68:74" x14ac:dyDescent="0.25">
      <c r="BP1579">
        <v>12125</v>
      </c>
      <c r="BQ1579">
        <v>4020012303</v>
      </c>
      <c r="BR1579" s="15" t="s">
        <v>251</v>
      </c>
      <c r="BS1579" t="s">
        <v>245</v>
      </c>
      <c r="BT1579" t="s">
        <v>2178</v>
      </c>
      <c r="BU1579" t="s">
        <v>682</v>
      </c>
      <c r="BV1579" t="s">
        <v>1153</v>
      </c>
    </row>
    <row r="1580" spans="68:74" x14ac:dyDescent="0.25">
      <c r="BP1580">
        <v>12107</v>
      </c>
      <c r="BQ1580">
        <v>4020004308</v>
      </c>
      <c r="BR1580" s="15" t="s">
        <v>251</v>
      </c>
      <c r="BS1580" t="s">
        <v>245</v>
      </c>
      <c r="BT1580" t="s">
        <v>2179</v>
      </c>
      <c r="BU1580" t="s">
        <v>682</v>
      </c>
      <c r="BV1580" t="s">
        <v>1153</v>
      </c>
    </row>
    <row r="1581" spans="68:74" x14ac:dyDescent="0.25">
      <c r="BP1581">
        <v>12124</v>
      </c>
      <c r="BQ1581">
        <v>4020012302</v>
      </c>
      <c r="BR1581" s="15" t="s">
        <v>251</v>
      </c>
      <c r="BS1581" t="s">
        <v>245</v>
      </c>
      <c r="BT1581" t="s">
        <v>2180</v>
      </c>
      <c r="BU1581" t="s">
        <v>682</v>
      </c>
      <c r="BV1581" t="s">
        <v>1153</v>
      </c>
    </row>
    <row r="1582" spans="68:74" x14ac:dyDescent="0.25">
      <c r="BQ1582">
        <v>4020004309</v>
      </c>
      <c r="BR1582" s="15" t="s">
        <v>251</v>
      </c>
      <c r="BS1582" t="s">
        <v>245</v>
      </c>
      <c r="BT1582" t="s">
        <v>2181</v>
      </c>
      <c r="BU1582" t="s">
        <v>682</v>
      </c>
      <c r="BV1582" t="s">
        <v>1153</v>
      </c>
    </row>
    <row r="1583" spans="68:74" x14ac:dyDescent="0.25">
      <c r="BQ1583">
        <v>4020004310</v>
      </c>
      <c r="BR1583" s="15" t="s">
        <v>251</v>
      </c>
      <c r="BS1583" t="s">
        <v>245</v>
      </c>
      <c r="BT1583" t="s">
        <v>2182</v>
      </c>
      <c r="BU1583" t="s">
        <v>682</v>
      </c>
      <c r="BV1583" t="s">
        <v>1153</v>
      </c>
    </row>
    <row r="1584" spans="68:74" x14ac:dyDescent="0.25">
      <c r="BQ1584">
        <v>4020015302</v>
      </c>
      <c r="BR1584" s="15" t="s">
        <v>251</v>
      </c>
      <c r="BS1584" t="s">
        <v>245</v>
      </c>
      <c r="BT1584" t="s">
        <v>2183</v>
      </c>
      <c r="BU1584" t="s">
        <v>682</v>
      </c>
      <c r="BV1584" t="s">
        <v>1153</v>
      </c>
    </row>
    <row r="1585" spans="68:74" x14ac:dyDescent="0.25">
      <c r="BP1585">
        <v>12140</v>
      </c>
      <c r="BQ1585">
        <v>4020015306</v>
      </c>
      <c r="BR1585" s="15" t="s">
        <v>251</v>
      </c>
      <c r="BS1585" t="s">
        <v>245</v>
      </c>
      <c r="BT1585" t="s">
        <v>2184</v>
      </c>
      <c r="BU1585" t="s">
        <v>682</v>
      </c>
      <c r="BV1585" t="s">
        <v>1153</v>
      </c>
    </row>
    <row r="1586" spans="68:74" x14ac:dyDescent="0.25">
      <c r="BQ1586">
        <v>40200022</v>
      </c>
      <c r="BR1586" s="15" t="s">
        <v>251</v>
      </c>
      <c r="BS1586" t="s">
        <v>245</v>
      </c>
      <c r="BT1586" t="s">
        <v>2185</v>
      </c>
      <c r="BU1586" t="s">
        <v>681</v>
      </c>
      <c r="BV1586" t="s">
        <v>680</v>
      </c>
    </row>
    <row r="1587" spans="68:74" x14ac:dyDescent="0.25">
      <c r="BQ1587">
        <v>4020004311</v>
      </c>
      <c r="BR1587" s="15" t="s">
        <v>251</v>
      </c>
      <c r="BS1587" t="s">
        <v>245</v>
      </c>
      <c r="BT1587" t="s">
        <v>2186</v>
      </c>
      <c r="BU1587" t="s">
        <v>682</v>
      </c>
      <c r="BV1587" t="s">
        <v>1153</v>
      </c>
    </row>
    <row r="1588" spans="68:74" x14ac:dyDescent="0.25">
      <c r="BQ1588">
        <v>4020004312</v>
      </c>
      <c r="BR1588" s="15" t="s">
        <v>251</v>
      </c>
      <c r="BS1588" t="s">
        <v>245</v>
      </c>
      <c r="BT1588" t="s">
        <v>2187</v>
      </c>
      <c r="BU1588" t="s">
        <v>682</v>
      </c>
      <c r="BV1588" t="s">
        <v>1153</v>
      </c>
    </row>
    <row r="1589" spans="68:74" x14ac:dyDescent="0.25">
      <c r="BQ1589">
        <v>4020015303</v>
      </c>
      <c r="BR1589" s="15" t="s">
        <v>251</v>
      </c>
      <c r="BS1589" t="s">
        <v>245</v>
      </c>
      <c r="BT1589" t="s">
        <v>2187</v>
      </c>
      <c r="BU1589" t="s">
        <v>682</v>
      </c>
      <c r="BV1589" t="s">
        <v>1153</v>
      </c>
    </row>
    <row r="1590" spans="68:74" x14ac:dyDescent="0.25">
      <c r="BQ1590">
        <v>40200032</v>
      </c>
      <c r="BR1590" s="15" t="s">
        <v>251</v>
      </c>
      <c r="BS1590" t="s">
        <v>245</v>
      </c>
      <c r="BT1590" t="s">
        <v>2188</v>
      </c>
      <c r="BU1590" t="s">
        <v>681</v>
      </c>
      <c r="BV1590" t="s">
        <v>680</v>
      </c>
    </row>
    <row r="1591" spans="68:74" x14ac:dyDescent="0.25">
      <c r="BP1591">
        <v>12109</v>
      </c>
      <c r="BQ1591">
        <v>4020004313</v>
      </c>
      <c r="BR1591" s="15" t="s">
        <v>251</v>
      </c>
      <c r="BS1591" t="s">
        <v>245</v>
      </c>
      <c r="BT1591" t="s">
        <v>2189</v>
      </c>
      <c r="BU1591" t="s">
        <v>682</v>
      </c>
      <c r="BV1591" t="s">
        <v>1149</v>
      </c>
    </row>
    <row r="1592" spans="68:74" x14ac:dyDescent="0.25">
      <c r="BP1592">
        <v>259153</v>
      </c>
      <c r="BQ1592">
        <v>4020004313</v>
      </c>
      <c r="BR1592" s="15" t="s">
        <v>251</v>
      </c>
      <c r="BS1592" t="s">
        <v>245</v>
      </c>
      <c r="BT1592" t="s">
        <v>2189</v>
      </c>
      <c r="BU1592" t="s">
        <v>682</v>
      </c>
      <c r="BV1592" t="s">
        <v>1149</v>
      </c>
    </row>
    <row r="1593" spans="68:74" x14ac:dyDescent="0.25">
      <c r="BP1593">
        <v>12108</v>
      </c>
      <c r="BQ1593">
        <v>4020004313</v>
      </c>
      <c r="BR1593" s="15" t="s">
        <v>251</v>
      </c>
      <c r="BS1593" t="s">
        <v>245</v>
      </c>
      <c r="BT1593" t="s">
        <v>2189</v>
      </c>
      <c r="BU1593" t="s">
        <v>682</v>
      </c>
      <c r="BV1593" t="s">
        <v>1153</v>
      </c>
    </row>
    <row r="1594" spans="68:74" x14ac:dyDescent="0.25">
      <c r="BP1594">
        <v>142074</v>
      </c>
      <c r="BQ1594">
        <v>40200573</v>
      </c>
      <c r="BR1594" s="15" t="s">
        <v>251</v>
      </c>
      <c r="BS1594" t="s">
        <v>245</v>
      </c>
      <c r="BT1594" t="s">
        <v>2190</v>
      </c>
      <c r="BU1594" t="s">
        <v>682</v>
      </c>
      <c r="BV1594" t="s">
        <v>1153</v>
      </c>
    </row>
    <row r="1595" spans="68:74" x14ac:dyDescent="0.25">
      <c r="BP1595">
        <v>12115</v>
      </c>
      <c r="BQ1595">
        <v>4020004317</v>
      </c>
      <c r="BR1595" s="15" t="s">
        <v>251</v>
      </c>
      <c r="BS1595" t="s">
        <v>245</v>
      </c>
      <c r="BT1595" t="s">
        <v>2191</v>
      </c>
      <c r="BU1595" t="s">
        <v>682</v>
      </c>
      <c r="BV1595" t="s">
        <v>1149</v>
      </c>
    </row>
    <row r="1596" spans="68:74" x14ac:dyDescent="0.25">
      <c r="BP1596">
        <v>12110</v>
      </c>
      <c r="BQ1596">
        <v>4020004314</v>
      </c>
      <c r="BR1596" s="15" t="s">
        <v>251</v>
      </c>
      <c r="BS1596" t="s">
        <v>245</v>
      </c>
      <c r="BT1596" t="s">
        <v>2192</v>
      </c>
      <c r="BU1596" t="s">
        <v>682</v>
      </c>
      <c r="BV1596" t="s">
        <v>1153</v>
      </c>
    </row>
    <row r="1597" spans="68:74" x14ac:dyDescent="0.25">
      <c r="BP1597">
        <v>12111</v>
      </c>
      <c r="BQ1597">
        <v>4020004314</v>
      </c>
      <c r="BR1597" s="15" t="s">
        <v>251</v>
      </c>
      <c r="BS1597" t="s">
        <v>245</v>
      </c>
      <c r="BT1597" t="s">
        <v>2192</v>
      </c>
      <c r="BU1597" t="s">
        <v>682</v>
      </c>
      <c r="BV1597" t="s">
        <v>1149</v>
      </c>
    </row>
    <row r="1598" spans="68:74" x14ac:dyDescent="0.25">
      <c r="BP1598">
        <v>12129</v>
      </c>
      <c r="BQ1598">
        <v>4020013301</v>
      </c>
      <c r="BR1598" s="15" t="s">
        <v>251</v>
      </c>
      <c r="BS1598" t="s">
        <v>245</v>
      </c>
      <c r="BT1598" t="s">
        <v>2192</v>
      </c>
      <c r="BU1598" t="s">
        <v>682</v>
      </c>
      <c r="BV1598" t="s">
        <v>1149</v>
      </c>
    </row>
    <row r="1599" spans="68:74" x14ac:dyDescent="0.25">
      <c r="BP1599">
        <v>12126</v>
      </c>
      <c r="BQ1599">
        <v>4020013301</v>
      </c>
      <c r="BR1599" s="15" t="s">
        <v>251</v>
      </c>
      <c r="BS1599" t="s">
        <v>245</v>
      </c>
      <c r="BT1599" t="s">
        <v>2192</v>
      </c>
      <c r="BU1599" t="s">
        <v>682</v>
      </c>
      <c r="BV1599" t="s">
        <v>1153</v>
      </c>
    </row>
    <row r="1600" spans="68:74" x14ac:dyDescent="0.25">
      <c r="BP1600">
        <v>12132</v>
      </c>
      <c r="BQ1600">
        <v>4020013303</v>
      </c>
      <c r="BR1600" s="15" t="s">
        <v>251</v>
      </c>
      <c r="BS1600" t="s">
        <v>245</v>
      </c>
      <c r="BT1600" t="s">
        <v>2193</v>
      </c>
      <c r="BU1600" t="s">
        <v>682</v>
      </c>
      <c r="BV1600" t="s">
        <v>1149</v>
      </c>
    </row>
    <row r="1601" spans="68:74" x14ac:dyDescent="0.25">
      <c r="BP1601">
        <v>12117</v>
      </c>
      <c r="BQ1601">
        <v>4020004318</v>
      </c>
      <c r="BR1601" s="15" t="s">
        <v>251</v>
      </c>
      <c r="BS1601" t="s">
        <v>245</v>
      </c>
      <c r="BT1601" t="s">
        <v>2194</v>
      </c>
      <c r="BU1601" t="s">
        <v>682</v>
      </c>
      <c r="BV1601" t="s">
        <v>1153</v>
      </c>
    </row>
    <row r="1602" spans="68:74" x14ac:dyDescent="0.25">
      <c r="BP1602">
        <v>12112</v>
      </c>
      <c r="BQ1602">
        <v>4020004315</v>
      </c>
      <c r="BR1602" s="15" t="s">
        <v>251</v>
      </c>
      <c r="BS1602" t="s">
        <v>245</v>
      </c>
      <c r="BT1602" t="s">
        <v>2195</v>
      </c>
      <c r="BU1602" t="s">
        <v>682</v>
      </c>
      <c r="BV1602" t="s">
        <v>1153</v>
      </c>
    </row>
    <row r="1603" spans="68:74" x14ac:dyDescent="0.25">
      <c r="BP1603">
        <v>12136</v>
      </c>
      <c r="BQ1603">
        <v>4020015304</v>
      </c>
      <c r="BR1603" s="15" t="s">
        <v>251</v>
      </c>
      <c r="BS1603" t="s">
        <v>245</v>
      </c>
      <c r="BT1603" t="s">
        <v>2195</v>
      </c>
      <c r="BU1603" t="s">
        <v>682</v>
      </c>
      <c r="BV1603" t="s">
        <v>1153</v>
      </c>
    </row>
    <row r="1604" spans="68:74" x14ac:dyDescent="0.25">
      <c r="BP1604">
        <v>12114</v>
      </c>
      <c r="BQ1604">
        <v>4020004316</v>
      </c>
      <c r="BR1604" s="15" t="s">
        <v>251</v>
      </c>
      <c r="BS1604" t="s">
        <v>245</v>
      </c>
      <c r="BT1604" t="s">
        <v>1346</v>
      </c>
      <c r="BU1604" t="s">
        <v>682</v>
      </c>
      <c r="BV1604" t="s">
        <v>1149</v>
      </c>
    </row>
    <row r="1605" spans="68:74" x14ac:dyDescent="0.25">
      <c r="BP1605">
        <v>12113</v>
      </c>
      <c r="BQ1605">
        <v>4020004316</v>
      </c>
      <c r="BR1605" s="15" t="s">
        <v>251</v>
      </c>
      <c r="BS1605" t="s">
        <v>245</v>
      </c>
      <c r="BT1605" t="s">
        <v>1346</v>
      </c>
      <c r="BU1605" t="s">
        <v>682</v>
      </c>
      <c r="BV1605" t="s">
        <v>1153</v>
      </c>
    </row>
    <row r="1606" spans="68:74" x14ac:dyDescent="0.25">
      <c r="BP1606">
        <v>12120</v>
      </c>
      <c r="BQ1606">
        <v>4020004322</v>
      </c>
      <c r="BR1606" s="15" t="s">
        <v>251</v>
      </c>
      <c r="BS1606" t="s">
        <v>245</v>
      </c>
      <c r="BT1606" t="s">
        <v>2196</v>
      </c>
      <c r="BU1606" t="s">
        <v>682</v>
      </c>
      <c r="BV1606" t="s">
        <v>1153</v>
      </c>
    </row>
    <row r="1607" spans="68:74" x14ac:dyDescent="0.25">
      <c r="BP1607">
        <v>12138</v>
      </c>
      <c r="BQ1607">
        <v>4020015305</v>
      </c>
      <c r="BR1607" s="15" t="s">
        <v>251</v>
      </c>
      <c r="BS1607" t="s">
        <v>245</v>
      </c>
      <c r="BT1607" t="s">
        <v>2196</v>
      </c>
      <c r="BU1607" t="s">
        <v>682</v>
      </c>
      <c r="BV1607" t="s">
        <v>1153</v>
      </c>
    </row>
    <row r="1608" spans="68:74" x14ac:dyDescent="0.25">
      <c r="BP1608">
        <v>12060</v>
      </c>
      <c r="BQ1608">
        <v>40200042</v>
      </c>
      <c r="BR1608" s="15" t="s">
        <v>251</v>
      </c>
      <c r="BS1608" t="s">
        <v>245</v>
      </c>
      <c r="BT1608" t="s">
        <v>2197</v>
      </c>
      <c r="BU1608" t="s">
        <v>681</v>
      </c>
      <c r="BV1608" t="s">
        <v>1153</v>
      </c>
    </row>
    <row r="1609" spans="68:74" x14ac:dyDescent="0.25">
      <c r="BP1609">
        <v>12062</v>
      </c>
      <c r="BQ1609">
        <v>40200042</v>
      </c>
      <c r="BR1609" s="15" t="s">
        <v>251</v>
      </c>
      <c r="BS1609" t="s">
        <v>245</v>
      </c>
      <c r="BT1609" t="s">
        <v>2197</v>
      </c>
      <c r="BU1609" t="s">
        <v>681</v>
      </c>
      <c r="BV1609" t="s">
        <v>1149</v>
      </c>
    </row>
    <row r="1610" spans="68:74" x14ac:dyDescent="0.25">
      <c r="BQ1610">
        <v>40200043</v>
      </c>
      <c r="BR1610" s="15" t="s">
        <v>251</v>
      </c>
      <c r="BS1610" t="s">
        <v>245</v>
      </c>
      <c r="BT1610" t="s">
        <v>2197</v>
      </c>
      <c r="BU1610" t="s">
        <v>682</v>
      </c>
      <c r="BV1610" t="s">
        <v>1153</v>
      </c>
    </row>
    <row r="1611" spans="68:74" x14ac:dyDescent="0.25">
      <c r="BP1611">
        <v>457733</v>
      </c>
      <c r="BQ1611">
        <v>40200663</v>
      </c>
      <c r="BR1611" s="15" t="s">
        <v>251</v>
      </c>
      <c r="BS1611" t="s">
        <v>245</v>
      </c>
      <c r="BT1611" t="s">
        <v>7651</v>
      </c>
      <c r="BU1611" t="s">
        <v>682</v>
      </c>
      <c r="BV1611" t="s">
        <v>1153</v>
      </c>
    </row>
    <row r="1612" spans="68:74" x14ac:dyDescent="0.25">
      <c r="BP1612">
        <v>457732</v>
      </c>
      <c r="BQ1612">
        <v>40200683</v>
      </c>
      <c r="BR1612" s="15" t="s">
        <v>251</v>
      </c>
      <c r="BS1612" t="s">
        <v>245</v>
      </c>
      <c r="BT1612" t="s">
        <v>7653</v>
      </c>
      <c r="BU1612" t="s">
        <v>682</v>
      </c>
      <c r="BV1612" t="s">
        <v>1153</v>
      </c>
    </row>
    <row r="1613" spans="68:74" x14ac:dyDescent="0.25">
      <c r="BP1613">
        <v>12069</v>
      </c>
      <c r="BQ1613">
        <v>40200132</v>
      </c>
      <c r="BR1613" s="15" t="s">
        <v>251</v>
      </c>
      <c r="BS1613" t="s">
        <v>245</v>
      </c>
      <c r="BT1613" t="s">
        <v>957</v>
      </c>
      <c r="BU1613" t="s">
        <v>681</v>
      </c>
      <c r="BV1613" t="s">
        <v>1153</v>
      </c>
    </row>
    <row r="1614" spans="68:74" x14ac:dyDescent="0.25">
      <c r="BP1614">
        <v>12118</v>
      </c>
      <c r="BQ1614">
        <v>4020004319</v>
      </c>
      <c r="BR1614" s="15" t="s">
        <v>251</v>
      </c>
      <c r="BS1614" t="s">
        <v>245</v>
      </c>
      <c r="BT1614" t="s">
        <v>957</v>
      </c>
      <c r="BU1614" t="s">
        <v>682</v>
      </c>
      <c r="BV1614" t="s">
        <v>1153</v>
      </c>
    </row>
    <row r="1615" spans="68:74" x14ac:dyDescent="0.25">
      <c r="BP1615">
        <v>12130</v>
      </c>
      <c r="BQ1615">
        <v>4020013302</v>
      </c>
      <c r="BR1615" s="15" t="s">
        <v>251</v>
      </c>
      <c r="BS1615" t="s">
        <v>245</v>
      </c>
      <c r="BT1615" t="s">
        <v>957</v>
      </c>
      <c r="BU1615" t="s">
        <v>682</v>
      </c>
      <c r="BV1615" t="s">
        <v>1153</v>
      </c>
    </row>
    <row r="1616" spans="68:74" x14ac:dyDescent="0.25">
      <c r="BP1616">
        <v>12213</v>
      </c>
      <c r="BQ1616">
        <v>40300692</v>
      </c>
      <c r="BR1616" s="15" t="s">
        <v>252</v>
      </c>
      <c r="BS1616" t="s">
        <v>246</v>
      </c>
      <c r="BT1616" t="s">
        <v>2198</v>
      </c>
      <c r="BU1616" t="s">
        <v>681</v>
      </c>
      <c r="BV1616" t="s">
        <v>1153</v>
      </c>
    </row>
    <row r="1617" spans="68:74" x14ac:dyDescent="0.25">
      <c r="BP1617">
        <v>12230</v>
      </c>
      <c r="BQ1617">
        <v>4030001301</v>
      </c>
      <c r="BR1617" s="15" t="s">
        <v>252</v>
      </c>
      <c r="BS1617" t="s">
        <v>246</v>
      </c>
      <c r="BT1617" t="s">
        <v>2199</v>
      </c>
      <c r="BU1617" t="s">
        <v>682</v>
      </c>
      <c r="BV1617" t="s">
        <v>1153</v>
      </c>
    </row>
    <row r="1618" spans="68:74" x14ac:dyDescent="0.25">
      <c r="BQ1618">
        <v>4030015301</v>
      </c>
      <c r="BR1618" s="15" t="s">
        <v>252</v>
      </c>
      <c r="BS1618" t="s">
        <v>246</v>
      </c>
      <c r="BT1618" t="s">
        <v>2200</v>
      </c>
      <c r="BU1618" t="s">
        <v>682</v>
      </c>
      <c r="BV1618" t="s">
        <v>680</v>
      </c>
    </row>
    <row r="1619" spans="68:74" x14ac:dyDescent="0.25">
      <c r="BP1619">
        <v>12251</v>
      </c>
      <c r="BQ1619">
        <v>4030001312</v>
      </c>
      <c r="BR1619" s="15" t="s">
        <v>252</v>
      </c>
      <c r="BS1619" t="s">
        <v>246</v>
      </c>
      <c r="BT1619" t="s">
        <v>2201</v>
      </c>
      <c r="BU1619" t="s">
        <v>682</v>
      </c>
      <c r="BV1619" t="s">
        <v>1153</v>
      </c>
    </row>
    <row r="1620" spans="68:74" x14ac:dyDescent="0.25">
      <c r="BP1620">
        <v>12257</v>
      </c>
      <c r="BQ1620">
        <v>4030001316</v>
      </c>
      <c r="BR1620" s="15" t="s">
        <v>252</v>
      </c>
      <c r="BS1620" t="s">
        <v>246</v>
      </c>
      <c r="BT1620" t="s">
        <v>2202</v>
      </c>
      <c r="BU1620" t="s">
        <v>682</v>
      </c>
      <c r="BV1620" t="s">
        <v>1153</v>
      </c>
    </row>
    <row r="1621" spans="68:74" x14ac:dyDescent="0.25">
      <c r="BP1621">
        <v>12296</v>
      </c>
      <c r="BQ1621">
        <v>4030069302</v>
      </c>
      <c r="BR1621" s="15" t="s">
        <v>252</v>
      </c>
      <c r="BS1621" t="s">
        <v>246</v>
      </c>
      <c r="BT1621" t="s">
        <v>2203</v>
      </c>
      <c r="BU1621" t="s">
        <v>682</v>
      </c>
      <c r="BV1621" t="s">
        <v>1153</v>
      </c>
    </row>
    <row r="1622" spans="68:74" x14ac:dyDescent="0.25">
      <c r="BP1622">
        <v>12161</v>
      </c>
      <c r="BQ1622">
        <v>40300012</v>
      </c>
      <c r="BR1622" s="15" t="s">
        <v>252</v>
      </c>
      <c r="BS1622" t="s">
        <v>246</v>
      </c>
      <c r="BT1622" t="s">
        <v>2204</v>
      </c>
      <c r="BU1622" t="s">
        <v>681</v>
      </c>
      <c r="BV1622" t="s">
        <v>1153</v>
      </c>
    </row>
    <row r="1623" spans="68:74" x14ac:dyDescent="0.25">
      <c r="BP1623">
        <v>12163</v>
      </c>
      <c r="BQ1623">
        <v>40300012</v>
      </c>
      <c r="BR1623" s="15" t="s">
        <v>252</v>
      </c>
      <c r="BS1623" t="s">
        <v>246</v>
      </c>
      <c r="BT1623" t="s">
        <v>2204</v>
      </c>
      <c r="BU1623" t="s">
        <v>681</v>
      </c>
      <c r="BV1623" t="s">
        <v>1149</v>
      </c>
    </row>
    <row r="1624" spans="68:74" x14ac:dyDescent="0.25">
      <c r="BQ1624">
        <v>40300013</v>
      </c>
      <c r="BR1624" s="15" t="s">
        <v>252</v>
      </c>
      <c r="BS1624" t="s">
        <v>246</v>
      </c>
      <c r="BT1624" t="s">
        <v>2204</v>
      </c>
      <c r="BU1624" t="s">
        <v>682</v>
      </c>
      <c r="BV1624" t="s">
        <v>680</v>
      </c>
    </row>
    <row r="1625" spans="68:74" x14ac:dyDescent="0.25">
      <c r="BP1625">
        <v>12232</v>
      </c>
      <c r="BQ1625">
        <v>4030001302</v>
      </c>
      <c r="BR1625" s="15" t="s">
        <v>252</v>
      </c>
      <c r="BS1625" t="s">
        <v>246</v>
      </c>
      <c r="BT1625" t="s">
        <v>2205</v>
      </c>
      <c r="BU1625" t="s">
        <v>682</v>
      </c>
      <c r="BV1625" t="s">
        <v>1153</v>
      </c>
    </row>
    <row r="1626" spans="68:74" x14ac:dyDescent="0.25">
      <c r="BP1626">
        <v>12178</v>
      </c>
      <c r="BQ1626">
        <v>40300152</v>
      </c>
      <c r="BR1626" s="15" t="s">
        <v>252</v>
      </c>
      <c r="BS1626" t="s">
        <v>246</v>
      </c>
      <c r="BT1626" t="s">
        <v>2206</v>
      </c>
      <c r="BU1626" t="s">
        <v>681</v>
      </c>
      <c r="BV1626" t="s">
        <v>1153</v>
      </c>
    </row>
    <row r="1627" spans="68:74" x14ac:dyDescent="0.25">
      <c r="BP1627">
        <v>12269</v>
      </c>
      <c r="BQ1627">
        <v>4030003301</v>
      </c>
      <c r="BR1627" s="15" t="s">
        <v>252</v>
      </c>
      <c r="BS1627" t="s">
        <v>246</v>
      </c>
      <c r="BT1627" t="s">
        <v>2207</v>
      </c>
      <c r="BU1627" t="s">
        <v>682</v>
      </c>
      <c r="BV1627" t="s">
        <v>1153</v>
      </c>
    </row>
    <row r="1628" spans="68:74" x14ac:dyDescent="0.25">
      <c r="BP1628">
        <v>12271</v>
      </c>
      <c r="BQ1628">
        <v>4030003302</v>
      </c>
      <c r="BR1628" s="15" t="s">
        <v>252</v>
      </c>
      <c r="BS1628" t="s">
        <v>246</v>
      </c>
      <c r="BT1628" t="s">
        <v>2208</v>
      </c>
      <c r="BU1628" t="s">
        <v>682</v>
      </c>
      <c r="BV1628" t="s">
        <v>1153</v>
      </c>
    </row>
    <row r="1629" spans="68:74" x14ac:dyDescent="0.25">
      <c r="BP1629">
        <v>12284</v>
      </c>
      <c r="BQ1629">
        <v>4030003309</v>
      </c>
      <c r="BR1629" s="15" t="s">
        <v>252</v>
      </c>
      <c r="BS1629" t="s">
        <v>246</v>
      </c>
      <c r="BT1629" t="s">
        <v>2209</v>
      </c>
      <c r="BU1629" t="s">
        <v>682</v>
      </c>
      <c r="BV1629" t="s">
        <v>1153</v>
      </c>
    </row>
    <row r="1630" spans="68:74" x14ac:dyDescent="0.25">
      <c r="BP1630">
        <v>12206</v>
      </c>
      <c r="BQ1630">
        <v>40300643</v>
      </c>
      <c r="BR1630" s="15" t="s">
        <v>252</v>
      </c>
      <c r="BS1630" t="s">
        <v>246</v>
      </c>
      <c r="BT1630" t="s">
        <v>2210</v>
      </c>
      <c r="BU1630" t="s">
        <v>682</v>
      </c>
      <c r="BV1630" t="s">
        <v>1153</v>
      </c>
    </row>
    <row r="1631" spans="68:74" x14ac:dyDescent="0.25">
      <c r="BP1631">
        <v>12235</v>
      </c>
      <c r="BQ1631">
        <v>4030001303</v>
      </c>
      <c r="BR1631" s="15" t="s">
        <v>252</v>
      </c>
      <c r="BS1631" t="s">
        <v>246</v>
      </c>
      <c r="BT1631" t="s">
        <v>2211</v>
      </c>
      <c r="BU1631" t="s">
        <v>682</v>
      </c>
      <c r="BV1631" t="s">
        <v>1149</v>
      </c>
    </row>
    <row r="1632" spans="68:74" x14ac:dyDescent="0.25">
      <c r="BP1632">
        <v>12234</v>
      </c>
      <c r="BQ1632">
        <v>4030001303</v>
      </c>
      <c r="BR1632" s="15" t="s">
        <v>252</v>
      </c>
      <c r="BS1632" t="s">
        <v>246</v>
      </c>
      <c r="BT1632" t="s">
        <v>2211</v>
      </c>
      <c r="BU1632" t="s">
        <v>682</v>
      </c>
      <c r="BV1632" t="s">
        <v>1153</v>
      </c>
    </row>
    <row r="1633" spans="68:74" x14ac:dyDescent="0.25">
      <c r="BP1633">
        <v>12197</v>
      </c>
      <c r="BQ1633">
        <v>40300453</v>
      </c>
      <c r="BR1633" s="15" t="s">
        <v>252</v>
      </c>
      <c r="BS1633" t="s">
        <v>246</v>
      </c>
      <c r="BT1633" t="s">
        <v>2212</v>
      </c>
      <c r="BU1633" t="s">
        <v>682</v>
      </c>
      <c r="BV1633" t="s">
        <v>1149</v>
      </c>
    </row>
    <row r="1634" spans="68:74" x14ac:dyDescent="0.25">
      <c r="BP1634">
        <v>12273</v>
      </c>
      <c r="BQ1634">
        <v>4030003303</v>
      </c>
      <c r="BR1634" s="15" t="s">
        <v>252</v>
      </c>
      <c r="BS1634" t="s">
        <v>246</v>
      </c>
      <c r="BT1634" t="s">
        <v>2212</v>
      </c>
      <c r="BU1634" t="s">
        <v>682</v>
      </c>
      <c r="BV1634" t="s">
        <v>1153</v>
      </c>
    </row>
    <row r="1635" spans="68:74" x14ac:dyDescent="0.25">
      <c r="BP1635">
        <v>12274</v>
      </c>
      <c r="BQ1635">
        <v>4030003304</v>
      </c>
      <c r="BR1635" s="15" t="s">
        <v>252</v>
      </c>
      <c r="BS1635" t="s">
        <v>246</v>
      </c>
      <c r="BT1635" t="s">
        <v>2213</v>
      </c>
      <c r="BU1635" t="s">
        <v>682</v>
      </c>
      <c r="BV1635" t="s">
        <v>1153</v>
      </c>
    </row>
    <row r="1636" spans="68:74" x14ac:dyDescent="0.25">
      <c r="BP1636">
        <v>12286</v>
      </c>
      <c r="BQ1636">
        <v>4030003310</v>
      </c>
      <c r="BR1636" s="15" t="s">
        <v>252</v>
      </c>
      <c r="BS1636" t="s">
        <v>246</v>
      </c>
      <c r="BT1636" t="s">
        <v>2214</v>
      </c>
      <c r="BU1636" t="s">
        <v>682</v>
      </c>
      <c r="BV1636" t="s">
        <v>1153</v>
      </c>
    </row>
    <row r="1637" spans="68:74" x14ac:dyDescent="0.25">
      <c r="BP1637">
        <v>281063</v>
      </c>
      <c r="BQ1637">
        <v>4030003310</v>
      </c>
      <c r="BR1637" s="15" t="s">
        <v>252</v>
      </c>
      <c r="BS1637" t="s">
        <v>246</v>
      </c>
      <c r="BT1637" t="s">
        <v>2214</v>
      </c>
      <c r="BU1637" t="s">
        <v>682</v>
      </c>
      <c r="BV1637" t="s">
        <v>1149</v>
      </c>
    </row>
    <row r="1638" spans="68:74" x14ac:dyDescent="0.25">
      <c r="BP1638">
        <v>66485</v>
      </c>
      <c r="BQ1638">
        <v>4030003313</v>
      </c>
      <c r="BR1638" s="15" t="s">
        <v>252</v>
      </c>
      <c r="BS1638" t="s">
        <v>246</v>
      </c>
      <c r="BT1638" t="s">
        <v>2215</v>
      </c>
      <c r="BU1638" t="s">
        <v>682</v>
      </c>
      <c r="BV1638" t="s">
        <v>1153</v>
      </c>
    </row>
    <row r="1639" spans="68:74" x14ac:dyDescent="0.25">
      <c r="BP1639">
        <v>12288</v>
      </c>
      <c r="BQ1639">
        <v>4030003311</v>
      </c>
      <c r="BR1639" s="15" t="s">
        <v>252</v>
      </c>
      <c r="BS1639" t="s">
        <v>246</v>
      </c>
      <c r="BT1639" t="s">
        <v>2216</v>
      </c>
      <c r="BU1639" t="s">
        <v>682</v>
      </c>
      <c r="BV1639" t="s">
        <v>1153</v>
      </c>
    </row>
    <row r="1640" spans="68:74" x14ac:dyDescent="0.25">
      <c r="BP1640">
        <v>12208</v>
      </c>
      <c r="BQ1640">
        <v>40300653</v>
      </c>
      <c r="BR1640" s="15" t="s">
        <v>252</v>
      </c>
      <c r="BS1640" t="s">
        <v>246</v>
      </c>
      <c r="BT1640" t="s">
        <v>2217</v>
      </c>
      <c r="BU1640" t="s">
        <v>682</v>
      </c>
      <c r="BV1640" t="s">
        <v>1153</v>
      </c>
    </row>
    <row r="1641" spans="68:74" x14ac:dyDescent="0.25">
      <c r="BQ1641">
        <v>4030002301</v>
      </c>
      <c r="BR1641" s="15" t="s">
        <v>252</v>
      </c>
      <c r="BS1641" t="s">
        <v>246</v>
      </c>
      <c r="BT1641" t="s">
        <v>2218</v>
      </c>
      <c r="BU1641" t="s">
        <v>682</v>
      </c>
      <c r="BV1641" t="s">
        <v>1153</v>
      </c>
    </row>
    <row r="1642" spans="68:74" x14ac:dyDescent="0.25">
      <c r="BQ1642">
        <v>40300042</v>
      </c>
      <c r="BR1642" s="15" t="s">
        <v>252</v>
      </c>
      <c r="BS1642" t="s">
        <v>246</v>
      </c>
      <c r="BT1642" t="s">
        <v>2219</v>
      </c>
      <c r="BU1642" t="s">
        <v>681</v>
      </c>
      <c r="BV1642" t="s">
        <v>680</v>
      </c>
    </row>
    <row r="1643" spans="68:74" x14ac:dyDescent="0.25">
      <c r="BQ1643">
        <v>40300043</v>
      </c>
      <c r="BR1643" s="15" t="s">
        <v>252</v>
      </c>
      <c r="BS1643" t="s">
        <v>246</v>
      </c>
      <c r="BT1643" t="s">
        <v>2219</v>
      </c>
      <c r="BU1643" t="s">
        <v>682</v>
      </c>
      <c r="BV1643" t="s">
        <v>680</v>
      </c>
    </row>
    <row r="1644" spans="68:74" x14ac:dyDescent="0.25">
      <c r="BP1644">
        <v>12258</v>
      </c>
      <c r="BQ1644">
        <v>4030002302</v>
      </c>
      <c r="BR1644" s="15" t="s">
        <v>252</v>
      </c>
      <c r="BS1644" t="s">
        <v>246</v>
      </c>
      <c r="BT1644" t="s">
        <v>2219</v>
      </c>
      <c r="BU1644" t="s">
        <v>682</v>
      </c>
      <c r="BV1644" t="s">
        <v>1153</v>
      </c>
    </row>
    <row r="1645" spans="68:74" x14ac:dyDescent="0.25">
      <c r="BP1645">
        <v>12266</v>
      </c>
      <c r="BQ1645">
        <v>4030002308</v>
      </c>
      <c r="BR1645" s="15" t="s">
        <v>252</v>
      </c>
      <c r="BS1645" t="s">
        <v>246</v>
      </c>
      <c r="BT1645" t="s">
        <v>2219</v>
      </c>
      <c r="BU1645" t="s">
        <v>682</v>
      </c>
      <c r="BV1645" t="s">
        <v>1153</v>
      </c>
    </row>
    <row r="1646" spans="68:74" x14ac:dyDescent="0.25">
      <c r="BP1646">
        <v>12261</v>
      </c>
      <c r="BQ1646">
        <v>4030002304</v>
      </c>
      <c r="BR1646" s="15" t="s">
        <v>252</v>
      </c>
      <c r="BS1646" t="s">
        <v>246</v>
      </c>
      <c r="BT1646" t="s">
        <v>2220</v>
      </c>
      <c r="BU1646" t="s">
        <v>682</v>
      </c>
      <c r="BV1646" t="s">
        <v>1149</v>
      </c>
    </row>
    <row r="1647" spans="68:74" x14ac:dyDescent="0.25">
      <c r="BP1647">
        <v>12165</v>
      </c>
      <c r="BQ1647">
        <v>40300022</v>
      </c>
      <c r="BR1647" s="15" t="s">
        <v>252</v>
      </c>
      <c r="BS1647" t="s">
        <v>246</v>
      </c>
      <c r="BT1647" t="s">
        <v>2164</v>
      </c>
      <c r="BU1647" t="s">
        <v>681</v>
      </c>
      <c r="BV1647" t="s">
        <v>1153</v>
      </c>
    </row>
    <row r="1648" spans="68:74" x14ac:dyDescent="0.25">
      <c r="BP1648">
        <v>12167</v>
      </c>
      <c r="BQ1648">
        <v>40300022</v>
      </c>
      <c r="BR1648" s="15" t="s">
        <v>252</v>
      </c>
      <c r="BS1648" t="s">
        <v>246</v>
      </c>
      <c r="BT1648" t="s">
        <v>2164</v>
      </c>
      <c r="BU1648" t="s">
        <v>681</v>
      </c>
      <c r="BV1648" t="s">
        <v>1149</v>
      </c>
    </row>
    <row r="1649" spans="68:74" x14ac:dyDescent="0.25">
      <c r="BQ1649">
        <v>40300023</v>
      </c>
      <c r="BR1649" s="15" t="s">
        <v>252</v>
      </c>
      <c r="BS1649" t="s">
        <v>246</v>
      </c>
      <c r="BT1649" t="s">
        <v>2164</v>
      </c>
      <c r="BU1649" t="s">
        <v>682</v>
      </c>
      <c r="BV1649" t="s">
        <v>680</v>
      </c>
    </row>
    <row r="1650" spans="68:74" x14ac:dyDescent="0.25">
      <c r="BP1650">
        <v>12201</v>
      </c>
      <c r="BQ1650">
        <v>40300603</v>
      </c>
      <c r="BR1650" s="15" t="s">
        <v>252</v>
      </c>
      <c r="BS1650" t="s">
        <v>246</v>
      </c>
      <c r="BT1650" t="s">
        <v>2221</v>
      </c>
      <c r="BU1650" t="s">
        <v>682</v>
      </c>
      <c r="BV1650" t="s">
        <v>1149</v>
      </c>
    </row>
    <row r="1651" spans="68:74" x14ac:dyDescent="0.25">
      <c r="BP1651">
        <v>12291</v>
      </c>
      <c r="BQ1651">
        <v>4030015302</v>
      </c>
      <c r="BR1651" s="15" t="s">
        <v>252</v>
      </c>
      <c r="BS1651" t="s">
        <v>246</v>
      </c>
      <c r="BT1651" t="s">
        <v>2221</v>
      </c>
      <c r="BU1651" t="s">
        <v>682</v>
      </c>
      <c r="BV1651" t="s">
        <v>1149</v>
      </c>
    </row>
    <row r="1652" spans="68:74" x14ac:dyDescent="0.25">
      <c r="BP1652">
        <v>12237</v>
      </c>
      <c r="BQ1652">
        <v>4030001304</v>
      </c>
      <c r="BR1652" s="15" t="s">
        <v>252</v>
      </c>
      <c r="BS1652" t="s">
        <v>246</v>
      </c>
      <c r="BT1652" t="s">
        <v>2222</v>
      </c>
      <c r="BU1652" t="s">
        <v>682</v>
      </c>
      <c r="BV1652" t="s">
        <v>1153</v>
      </c>
    </row>
    <row r="1653" spans="68:74" x14ac:dyDescent="0.25">
      <c r="BP1653">
        <v>12239</v>
      </c>
      <c r="BQ1653">
        <v>4030001305</v>
      </c>
      <c r="BR1653" s="15" t="s">
        <v>252</v>
      </c>
      <c r="BS1653" t="s">
        <v>246</v>
      </c>
      <c r="BT1653" t="s">
        <v>2223</v>
      </c>
      <c r="BU1653" t="s">
        <v>682</v>
      </c>
      <c r="BV1653" t="s">
        <v>1153</v>
      </c>
    </row>
    <row r="1654" spans="68:74" x14ac:dyDescent="0.25">
      <c r="BP1654">
        <v>12294</v>
      </c>
      <c r="BQ1654">
        <v>4030069301</v>
      </c>
      <c r="BR1654" s="15" t="s">
        <v>252</v>
      </c>
      <c r="BS1654" t="s">
        <v>246</v>
      </c>
      <c r="BT1654" t="s">
        <v>2224</v>
      </c>
      <c r="BU1654" t="s">
        <v>682</v>
      </c>
      <c r="BV1654" t="s">
        <v>1149</v>
      </c>
    </row>
    <row r="1655" spans="68:74" x14ac:dyDescent="0.25">
      <c r="BP1655">
        <v>12293</v>
      </c>
      <c r="BQ1655">
        <v>4030069301</v>
      </c>
      <c r="BR1655" s="15" t="s">
        <v>252</v>
      </c>
      <c r="BS1655" t="s">
        <v>246</v>
      </c>
      <c r="BT1655" t="s">
        <v>2224</v>
      </c>
      <c r="BU1655" t="s">
        <v>682</v>
      </c>
      <c r="BV1655" t="s">
        <v>1153</v>
      </c>
    </row>
    <row r="1656" spans="68:74" x14ac:dyDescent="0.25">
      <c r="BP1656">
        <v>12241</v>
      </c>
      <c r="BQ1656">
        <v>4030001306</v>
      </c>
      <c r="BR1656" s="15" t="s">
        <v>252</v>
      </c>
      <c r="BS1656" t="s">
        <v>246</v>
      </c>
      <c r="BT1656" t="s">
        <v>2225</v>
      </c>
      <c r="BU1656" t="s">
        <v>682</v>
      </c>
      <c r="BV1656" t="s">
        <v>1153</v>
      </c>
    </row>
    <row r="1657" spans="68:74" x14ac:dyDescent="0.25">
      <c r="BQ1657">
        <v>4030003305</v>
      </c>
      <c r="BR1657" s="15" t="s">
        <v>252</v>
      </c>
      <c r="BS1657" t="s">
        <v>246</v>
      </c>
      <c r="BT1657" t="s">
        <v>2226</v>
      </c>
      <c r="BU1657" t="s">
        <v>682</v>
      </c>
      <c r="BV1657" t="s">
        <v>1153</v>
      </c>
    </row>
    <row r="1658" spans="68:74" x14ac:dyDescent="0.25">
      <c r="BP1658">
        <v>12276</v>
      </c>
      <c r="BQ1658">
        <v>4030003306</v>
      </c>
      <c r="BR1658" s="15" t="s">
        <v>252</v>
      </c>
      <c r="BS1658" t="s">
        <v>246</v>
      </c>
      <c r="BT1658" t="s">
        <v>2227</v>
      </c>
      <c r="BU1658" t="s">
        <v>682</v>
      </c>
      <c r="BV1658" t="s">
        <v>1153</v>
      </c>
    </row>
    <row r="1659" spans="68:74" x14ac:dyDescent="0.25">
      <c r="BP1659">
        <v>12170</v>
      </c>
      <c r="BQ1659">
        <v>40300032</v>
      </c>
      <c r="BR1659" s="15" t="s">
        <v>252</v>
      </c>
      <c r="BS1659" t="s">
        <v>246</v>
      </c>
      <c r="BT1659" t="s">
        <v>2228</v>
      </c>
      <c r="BU1659" t="s">
        <v>681</v>
      </c>
      <c r="BV1659" t="s">
        <v>1153</v>
      </c>
    </row>
    <row r="1660" spans="68:74" x14ac:dyDescent="0.25">
      <c r="BQ1660">
        <v>40300033</v>
      </c>
      <c r="BR1660" s="15" t="s">
        <v>252</v>
      </c>
      <c r="BS1660" t="s">
        <v>246</v>
      </c>
      <c r="BT1660" t="s">
        <v>2228</v>
      </c>
      <c r="BU1660" t="s">
        <v>682</v>
      </c>
      <c r="BV1660" t="s">
        <v>680</v>
      </c>
    </row>
    <row r="1661" spans="68:74" x14ac:dyDescent="0.25">
      <c r="BQ1661">
        <v>4030002306</v>
      </c>
      <c r="BR1661" s="15" t="s">
        <v>252</v>
      </c>
      <c r="BS1661" t="s">
        <v>246</v>
      </c>
      <c r="BT1661" t="s">
        <v>2229</v>
      </c>
      <c r="BU1661" t="s">
        <v>682</v>
      </c>
      <c r="BV1661" t="s">
        <v>1153</v>
      </c>
    </row>
    <row r="1662" spans="68:74" x14ac:dyDescent="0.25">
      <c r="BP1662">
        <v>12242</v>
      </c>
      <c r="BQ1662">
        <v>4030001307</v>
      </c>
      <c r="BR1662" s="15" t="s">
        <v>252</v>
      </c>
      <c r="BS1662" t="s">
        <v>246</v>
      </c>
      <c r="BT1662" t="s">
        <v>2230</v>
      </c>
      <c r="BU1662" t="s">
        <v>682</v>
      </c>
      <c r="BV1662" t="s">
        <v>1153</v>
      </c>
    </row>
    <row r="1663" spans="68:74" x14ac:dyDescent="0.25">
      <c r="BP1663">
        <v>12256</v>
      </c>
      <c r="BQ1663">
        <v>4030001315</v>
      </c>
      <c r="BR1663" s="15" t="s">
        <v>252</v>
      </c>
      <c r="BS1663" t="s">
        <v>246</v>
      </c>
      <c r="BT1663" t="s">
        <v>2230</v>
      </c>
      <c r="BU1663" t="s">
        <v>682</v>
      </c>
      <c r="BV1663" t="s">
        <v>1153</v>
      </c>
    </row>
    <row r="1664" spans="68:74" x14ac:dyDescent="0.25">
      <c r="BP1664">
        <v>12262</v>
      </c>
      <c r="BQ1664">
        <v>4030002305</v>
      </c>
      <c r="BR1664" s="15" t="s">
        <v>252</v>
      </c>
      <c r="BS1664" t="s">
        <v>246</v>
      </c>
      <c r="BT1664" t="s">
        <v>2231</v>
      </c>
      <c r="BU1664" t="s">
        <v>682</v>
      </c>
      <c r="BV1664" t="s">
        <v>1153</v>
      </c>
    </row>
    <row r="1665" spans="68:74" x14ac:dyDescent="0.25">
      <c r="BP1665">
        <v>12264</v>
      </c>
      <c r="BQ1665">
        <v>4030002307</v>
      </c>
      <c r="BR1665" s="15" t="s">
        <v>252</v>
      </c>
      <c r="BS1665" t="s">
        <v>246</v>
      </c>
      <c r="BT1665" t="s">
        <v>2232</v>
      </c>
      <c r="BU1665" t="s">
        <v>682</v>
      </c>
      <c r="BV1665" t="s">
        <v>1153</v>
      </c>
    </row>
    <row r="1666" spans="68:74" x14ac:dyDescent="0.25">
      <c r="BP1666">
        <v>12260</v>
      </c>
      <c r="BQ1666">
        <v>4030002303</v>
      </c>
      <c r="BR1666" s="15" t="s">
        <v>252</v>
      </c>
      <c r="BS1666" t="s">
        <v>246</v>
      </c>
      <c r="BT1666" t="s">
        <v>2233</v>
      </c>
      <c r="BU1666" t="s">
        <v>682</v>
      </c>
      <c r="BV1666" t="s">
        <v>1153</v>
      </c>
    </row>
    <row r="1667" spans="68:74" x14ac:dyDescent="0.25">
      <c r="BP1667">
        <v>12244</v>
      </c>
      <c r="BQ1667">
        <v>4030001308</v>
      </c>
      <c r="BR1667" s="15" t="s">
        <v>252</v>
      </c>
      <c r="BS1667" t="s">
        <v>246</v>
      </c>
      <c r="BT1667" t="s">
        <v>2234</v>
      </c>
      <c r="BU1667" t="s">
        <v>682</v>
      </c>
      <c r="BV1667" t="s">
        <v>1153</v>
      </c>
    </row>
    <row r="1668" spans="68:74" x14ac:dyDescent="0.25">
      <c r="BP1668">
        <v>12246</v>
      </c>
      <c r="BQ1668">
        <v>4030001309</v>
      </c>
      <c r="BR1668" s="15" t="s">
        <v>252</v>
      </c>
      <c r="BS1668" t="s">
        <v>246</v>
      </c>
      <c r="BT1668" t="s">
        <v>2235</v>
      </c>
      <c r="BU1668" t="s">
        <v>682</v>
      </c>
      <c r="BV1668" t="s">
        <v>1153</v>
      </c>
    </row>
    <row r="1669" spans="68:74" x14ac:dyDescent="0.25">
      <c r="BP1669">
        <v>12254</v>
      </c>
      <c r="BQ1669">
        <v>4030001314</v>
      </c>
      <c r="BR1669" s="15" t="s">
        <v>252</v>
      </c>
      <c r="BS1669" t="s">
        <v>246</v>
      </c>
      <c r="BT1669" t="s">
        <v>2235</v>
      </c>
      <c r="BU1669" t="s">
        <v>682</v>
      </c>
      <c r="BV1669" t="s">
        <v>1153</v>
      </c>
    </row>
    <row r="1670" spans="68:74" x14ac:dyDescent="0.25">
      <c r="BP1670">
        <v>12247</v>
      </c>
      <c r="BQ1670">
        <v>4030001310</v>
      </c>
      <c r="BR1670" s="15" t="s">
        <v>252</v>
      </c>
      <c r="BS1670" t="s">
        <v>246</v>
      </c>
      <c r="BT1670" t="s">
        <v>2236</v>
      </c>
      <c r="BU1670" t="s">
        <v>682</v>
      </c>
      <c r="BV1670" t="s">
        <v>1153</v>
      </c>
    </row>
    <row r="1671" spans="68:74" x14ac:dyDescent="0.25">
      <c r="BP1671">
        <v>12248</v>
      </c>
      <c r="BQ1671">
        <v>4030001311</v>
      </c>
      <c r="BR1671" s="15" t="s">
        <v>252</v>
      </c>
      <c r="BS1671" t="s">
        <v>246</v>
      </c>
      <c r="BT1671" t="s">
        <v>1343</v>
      </c>
      <c r="BU1671" t="s">
        <v>682</v>
      </c>
      <c r="BV1671" t="s">
        <v>1153</v>
      </c>
    </row>
    <row r="1672" spans="68:74" x14ac:dyDescent="0.25">
      <c r="BP1672">
        <v>12249</v>
      </c>
      <c r="BQ1672">
        <v>4030001311</v>
      </c>
      <c r="BR1672" s="15" t="s">
        <v>252</v>
      </c>
      <c r="BS1672" t="s">
        <v>246</v>
      </c>
      <c r="BT1672" t="s">
        <v>1343</v>
      </c>
      <c r="BU1672" t="s">
        <v>682</v>
      </c>
      <c r="BV1672" t="s">
        <v>1149</v>
      </c>
    </row>
    <row r="1673" spans="68:74" x14ac:dyDescent="0.25">
      <c r="BQ1673">
        <v>4030001313</v>
      </c>
      <c r="BR1673" s="15" t="s">
        <v>252</v>
      </c>
      <c r="BS1673" t="s">
        <v>246</v>
      </c>
      <c r="BT1673" t="s">
        <v>2237</v>
      </c>
      <c r="BU1673" t="s">
        <v>682</v>
      </c>
      <c r="BV1673" t="s">
        <v>1149</v>
      </c>
    </row>
    <row r="1674" spans="68:74" x14ac:dyDescent="0.25">
      <c r="BP1674">
        <v>12280</v>
      </c>
      <c r="BQ1674">
        <v>4030003307</v>
      </c>
      <c r="BR1674" s="15" t="s">
        <v>252</v>
      </c>
      <c r="BS1674" t="s">
        <v>246</v>
      </c>
      <c r="BT1674" t="s">
        <v>2238</v>
      </c>
      <c r="BU1674" t="s">
        <v>682</v>
      </c>
      <c r="BV1674" t="s">
        <v>1149</v>
      </c>
    </row>
    <row r="1675" spans="68:74" x14ac:dyDescent="0.25">
      <c r="BP1675">
        <v>12278</v>
      </c>
      <c r="BQ1675">
        <v>4030003307</v>
      </c>
      <c r="BR1675" s="15" t="s">
        <v>252</v>
      </c>
      <c r="BS1675" t="s">
        <v>246</v>
      </c>
      <c r="BT1675" t="s">
        <v>2238</v>
      </c>
      <c r="BU1675" t="s">
        <v>682</v>
      </c>
      <c r="BV1675" t="s">
        <v>1153</v>
      </c>
    </row>
    <row r="1676" spans="68:74" x14ac:dyDescent="0.25">
      <c r="BP1676">
        <v>12290</v>
      </c>
      <c r="BQ1676">
        <v>4030003312</v>
      </c>
      <c r="BR1676" s="15" t="s">
        <v>252</v>
      </c>
      <c r="BS1676" t="s">
        <v>246</v>
      </c>
      <c r="BT1676" t="s">
        <v>2239</v>
      </c>
      <c r="BU1676" t="s">
        <v>682</v>
      </c>
      <c r="BV1676" t="s">
        <v>1153</v>
      </c>
    </row>
    <row r="1677" spans="68:74" x14ac:dyDescent="0.25">
      <c r="BP1677">
        <v>12282</v>
      </c>
      <c r="BQ1677">
        <v>4030003308</v>
      </c>
      <c r="BR1677" s="15" t="s">
        <v>252</v>
      </c>
      <c r="BS1677" t="s">
        <v>246</v>
      </c>
      <c r="BT1677" t="s">
        <v>2240</v>
      </c>
      <c r="BU1677" t="s">
        <v>682</v>
      </c>
      <c r="BV1677" t="s">
        <v>1153</v>
      </c>
    </row>
    <row r="1678" spans="68:74" x14ac:dyDescent="0.25">
      <c r="BQ1678">
        <v>40400013</v>
      </c>
      <c r="BR1678" s="15" t="s">
        <v>253</v>
      </c>
      <c r="BS1678" t="s">
        <v>247</v>
      </c>
      <c r="BT1678" t="s">
        <v>2241</v>
      </c>
      <c r="BU1678" t="s">
        <v>682</v>
      </c>
      <c r="BV1678" t="s">
        <v>680</v>
      </c>
    </row>
    <row r="1679" spans="68:74" x14ac:dyDescent="0.25">
      <c r="BP1679">
        <v>12467</v>
      </c>
      <c r="BQ1679">
        <v>4040007301</v>
      </c>
      <c r="BR1679" s="15" t="s">
        <v>253</v>
      </c>
      <c r="BS1679" t="s">
        <v>247</v>
      </c>
      <c r="BT1679" t="s">
        <v>2242</v>
      </c>
      <c r="BU1679" t="s">
        <v>682</v>
      </c>
      <c r="BV1679" t="s">
        <v>1153</v>
      </c>
    </row>
    <row r="1680" spans="68:74" x14ac:dyDescent="0.25">
      <c r="BP1680">
        <v>12331</v>
      </c>
      <c r="BQ1680">
        <v>40400022</v>
      </c>
      <c r="BR1680" s="15" t="s">
        <v>253</v>
      </c>
      <c r="BS1680" t="s">
        <v>247</v>
      </c>
      <c r="BT1680" t="s">
        <v>2243</v>
      </c>
      <c r="BU1680" t="s">
        <v>681</v>
      </c>
      <c r="BV1680" t="s">
        <v>1153</v>
      </c>
    </row>
    <row r="1681" spans="68:74" x14ac:dyDescent="0.25">
      <c r="BP1681">
        <v>12333</v>
      </c>
      <c r="BQ1681">
        <v>40400022</v>
      </c>
      <c r="BR1681" s="15" t="s">
        <v>253</v>
      </c>
      <c r="BS1681" t="s">
        <v>247</v>
      </c>
      <c r="BT1681" t="s">
        <v>2243</v>
      </c>
      <c r="BU1681" t="s">
        <v>681</v>
      </c>
      <c r="BV1681" t="s">
        <v>1149</v>
      </c>
    </row>
    <row r="1682" spans="68:74" x14ac:dyDescent="0.25">
      <c r="BQ1682">
        <v>40400023</v>
      </c>
      <c r="BR1682" s="15" t="s">
        <v>253</v>
      </c>
      <c r="BS1682" t="s">
        <v>247</v>
      </c>
      <c r="BT1682" t="s">
        <v>2243</v>
      </c>
      <c r="BU1682" t="s">
        <v>682</v>
      </c>
      <c r="BV1682" t="s">
        <v>680</v>
      </c>
    </row>
    <row r="1683" spans="68:74" x14ac:dyDescent="0.25">
      <c r="BP1683">
        <v>12337</v>
      </c>
      <c r="BQ1683">
        <v>40400183</v>
      </c>
      <c r="BR1683" s="15" t="s">
        <v>253</v>
      </c>
      <c r="BS1683" t="s">
        <v>247</v>
      </c>
      <c r="BT1683" t="s">
        <v>2244</v>
      </c>
      <c r="BU1683" t="s">
        <v>682</v>
      </c>
      <c r="BV1683" t="s">
        <v>1149</v>
      </c>
    </row>
    <row r="1684" spans="68:74" x14ac:dyDescent="0.25">
      <c r="BP1684">
        <v>12336</v>
      </c>
      <c r="BQ1684">
        <v>40400183</v>
      </c>
      <c r="BR1684" s="15" t="s">
        <v>253</v>
      </c>
      <c r="BS1684" t="s">
        <v>247</v>
      </c>
      <c r="BT1684" t="s">
        <v>2244</v>
      </c>
      <c r="BU1684" t="s">
        <v>682</v>
      </c>
      <c r="BV1684" t="s">
        <v>1153</v>
      </c>
    </row>
    <row r="1685" spans="68:74" x14ac:dyDescent="0.25">
      <c r="BP1685">
        <v>12415</v>
      </c>
      <c r="BQ1685">
        <v>4040002301</v>
      </c>
      <c r="BR1685" s="15" t="s">
        <v>253</v>
      </c>
      <c r="BS1685" t="s">
        <v>247</v>
      </c>
      <c r="BT1685" t="s">
        <v>2245</v>
      </c>
      <c r="BU1685" t="s">
        <v>682</v>
      </c>
      <c r="BV1685" t="s">
        <v>1153</v>
      </c>
    </row>
    <row r="1686" spans="68:74" x14ac:dyDescent="0.25">
      <c r="BP1686">
        <v>12416</v>
      </c>
      <c r="BQ1686">
        <v>4040002301</v>
      </c>
      <c r="BR1686" s="15" t="s">
        <v>253</v>
      </c>
      <c r="BS1686" t="s">
        <v>247</v>
      </c>
      <c r="BT1686" t="s">
        <v>2245</v>
      </c>
      <c r="BU1686" t="s">
        <v>682</v>
      </c>
      <c r="BV1686" t="s">
        <v>1149</v>
      </c>
    </row>
    <row r="1687" spans="68:74" x14ac:dyDescent="0.25">
      <c r="BQ1687">
        <v>4040002312</v>
      </c>
      <c r="BR1687" s="15" t="s">
        <v>253</v>
      </c>
      <c r="BS1687" t="s">
        <v>247</v>
      </c>
      <c r="BT1687" t="s">
        <v>2246</v>
      </c>
      <c r="BU1687" t="s">
        <v>682</v>
      </c>
      <c r="BV1687" t="s">
        <v>1153</v>
      </c>
    </row>
    <row r="1688" spans="68:74" x14ac:dyDescent="0.25">
      <c r="BP1688">
        <v>12445</v>
      </c>
      <c r="BQ1688">
        <v>4040002320</v>
      </c>
      <c r="BR1688" s="15" t="s">
        <v>253</v>
      </c>
      <c r="BS1688" t="s">
        <v>247</v>
      </c>
      <c r="BT1688" t="s">
        <v>2247</v>
      </c>
      <c r="BU1688" t="s">
        <v>682</v>
      </c>
      <c r="BV1688" t="s">
        <v>1149</v>
      </c>
    </row>
    <row r="1689" spans="68:74" x14ac:dyDescent="0.25">
      <c r="BP1689">
        <v>12443</v>
      </c>
      <c r="BQ1689">
        <v>4040002320</v>
      </c>
      <c r="BR1689" s="15" t="s">
        <v>253</v>
      </c>
      <c r="BS1689" t="s">
        <v>247</v>
      </c>
      <c r="BT1689" t="s">
        <v>2247</v>
      </c>
      <c r="BU1689" t="s">
        <v>682</v>
      </c>
      <c r="BV1689" t="s">
        <v>1153</v>
      </c>
    </row>
    <row r="1690" spans="68:74" x14ac:dyDescent="0.25">
      <c r="BP1690">
        <v>12446</v>
      </c>
      <c r="BQ1690">
        <v>4040002321</v>
      </c>
      <c r="BR1690" s="15" t="s">
        <v>253</v>
      </c>
      <c r="BS1690" t="s">
        <v>247</v>
      </c>
      <c r="BT1690" t="s">
        <v>2248</v>
      </c>
      <c r="BU1690" t="s">
        <v>682</v>
      </c>
      <c r="BV1690" t="s">
        <v>1153</v>
      </c>
    </row>
    <row r="1691" spans="68:74" x14ac:dyDescent="0.25">
      <c r="BP1691">
        <v>12448</v>
      </c>
      <c r="BQ1691">
        <v>4040002321</v>
      </c>
      <c r="BR1691" s="15" t="s">
        <v>253</v>
      </c>
      <c r="BS1691" t="s">
        <v>247</v>
      </c>
      <c r="BT1691" t="s">
        <v>2248</v>
      </c>
      <c r="BU1691" t="s">
        <v>682</v>
      </c>
      <c r="BV1691" t="s">
        <v>1149</v>
      </c>
    </row>
    <row r="1692" spans="68:74" x14ac:dyDescent="0.25">
      <c r="BP1692">
        <v>12419</v>
      </c>
      <c r="BQ1692">
        <v>4040002302</v>
      </c>
      <c r="BR1692" s="15" t="s">
        <v>253</v>
      </c>
      <c r="BS1692" t="s">
        <v>247</v>
      </c>
      <c r="BT1692" t="s">
        <v>2249</v>
      </c>
      <c r="BU1692" t="s">
        <v>682</v>
      </c>
      <c r="BV1692" t="s">
        <v>1149</v>
      </c>
    </row>
    <row r="1693" spans="68:74" x14ac:dyDescent="0.25">
      <c r="BP1693">
        <v>12418</v>
      </c>
      <c r="BQ1693">
        <v>4040002302</v>
      </c>
      <c r="BR1693" s="15" t="s">
        <v>253</v>
      </c>
      <c r="BS1693" t="s">
        <v>247</v>
      </c>
      <c r="BT1693" t="s">
        <v>2249</v>
      </c>
      <c r="BU1693" t="s">
        <v>682</v>
      </c>
      <c r="BV1693" t="s">
        <v>1153</v>
      </c>
    </row>
    <row r="1694" spans="68:74" x14ac:dyDescent="0.25">
      <c r="BP1694">
        <v>12335</v>
      </c>
      <c r="BQ1694">
        <v>40400072</v>
      </c>
      <c r="BR1694" s="15" t="s">
        <v>253</v>
      </c>
      <c r="BS1694" t="s">
        <v>247</v>
      </c>
      <c r="BT1694" t="s">
        <v>2250</v>
      </c>
      <c r="BU1694" t="s">
        <v>681</v>
      </c>
      <c r="BV1694" t="s">
        <v>1153</v>
      </c>
    </row>
    <row r="1695" spans="68:74" x14ac:dyDescent="0.25">
      <c r="BQ1695">
        <v>40400073</v>
      </c>
      <c r="BR1695" s="15" t="s">
        <v>253</v>
      </c>
      <c r="BS1695" t="s">
        <v>247</v>
      </c>
      <c r="BT1695" t="s">
        <v>2250</v>
      </c>
      <c r="BU1695" t="s">
        <v>682</v>
      </c>
      <c r="BV1695" t="s">
        <v>680</v>
      </c>
    </row>
    <row r="1696" spans="68:74" x14ac:dyDescent="0.25">
      <c r="BQ1696">
        <v>4040007302</v>
      </c>
      <c r="BR1696" s="15" t="s">
        <v>253</v>
      </c>
      <c r="BS1696" t="s">
        <v>247</v>
      </c>
      <c r="BT1696" t="s">
        <v>2250</v>
      </c>
      <c r="BU1696" t="s">
        <v>682</v>
      </c>
      <c r="BV1696" t="s">
        <v>1153</v>
      </c>
    </row>
    <row r="1697" spans="68:74" x14ac:dyDescent="0.25">
      <c r="BQ1697">
        <v>40400062</v>
      </c>
      <c r="BR1697" s="15" t="s">
        <v>253</v>
      </c>
      <c r="BS1697" t="s">
        <v>247</v>
      </c>
      <c r="BT1697" t="s">
        <v>2251</v>
      </c>
      <c r="BU1697" t="s">
        <v>681</v>
      </c>
      <c r="BV1697" t="s">
        <v>680</v>
      </c>
    </row>
    <row r="1698" spans="68:74" x14ac:dyDescent="0.25">
      <c r="BP1698">
        <v>12469</v>
      </c>
      <c r="BQ1698">
        <v>4040007303</v>
      </c>
      <c r="BR1698" s="15" t="s">
        <v>253</v>
      </c>
      <c r="BS1698" t="s">
        <v>247</v>
      </c>
      <c r="BT1698" t="s">
        <v>2252</v>
      </c>
      <c r="BU1698" t="s">
        <v>682</v>
      </c>
      <c r="BV1698" t="s">
        <v>1153</v>
      </c>
    </row>
    <row r="1699" spans="68:74" x14ac:dyDescent="0.25">
      <c r="BP1699">
        <v>214501</v>
      </c>
      <c r="BQ1699">
        <v>40400922</v>
      </c>
      <c r="BR1699" s="15" t="s">
        <v>253</v>
      </c>
      <c r="BS1699" t="s">
        <v>247</v>
      </c>
      <c r="BT1699" t="s">
        <v>2253</v>
      </c>
      <c r="BU1699" t="s">
        <v>681</v>
      </c>
      <c r="BV1699" t="s">
        <v>1153</v>
      </c>
    </row>
    <row r="1700" spans="68:74" x14ac:dyDescent="0.25">
      <c r="BP1700">
        <v>12420</v>
      </c>
      <c r="BQ1700">
        <v>4040002303</v>
      </c>
      <c r="BR1700" s="15" t="s">
        <v>253</v>
      </c>
      <c r="BS1700" t="s">
        <v>247</v>
      </c>
      <c r="BT1700" t="s">
        <v>2254</v>
      </c>
      <c r="BU1700" t="s">
        <v>682</v>
      </c>
      <c r="BV1700" t="s">
        <v>1153</v>
      </c>
    </row>
    <row r="1701" spans="68:74" x14ac:dyDescent="0.25">
      <c r="BP1701">
        <v>12421</v>
      </c>
      <c r="BQ1701">
        <v>4040002303</v>
      </c>
      <c r="BR1701" s="15" t="s">
        <v>253</v>
      </c>
      <c r="BS1701" t="s">
        <v>247</v>
      </c>
      <c r="BT1701" t="s">
        <v>2254</v>
      </c>
      <c r="BU1701" t="s">
        <v>682</v>
      </c>
      <c r="BV1701" t="s">
        <v>1149</v>
      </c>
    </row>
    <row r="1702" spans="68:74" x14ac:dyDescent="0.25">
      <c r="BP1702">
        <v>12458</v>
      </c>
      <c r="BQ1702">
        <v>4040002330</v>
      </c>
      <c r="BR1702" s="15" t="s">
        <v>253</v>
      </c>
      <c r="BS1702" t="s">
        <v>247</v>
      </c>
      <c r="BT1702" t="s">
        <v>2254</v>
      </c>
      <c r="BU1702" t="s">
        <v>682</v>
      </c>
      <c r="BV1702" t="s">
        <v>1153</v>
      </c>
    </row>
    <row r="1703" spans="68:74" x14ac:dyDescent="0.25">
      <c r="BQ1703">
        <v>4040002313</v>
      </c>
      <c r="BR1703" s="15" t="s">
        <v>253</v>
      </c>
      <c r="BS1703" t="s">
        <v>247</v>
      </c>
      <c r="BT1703" t="s">
        <v>2255</v>
      </c>
      <c r="BU1703" t="s">
        <v>682</v>
      </c>
      <c r="BV1703" t="s">
        <v>1153</v>
      </c>
    </row>
    <row r="1704" spans="68:74" x14ac:dyDescent="0.25">
      <c r="BP1704">
        <v>12463</v>
      </c>
      <c r="BQ1704">
        <v>4040002332</v>
      </c>
      <c r="BR1704" s="15" t="s">
        <v>253</v>
      </c>
      <c r="BS1704" t="s">
        <v>247</v>
      </c>
      <c r="BT1704" t="s">
        <v>2256</v>
      </c>
      <c r="BU1704" t="s">
        <v>682</v>
      </c>
      <c r="BV1704" t="s">
        <v>1149</v>
      </c>
    </row>
    <row r="1705" spans="68:74" x14ac:dyDescent="0.25">
      <c r="BP1705">
        <v>12373</v>
      </c>
      <c r="BQ1705">
        <v>40400882</v>
      </c>
      <c r="BR1705" s="15" t="s">
        <v>253</v>
      </c>
      <c r="BS1705" t="s">
        <v>247</v>
      </c>
      <c r="BT1705" t="s">
        <v>2257</v>
      </c>
      <c r="BU1705" t="s">
        <v>681</v>
      </c>
      <c r="BV1705" t="s">
        <v>1153</v>
      </c>
    </row>
    <row r="1706" spans="68:74" x14ac:dyDescent="0.25">
      <c r="BP1706">
        <v>12470</v>
      </c>
      <c r="BQ1706">
        <v>4040007304</v>
      </c>
      <c r="BR1706" s="15" t="s">
        <v>253</v>
      </c>
      <c r="BS1706" t="s">
        <v>247</v>
      </c>
      <c r="BT1706" t="s">
        <v>2258</v>
      </c>
      <c r="BU1706" t="s">
        <v>682</v>
      </c>
      <c r="BV1706" t="s">
        <v>1153</v>
      </c>
    </row>
    <row r="1707" spans="68:74" x14ac:dyDescent="0.25">
      <c r="BP1707">
        <v>12471</v>
      </c>
      <c r="BQ1707">
        <v>4040007307</v>
      </c>
      <c r="BR1707" s="15" t="s">
        <v>253</v>
      </c>
      <c r="BS1707" t="s">
        <v>247</v>
      </c>
      <c r="BT1707" t="s">
        <v>2259</v>
      </c>
      <c r="BU1707" t="s">
        <v>682</v>
      </c>
      <c r="BV1707" t="s">
        <v>1153</v>
      </c>
    </row>
    <row r="1708" spans="68:74" x14ac:dyDescent="0.25">
      <c r="BQ1708">
        <v>4040002304</v>
      </c>
      <c r="BR1708" s="15" t="s">
        <v>253</v>
      </c>
      <c r="BS1708" t="s">
        <v>247</v>
      </c>
      <c r="BT1708" t="s">
        <v>1871</v>
      </c>
      <c r="BU1708" t="s">
        <v>682</v>
      </c>
      <c r="BV1708" t="s">
        <v>680</v>
      </c>
    </row>
    <row r="1709" spans="68:74" x14ac:dyDescent="0.25">
      <c r="BQ1709">
        <v>40400083</v>
      </c>
      <c r="BR1709" s="15" t="s">
        <v>253</v>
      </c>
      <c r="BS1709" t="s">
        <v>247</v>
      </c>
      <c r="BT1709" t="s">
        <v>2260</v>
      </c>
      <c r="BU1709" t="s">
        <v>682</v>
      </c>
      <c r="BV1709" t="s">
        <v>680</v>
      </c>
    </row>
    <row r="1710" spans="68:74" x14ac:dyDescent="0.25">
      <c r="BQ1710">
        <v>40400093</v>
      </c>
      <c r="BR1710" s="15" t="s">
        <v>253</v>
      </c>
      <c r="BS1710" t="s">
        <v>247</v>
      </c>
      <c r="BT1710" t="s">
        <v>2261</v>
      </c>
      <c r="BU1710" t="s">
        <v>682</v>
      </c>
      <c r="BV1710" t="s">
        <v>680</v>
      </c>
    </row>
    <row r="1711" spans="68:74" x14ac:dyDescent="0.25">
      <c r="BQ1711">
        <v>40400102</v>
      </c>
      <c r="BR1711" s="15" t="s">
        <v>253</v>
      </c>
      <c r="BS1711" t="s">
        <v>247</v>
      </c>
      <c r="BT1711" t="s">
        <v>2262</v>
      </c>
      <c r="BU1711" t="s">
        <v>681</v>
      </c>
      <c r="BV1711" t="s">
        <v>680</v>
      </c>
    </row>
    <row r="1712" spans="68:74" x14ac:dyDescent="0.25">
      <c r="BQ1712">
        <v>40400032</v>
      </c>
      <c r="BR1712" s="15" t="s">
        <v>253</v>
      </c>
      <c r="BS1712" t="s">
        <v>247</v>
      </c>
      <c r="BT1712" t="s">
        <v>2164</v>
      </c>
      <c r="BU1712" t="s">
        <v>681</v>
      </c>
      <c r="BV1712" t="s">
        <v>680</v>
      </c>
    </row>
    <row r="1713" spans="68:74" x14ac:dyDescent="0.25">
      <c r="BQ1713">
        <v>40400053</v>
      </c>
      <c r="BR1713" s="15" t="s">
        <v>253</v>
      </c>
      <c r="BS1713" t="s">
        <v>247</v>
      </c>
      <c r="BT1713" t="s">
        <v>2263</v>
      </c>
      <c r="BU1713" t="s">
        <v>682</v>
      </c>
      <c r="BV1713" t="s">
        <v>680</v>
      </c>
    </row>
    <row r="1714" spans="68:74" x14ac:dyDescent="0.25">
      <c r="BQ1714">
        <v>40400112</v>
      </c>
      <c r="BR1714" s="15" t="s">
        <v>253</v>
      </c>
      <c r="BS1714" t="s">
        <v>247</v>
      </c>
      <c r="BT1714" t="s">
        <v>2264</v>
      </c>
      <c r="BU1714" t="s">
        <v>681</v>
      </c>
      <c r="BV1714" t="s">
        <v>680</v>
      </c>
    </row>
    <row r="1715" spans="68:74" x14ac:dyDescent="0.25">
      <c r="BP1715">
        <v>12455</v>
      </c>
      <c r="BQ1715">
        <v>4040002328</v>
      </c>
      <c r="BR1715" s="15" t="s">
        <v>253</v>
      </c>
      <c r="BS1715" t="s">
        <v>247</v>
      </c>
      <c r="BT1715" t="s">
        <v>2265</v>
      </c>
      <c r="BU1715" t="s">
        <v>682</v>
      </c>
      <c r="BV1715" t="s">
        <v>1149</v>
      </c>
    </row>
    <row r="1716" spans="68:74" x14ac:dyDescent="0.25">
      <c r="BP1716">
        <v>12454</v>
      </c>
      <c r="BQ1716">
        <v>4040002327</v>
      </c>
      <c r="BR1716" s="15" t="s">
        <v>253</v>
      </c>
      <c r="BS1716" t="s">
        <v>247</v>
      </c>
      <c r="BT1716" t="s">
        <v>2266</v>
      </c>
      <c r="BU1716" t="s">
        <v>682</v>
      </c>
      <c r="BV1716" t="s">
        <v>1153</v>
      </c>
    </row>
    <row r="1717" spans="68:74" x14ac:dyDescent="0.25">
      <c r="BP1717">
        <v>12450</v>
      </c>
      <c r="BQ1717">
        <v>4040002326</v>
      </c>
      <c r="BR1717" s="15" t="s">
        <v>253</v>
      </c>
      <c r="BS1717" t="s">
        <v>247</v>
      </c>
      <c r="BT1717" t="s">
        <v>2267</v>
      </c>
      <c r="BU1717" t="s">
        <v>682</v>
      </c>
      <c r="BV1717" t="s">
        <v>1153</v>
      </c>
    </row>
    <row r="1718" spans="68:74" x14ac:dyDescent="0.25">
      <c r="BP1718">
        <v>12452</v>
      </c>
      <c r="BQ1718">
        <v>4040002326</v>
      </c>
      <c r="BR1718" s="15" t="s">
        <v>253</v>
      </c>
      <c r="BS1718" t="s">
        <v>247</v>
      </c>
      <c r="BT1718" t="s">
        <v>2267</v>
      </c>
      <c r="BU1718" t="s">
        <v>682</v>
      </c>
      <c r="BV1718" t="s">
        <v>1149</v>
      </c>
    </row>
    <row r="1719" spans="68:74" x14ac:dyDescent="0.25">
      <c r="BP1719">
        <v>12455</v>
      </c>
      <c r="BQ1719">
        <v>4040002325</v>
      </c>
      <c r="BR1719" s="15" t="s">
        <v>253</v>
      </c>
      <c r="BS1719" t="s">
        <v>247</v>
      </c>
      <c r="BT1719" t="s">
        <v>2268</v>
      </c>
      <c r="BU1719" t="s">
        <v>682</v>
      </c>
      <c r="BV1719" t="s">
        <v>1149</v>
      </c>
    </row>
    <row r="1720" spans="68:74" x14ac:dyDescent="0.25">
      <c r="BP1720">
        <v>12449</v>
      </c>
      <c r="BQ1720">
        <v>4040002325</v>
      </c>
      <c r="BR1720" s="15" t="s">
        <v>253</v>
      </c>
      <c r="BS1720" t="s">
        <v>247</v>
      </c>
      <c r="BT1720" t="s">
        <v>2268</v>
      </c>
      <c r="BU1720" t="s">
        <v>682</v>
      </c>
      <c r="BV1720" t="s">
        <v>1153</v>
      </c>
    </row>
    <row r="1721" spans="68:74" x14ac:dyDescent="0.25">
      <c r="BP1721">
        <v>12473</v>
      </c>
      <c r="BQ1721">
        <v>4040007308</v>
      </c>
      <c r="BR1721" s="15" t="s">
        <v>253</v>
      </c>
      <c r="BS1721" t="s">
        <v>247</v>
      </c>
      <c r="BT1721" t="s">
        <v>2269</v>
      </c>
      <c r="BU1721" t="s">
        <v>682</v>
      </c>
      <c r="BV1721" t="s">
        <v>1153</v>
      </c>
    </row>
    <row r="1722" spans="68:74" x14ac:dyDescent="0.25">
      <c r="BP1722">
        <v>12440</v>
      </c>
      <c r="BQ1722">
        <v>4040002318</v>
      </c>
      <c r="BR1722" s="15" t="s">
        <v>253</v>
      </c>
      <c r="BS1722" t="s">
        <v>247</v>
      </c>
      <c r="BT1722" t="s">
        <v>2270</v>
      </c>
      <c r="BU1722" t="s">
        <v>682</v>
      </c>
      <c r="BV1722" t="s">
        <v>1153</v>
      </c>
    </row>
    <row r="1723" spans="68:74" x14ac:dyDescent="0.25">
      <c r="BP1723">
        <v>12462</v>
      </c>
      <c r="BQ1723">
        <v>4040002331</v>
      </c>
      <c r="BR1723" s="15" t="s">
        <v>253</v>
      </c>
      <c r="BS1723" t="s">
        <v>247</v>
      </c>
      <c r="BT1723" t="s">
        <v>2271</v>
      </c>
      <c r="BU1723" t="s">
        <v>682</v>
      </c>
      <c r="BV1723" t="s">
        <v>1149</v>
      </c>
    </row>
    <row r="1724" spans="68:74" x14ac:dyDescent="0.25">
      <c r="BP1724">
        <v>12460</v>
      </c>
      <c r="BQ1724">
        <v>4040002331</v>
      </c>
      <c r="BR1724" s="15" t="s">
        <v>253</v>
      </c>
      <c r="BS1724" t="s">
        <v>247</v>
      </c>
      <c r="BT1724" t="s">
        <v>2271</v>
      </c>
      <c r="BU1724" t="s">
        <v>682</v>
      </c>
      <c r="BV1724" t="s">
        <v>1153</v>
      </c>
    </row>
    <row r="1725" spans="68:74" x14ac:dyDescent="0.25">
      <c r="BP1725">
        <v>671966</v>
      </c>
      <c r="BQ1725">
        <v>4040002333</v>
      </c>
      <c r="BR1725" s="15" t="s">
        <v>253</v>
      </c>
      <c r="BS1725" t="s">
        <v>247</v>
      </c>
      <c r="BT1725" t="s">
        <v>2272</v>
      </c>
      <c r="BU1725" t="s">
        <v>682</v>
      </c>
      <c r="BV1725" t="s">
        <v>1153</v>
      </c>
    </row>
    <row r="1726" spans="68:74" x14ac:dyDescent="0.25">
      <c r="BP1726">
        <v>12466</v>
      </c>
      <c r="BQ1726">
        <v>4040002333</v>
      </c>
      <c r="BR1726" s="15" t="s">
        <v>253</v>
      </c>
      <c r="BS1726" t="s">
        <v>247</v>
      </c>
      <c r="BT1726" t="s">
        <v>2272</v>
      </c>
      <c r="BU1726" t="s">
        <v>682</v>
      </c>
      <c r="BV1726" t="s">
        <v>1149</v>
      </c>
    </row>
    <row r="1727" spans="68:74" x14ac:dyDescent="0.25">
      <c r="BP1727">
        <v>12474</v>
      </c>
      <c r="BQ1727">
        <v>4040007309</v>
      </c>
      <c r="BR1727" s="15" t="s">
        <v>253</v>
      </c>
      <c r="BS1727" t="s">
        <v>247</v>
      </c>
      <c r="BT1727" t="s">
        <v>2273</v>
      </c>
      <c r="BU1727" t="s">
        <v>682</v>
      </c>
      <c r="BV1727" t="s">
        <v>1153</v>
      </c>
    </row>
    <row r="1728" spans="68:74" x14ac:dyDescent="0.25">
      <c r="BP1728">
        <v>320911</v>
      </c>
      <c r="BQ1728">
        <v>4040007305</v>
      </c>
      <c r="BR1728" s="15" t="s">
        <v>253</v>
      </c>
      <c r="BS1728" t="s">
        <v>247</v>
      </c>
      <c r="BT1728" t="s">
        <v>2274</v>
      </c>
      <c r="BU1728" t="s">
        <v>682</v>
      </c>
      <c r="BV1728" t="s">
        <v>1153</v>
      </c>
    </row>
    <row r="1729" spans="68:74" x14ac:dyDescent="0.25">
      <c r="BQ1729">
        <v>4040007306</v>
      </c>
      <c r="BR1729" s="15" t="s">
        <v>253</v>
      </c>
      <c r="BS1729" t="s">
        <v>247</v>
      </c>
      <c r="BT1729" t="s">
        <v>2275</v>
      </c>
      <c r="BU1729" t="s">
        <v>682</v>
      </c>
      <c r="BV1729" t="s">
        <v>1153</v>
      </c>
    </row>
    <row r="1730" spans="68:74" x14ac:dyDescent="0.25">
      <c r="BP1730">
        <v>12434</v>
      </c>
      <c r="BQ1730">
        <v>4040002311</v>
      </c>
      <c r="BR1730" s="15" t="s">
        <v>253</v>
      </c>
      <c r="BS1730" t="s">
        <v>247</v>
      </c>
      <c r="BT1730" t="s">
        <v>2276</v>
      </c>
      <c r="BU1730" t="s">
        <v>682</v>
      </c>
      <c r="BV1730" t="s">
        <v>1149</v>
      </c>
    </row>
    <row r="1731" spans="68:74" x14ac:dyDescent="0.25">
      <c r="BP1731">
        <v>12433</v>
      </c>
      <c r="BQ1731">
        <v>4040002311</v>
      </c>
      <c r="BR1731" s="15" t="s">
        <v>253</v>
      </c>
      <c r="BS1731" t="s">
        <v>247</v>
      </c>
      <c r="BT1731" t="s">
        <v>2276</v>
      </c>
      <c r="BU1731" t="s">
        <v>682</v>
      </c>
      <c r="BV1731" t="s">
        <v>1153</v>
      </c>
    </row>
    <row r="1732" spans="68:74" x14ac:dyDescent="0.25">
      <c r="BP1732">
        <v>12437</v>
      </c>
      <c r="BQ1732">
        <v>4040002317</v>
      </c>
      <c r="BR1732" s="15" t="s">
        <v>253</v>
      </c>
      <c r="BS1732" t="s">
        <v>247</v>
      </c>
      <c r="BT1732" t="s">
        <v>2277</v>
      </c>
      <c r="BU1732" t="s">
        <v>682</v>
      </c>
      <c r="BV1732" t="s">
        <v>1153</v>
      </c>
    </row>
    <row r="1733" spans="68:74" x14ac:dyDescent="0.25">
      <c r="BP1733">
        <v>12438</v>
      </c>
      <c r="BQ1733">
        <v>4040002317</v>
      </c>
      <c r="BR1733" s="15" t="s">
        <v>253</v>
      </c>
      <c r="BS1733" t="s">
        <v>247</v>
      </c>
      <c r="BT1733" t="s">
        <v>2277</v>
      </c>
      <c r="BU1733" t="s">
        <v>682</v>
      </c>
      <c r="BV1733" t="s">
        <v>1149</v>
      </c>
    </row>
    <row r="1734" spans="68:74" x14ac:dyDescent="0.25">
      <c r="BP1734">
        <v>12423</v>
      </c>
      <c r="BQ1734">
        <v>4040002305</v>
      </c>
      <c r="BR1734" s="15" t="s">
        <v>253</v>
      </c>
      <c r="BS1734" t="s">
        <v>247</v>
      </c>
      <c r="BT1734" t="s">
        <v>2278</v>
      </c>
      <c r="BU1734" t="s">
        <v>682</v>
      </c>
      <c r="BV1734" t="s">
        <v>1153</v>
      </c>
    </row>
    <row r="1735" spans="68:74" x14ac:dyDescent="0.25">
      <c r="BP1735">
        <v>12424</v>
      </c>
      <c r="BQ1735">
        <v>4040002305</v>
      </c>
      <c r="BR1735" s="15" t="s">
        <v>253</v>
      </c>
      <c r="BS1735" t="s">
        <v>247</v>
      </c>
      <c r="BT1735" t="s">
        <v>2278</v>
      </c>
      <c r="BU1735" t="s">
        <v>682</v>
      </c>
      <c r="BV1735" t="s">
        <v>1149</v>
      </c>
    </row>
    <row r="1736" spans="68:74" x14ac:dyDescent="0.25">
      <c r="BQ1736">
        <v>4040002314</v>
      </c>
      <c r="BR1736" s="15" t="s">
        <v>253</v>
      </c>
      <c r="BS1736" t="s">
        <v>247</v>
      </c>
      <c r="BT1736" t="s">
        <v>2279</v>
      </c>
      <c r="BU1736" t="s">
        <v>682</v>
      </c>
      <c r="BV1736" t="s">
        <v>1149</v>
      </c>
    </row>
    <row r="1737" spans="68:74" x14ac:dyDescent="0.25">
      <c r="BQ1737">
        <v>4040002314</v>
      </c>
      <c r="BR1737" s="15" t="s">
        <v>253</v>
      </c>
      <c r="BS1737" t="s">
        <v>247</v>
      </c>
      <c r="BT1737" t="s">
        <v>2279</v>
      </c>
      <c r="BU1737" t="s">
        <v>682</v>
      </c>
      <c r="BV1737" t="s">
        <v>1153</v>
      </c>
    </row>
    <row r="1738" spans="68:74" x14ac:dyDescent="0.25">
      <c r="BP1738">
        <v>12441</v>
      </c>
      <c r="BQ1738">
        <v>4040002319</v>
      </c>
      <c r="BR1738" s="15" t="s">
        <v>253</v>
      </c>
      <c r="BS1738" t="s">
        <v>247</v>
      </c>
      <c r="BT1738" t="s">
        <v>2280</v>
      </c>
      <c r="BU1738" t="s">
        <v>682</v>
      </c>
      <c r="BV1738" t="s">
        <v>1153</v>
      </c>
    </row>
    <row r="1739" spans="68:74" x14ac:dyDescent="0.25">
      <c r="BQ1739">
        <v>4040002324</v>
      </c>
      <c r="BR1739" s="15" t="s">
        <v>253</v>
      </c>
      <c r="BS1739" t="s">
        <v>247</v>
      </c>
      <c r="BT1739" t="s">
        <v>2281</v>
      </c>
      <c r="BU1739" t="s">
        <v>682</v>
      </c>
      <c r="BV1739" t="s">
        <v>1153</v>
      </c>
    </row>
    <row r="1740" spans="68:74" x14ac:dyDescent="0.25">
      <c r="BP1740">
        <v>284197</v>
      </c>
      <c r="BQ1740">
        <v>40400963</v>
      </c>
      <c r="BR1740" s="15" t="s">
        <v>253</v>
      </c>
      <c r="BS1740" t="s">
        <v>247</v>
      </c>
      <c r="BT1740" t="s">
        <v>2282</v>
      </c>
      <c r="BU1740" t="s">
        <v>682</v>
      </c>
      <c r="BV1740" t="s">
        <v>1153</v>
      </c>
    </row>
    <row r="1741" spans="68:74" x14ac:dyDescent="0.25">
      <c r="BP1741">
        <v>12427</v>
      </c>
      <c r="BQ1741">
        <v>4040002306</v>
      </c>
      <c r="BR1741" s="15" t="s">
        <v>253</v>
      </c>
      <c r="BS1741" t="s">
        <v>247</v>
      </c>
      <c r="BT1741" t="s">
        <v>2283</v>
      </c>
      <c r="BU1741" t="s">
        <v>682</v>
      </c>
      <c r="BV1741" t="s">
        <v>1149</v>
      </c>
    </row>
    <row r="1742" spans="68:74" x14ac:dyDescent="0.25">
      <c r="BP1742">
        <v>12425</v>
      </c>
      <c r="BQ1742">
        <v>4040002306</v>
      </c>
      <c r="BR1742" s="15" t="s">
        <v>253</v>
      </c>
      <c r="BS1742" t="s">
        <v>247</v>
      </c>
      <c r="BT1742" t="s">
        <v>2283</v>
      </c>
      <c r="BU1742" t="s">
        <v>682</v>
      </c>
      <c r="BV1742" t="s">
        <v>1153</v>
      </c>
    </row>
    <row r="1743" spans="68:74" x14ac:dyDescent="0.25">
      <c r="BP1743">
        <v>12426</v>
      </c>
      <c r="BQ1743">
        <v>4040002306</v>
      </c>
      <c r="BR1743" s="15" t="s">
        <v>253</v>
      </c>
      <c r="BS1743" t="s">
        <v>247</v>
      </c>
      <c r="BT1743" t="s">
        <v>2283</v>
      </c>
      <c r="BU1743" t="s">
        <v>682</v>
      </c>
      <c r="BV1743" t="s">
        <v>1149</v>
      </c>
    </row>
    <row r="1744" spans="68:74" x14ac:dyDescent="0.25">
      <c r="BP1744">
        <v>12432</v>
      </c>
      <c r="BQ1744">
        <v>4040002310</v>
      </c>
      <c r="BR1744" s="15" t="s">
        <v>253</v>
      </c>
      <c r="BS1744" t="s">
        <v>247</v>
      </c>
      <c r="BT1744" t="s">
        <v>2283</v>
      </c>
      <c r="BU1744" t="s">
        <v>682</v>
      </c>
      <c r="BV1744" t="s">
        <v>1153</v>
      </c>
    </row>
    <row r="1745" spans="68:74" x14ac:dyDescent="0.25">
      <c r="BP1745">
        <v>12457</v>
      </c>
      <c r="BQ1745">
        <v>4040002329</v>
      </c>
      <c r="BR1745" s="15" t="s">
        <v>253</v>
      </c>
      <c r="BS1745" t="s">
        <v>247</v>
      </c>
      <c r="BT1745" t="s">
        <v>2283</v>
      </c>
      <c r="BU1745" t="s">
        <v>682</v>
      </c>
      <c r="BV1745" t="s">
        <v>1153</v>
      </c>
    </row>
    <row r="1746" spans="68:74" x14ac:dyDescent="0.25">
      <c r="BP1746">
        <v>12435</v>
      </c>
      <c r="BQ1746">
        <v>4040002315</v>
      </c>
      <c r="BR1746" s="15" t="s">
        <v>253</v>
      </c>
      <c r="BS1746" t="s">
        <v>247</v>
      </c>
      <c r="BT1746" t="s">
        <v>2284</v>
      </c>
      <c r="BU1746" t="s">
        <v>682</v>
      </c>
      <c r="BV1746" t="s">
        <v>1149</v>
      </c>
    </row>
    <row r="1747" spans="68:74" x14ac:dyDescent="0.25">
      <c r="BP1747">
        <v>66653</v>
      </c>
      <c r="BQ1747">
        <v>4040002334</v>
      </c>
      <c r="BR1747" s="15" t="s">
        <v>253</v>
      </c>
      <c r="BS1747" t="s">
        <v>247</v>
      </c>
      <c r="BT1747" t="s">
        <v>2285</v>
      </c>
      <c r="BU1747" t="s">
        <v>682</v>
      </c>
      <c r="BV1747" t="s">
        <v>1149</v>
      </c>
    </row>
    <row r="1748" spans="68:74" x14ac:dyDescent="0.25">
      <c r="BQ1748">
        <v>40400043</v>
      </c>
      <c r="BR1748" s="15" t="s">
        <v>253</v>
      </c>
      <c r="BS1748" t="s">
        <v>247</v>
      </c>
      <c r="BT1748" t="s">
        <v>2286</v>
      </c>
      <c r="BU1748" t="s">
        <v>682</v>
      </c>
      <c r="BV1748" t="s">
        <v>680</v>
      </c>
    </row>
    <row r="1749" spans="68:74" x14ac:dyDescent="0.25">
      <c r="BP1749">
        <v>284196</v>
      </c>
      <c r="BQ1749">
        <v>40400953</v>
      </c>
      <c r="BR1749" s="15" t="s">
        <v>253</v>
      </c>
      <c r="BS1749" t="s">
        <v>247</v>
      </c>
      <c r="BT1749" t="s">
        <v>2287</v>
      </c>
      <c r="BU1749" t="s">
        <v>682</v>
      </c>
      <c r="BV1749" t="s">
        <v>1149</v>
      </c>
    </row>
    <row r="1750" spans="68:74" x14ac:dyDescent="0.25">
      <c r="BP1750">
        <v>12429</v>
      </c>
      <c r="BQ1750">
        <v>4040002307</v>
      </c>
      <c r="BR1750" s="15" t="s">
        <v>253</v>
      </c>
      <c r="BS1750" t="s">
        <v>247</v>
      </c>
      <c r="BT1750" t="s">
        <v>2288</v>
      </c>
      <c r="BU1750" t="s">
        <v>682</v>
      </c>
      <c r="BV1750" t="s">
        <v>1149</v>
      </c>
    </row>
    <row r="1751" spans="68:74" x14ac:dyDescent="0.25">
      <c r="BP1751">
        <v>12428</v>
      </c>
      <c r="BQ1751">
        <v>4040002307</v>
      </c>
      <c r="BR1751" s="15" t="s">
        <v>253</v>
      </c>
      <c r="BS1751" t="s">
        <v>247</v>
      </c>
      <c r="BT1751" t="s">
        <v>2288</v>
      </c>
      <c r="BU1751" t="s">
        <v>682</v>
      </c>
      <c r="BV1751" t="s">
        <v>1153</v>
      </c>
    </row>
    <row r="1752" spans="68:74" x14ac:dyDescent="0.25">
      <c r="BQ1752">
        <v>4040002316</v>
      </c>
      <c r="BR1752" s="15" t="s">
        <v>253</v>
      </c>
      <c r="BS1752" t="s">
        <v>247</v>
      </c>
      <c r="BT1752" t="s">
        <v>2289</v>
      </c>
      <c r="BU1752" t="s">
        <v>682</v>
      </c>
      <c r="BV1752" t="s">
        <v>680</v>
      </c>
    </row>
    <row r="1753" spans="68:74" x14ac:dyDescent="0.25">
      <c r="BQ1753">
        <v>4040002322</v>
      </c>
      <c r="BR1753" s="15" t="s">
        <v>253</v>
      </c>
      <c r="BS1753" t="s">
        <v>247</v>
      </c>
      <c r="BT1753" t="s">
        <v>2290</v>
      </c>
      <c r="BU1753" t="s">
        <v>682</v>
      </c>
      <c r="BV1753" t="s">
        <v>1153</v>
      </c>
    </row>
    <row r="1754" spans="68:74" x14ac:dyDescent="0.25">
      <c r="BQ1754">
        <v>4040002308</v>
      </c>
      <c r="BR1754" s="15" t="s">
        <v>253</v>
      </c>
      <c r="BS1754" t="s">
        <v>247</v>
      </c>
      <c r="BT1754" t="s">
        <v>1933</v>
      </c>
      <c r="BU1754" t="s">
        <v>682</v>
      </c>
      <c r="BV1754" t="s">
        <v>680</v>
      </c>
    </row>
    <row r="1755" spans="68:74" x14ac:dyDescent="0.25">
      <c r="BP1755">
        <v>12431</v>
      </c>
      <c r="BQ1755">
        <v>4040002309</v>
      </c>
      <c r="BR1755" s="15" t="s">
        <v>253</v>
      </c>
      <c r="BS1755" t="s">
        <v>247</v>
      </c>
      <c r="BT1755" t="s">
        <v>2291</v>
      </c>
      <c r="BU1755" t="s">
        <v>682</v>
      </c>
      <c r="BV1755" t="s">
        <v>1149</v>
      </c>
    </row>
    <row r="1756" spans="68:74" x14ac:dyDescent="0.25">
      <c r="BP1756">
        <v>12430</v>
      </c>
      <c r="BQ1756">
        <v>4040002309</v>
      </c>
      <c r="BR1756" s="15" t="s">
        <v>253</v>
      </c>
      <c r="BS1756" t="s">
        <v>247</v>
      </c>
      <c r="BT1756" t="s">
        <v>2291</v>
      </c>
      <c r="BU1756" t="s">
        <v>682</v>
      </c>
      <c r="BV1756" t="s">
        <v>1153</v>
      </c>
    </row>
    <row r="1757" spans="68:74" x14ac:dyDescent="0.25">
      <c r="BQ1757">
        <v>4040002323</v>
      </c>
      <c r="BR1757" s="15" t="s">
        <v>253</v>
      </c>
      <c r="BS1757" t="s">
        <v>247</v>
      </c>
      <c r="BT1757" t="s">
        <v>2292</v>
      </c>
      <c r="BU1757" t="s">
        <v>682</v>
      </c>
      <c r="BV1757" t="s">
        <v>1153</v>
      </c>
    </row>
    <row r="1758" spans="68:74" x14ac:dyDescent="0.25">
      <c r="BP1758">
        <v>11791</v>
      </c>
      <c r="BQ1758">
        <v>4050001308</v>
      </c>
      <c r="BR1758" s="15" t="s">
        <v>254</v>
      </c>
      <c r="BS1758" t="s">
        <v>248</v>
      </c>
      <c r="BT1758" t="s">
        <v>2293</v>
      </c>
      <c r="BU1758" t="s">
        <v>682</v>
      </c>
      <c r="BV1758" t="s">
        <v>1153</v>
      </c>
    </row>
    <row r="1759" spans="68:74" x14ac:dyDescent="0.25">
      <c r="BP1759">
        <v>441088</v>
      </c>
      <c r="BQ1759">
        <v>40500472</v>
      </c>
      <c r="BR1759" s="15" t="s">
        <v>254</v>
      </c>
      <c r="BS1759" t="s">
        <v>248</v>
      </c>
      <c r="BT1759" t="s">
        <v>4503</v>
      </c>
      <c r="BU1759" t="s">
        <v>681</v>
      </c>
      <c r="BV1759" t="s">
        <v>1153</v>
      </c>
    </row>
    <row r="1760" spans="68:74" x14ac:dyDescent="0.25">
      <c r="BP1760">
        <v>533298</v>
      </c>
      <c r="BQ1760">
        <v>4050003302</v>
      </c>
      <c r="BR1760" s="15" t="s">
        <v>254</v>
      </c>
      <c r="BS1760" t="s">
        <v>248</v>
      </c>
      <c r="BT1760" t="s">
        <v>2294</v>
      </c>
      <c r="BU1760" t="s">
        <v>682</v>
      </c>
      <c r="BV1760" t="s">
        <v>1153</v>
      </c>
    </row>
    <row r="1761" spans="68:74" x14ac:dyDescent="0.25">
      <c r="BP1761">
        <v>11795</v>
      </c>
      <c r="BQ1761">
        <v>4050003302</v>
      </c>
      <c r="BR1761" s="15" t="s">
        <v>254</v>
      </c>
      <c r="BS1761" t="s">
        <v>248</v>
      </c>
      <c r="BT1761" t="s">
        <v>2294</v>
      </c>
      <c r="BU1761" t="s">
        <v>682</v>
      </c>
      <c r="BV1761" t="s">
        <v>1153</v>
      </c>
    </row>
    <row r="1762" spans="68:74" x14ac:dyDescent="0.25">
      <c r="BP1762">
        <v>11809</v>
      </c>
      <c r="BQ1762">
        <v>4050003309</v>
      </c>
      <c r="BR1762" s="15" t="s">
        <v>254</v>
      </c>
      <c r="BS1762" t="s">
        <v>248</v>
      </c>
      <c r="BT1762" t="s">
        <v>2295</v>
      </c>
      <c r="BU1762" t="s">
        <v>682</v>
      </c>
      <c r="BV1762" t="s">
        <v>1153</v>
      </c>
    </row>
    <row r="1763" spans="68:74" x14ac:dyDescent="0.25">
      <c r="BP1763">
        <v>11807</v>
      </c>
      <c r="BQ1763">
        <v>4050003308</v>
      </c>
      <c r="BR1763" s="15" t="s">
        <v>254</v>
      </c>
      <c r="BS1763" t="s">
        <v>248</v>
      </c>
      <c r="BT1763" t="s">
        <v>2296</v>
      </c>
      <c r="BU1763" t="s">
        <v>682</v>
      </c>
      <c r="BV1763" t="s">
        <v>1153</v>
      </c>
    </row>
    <row r="1764" spans="68:74" x14ac:dyDescent="0.25">
      <c r="BP1764">
        <v>11732</v>
      </c>
      <c r="BQ1764">
        <v>40500253</v>
      </c>
      <c r="BR1764" s="15" t="s">
        <v>254</v>
      </c>
      <c r="BS1764" t="s">
        <v>248</v>
      </c>
      <c r="BT1764" t="s">
        <v>2297</v>
      </c>
      <c r="BU1764" t="s">
        <v>682</v>
      </c>
      <c r="BV1764" t="s">
        <v>1149</v>
      </c>
    </row>
    <row r="1765" spans="68:74" x14ac:dyDescent="0.25">
      <c r="BP1765">
        <v>11787</v>
      </c>
      <c r="BQ1765">
        <v>4050001306</v>
      </c>
      <c r="BR1765" s="15" t="s">
        <v>254</v>
      </c>
      <c r="BS1765" t="s">
        <v>248</v>
      </c>
      <c r="BT1765" t="s">
        <v>2298</v>
      </c>
      <c r="BU1765" t="s">
        <v>682</v>
      </c>
      <c r="BV1765" t="s">
        <v>1153</v>
      </c>
    </row>
    <row r="1766" spans="68:74" x14ac:dyDescent="0.25">
      <c r="BP1766">
        <v>11794</v>
      </c>
      <c r="BQ1766">
        <v>4050001310</v>
      </c>
      <c r="BR1766" s="15" t="s">
        <v>254</v>
      </c>
      <c r="BS1766" t="s">
        <v>248</v>
      </c>
      <c r="BT1766" t="s">
        <v>2299</v>
      </c>
      <c r="BU1766" t="s">
        <v>682</v>
      </c>
      <c r="BV1766" t="s">
        <v>1153</v>
      </c>
    </row>
    <row r="1767" spans="68:74" x14ac:dyDescent="0.25">
      <c r="BP1767">
        <v>11789</v>
      </c>
      <c r="BQ1767">
        <v>4050001307</v>
      </c>
      <c r="BR1767" s="15" t="s">
        <v>254</v>
      </c>
      <c r="BS1767" t="s">
        <v>248</v>
      </c>
      <c r="BT1767" t="s">
        <v>2300</v>
      </c>
      <c r="BU1767" t="s">
        <v>682</v>
      </c>
      <c r="BV1767" t="s">
        <v>1153</v>
      </c>
    </row>
    <row r="1768" spans="68:74" x14ac:dyDescent="0.25">
      <c r="BP1768">
        <v>11780</v>
      </c>
      <c r="BQ1768">
        <v>4050001301</v>
      </c>
      <c r="BR1768" s="15" t="s">
        <v>254</v>
      </c>
      <c r="BS1768" t="s">
        <v>248</v>
      </c>
      <c r="BT1768" t="s">
        <v>2301</v>
      </c>
      <c r="BU1768" t="s">
        <v>682</v>
      </c>
      <c r="BV1768" t="s">
        <v>1153</v>
      </c>
    </row>
    <row r="1769" spans="68:74" x14ac:dyDescent="0.25">
      <c r="BP1769">
        <v>11803</v>
      </c>
      <c r="BQ1769">
        <v>4050003306</v>
      </c>
      <c r="BR1769" s="15" t="s">
        <v>254</v>
      </c>
      <c r="BS1769" t="s">
        <v>248</v>
      </c>
      <c r="BT1769" t="s">
        <v>2302</v>
      </c>
      <c r="BU1769" t="s">
        <v>682</v>
      </c>
      <c r="BV1769" t="s">
        <v>1153</v>
      </c>
    </row>
    <row r="1770" spans="68:74" x14ac:dyDescent="0.25">
      <c r="BP1770">
        <v>11781</v>
      </c>
      <c r="BQ1770">
        <v>4050001302</v>
      </c>
      <c r="BR1770" s="15" t="s">
        <v>254</v>
      </c>
      <c r="BS1770" t="s">
        <v>248</v>
      </c>
      <c r="BT1770" t="s">
        <v>2303</v>
      </c>
      <c r="BU1770" t="s">
        <v>682</v>
      </c>
      <c r="BV1770" t="s">
        <v>1153</v>
      </c>
    </row>
    <row r="1771" spans="68:74" x14ac:dyDescent="0.25">
      <c r="BP1771">
        <v>11793</v>
      </c>
      <c r="BQ1771">
        <v>4050001309</v>
      </c>
      <c r="BR1771" s="15" t="s">
        <v>254</v>
      </c>
      <c r="BS1771" t="s">
        <v>248</v>
      </c>
      <c r="BT1771" t="s">
        <v>2304</v>
      </c>
      <c r="BU1771" t="s">
        <v>682</v>
      </c>
      <c r="BV1771" t="s">
        <v>1153</v>
      </c>
    </row>
    <row r="1772" spans="68:74" x14ac:dyDescent="0.25">
      <c r="BP1772">
        <v>11703</v>
      </c>
      <c r="BQ1772">
        <v>40500012</v>
      </c>
      <c r="BR1772" s="15" t="s">
        <v>254</v>
      </c>
      <c r="BS1772" t="s">
        <v>248</v>
      </c>
      <c r="BT1772" t="s">
        <v>248</v>
      </c>
      <c r="BU1772" t="s">
        <v>681</v>
      </c>
      <c r="BV1772" t="s">
        <v>1153</v>
      </c>
    </row>
    <row r="1773" spans="68:74" x14ac:dyDescent="0.25">
      <c r="BQ1773">
        <v>40500013</v>
      </c>
      <c r="BR1773" s="15" t="s">
        <v>254</v>
      </c>
      <c r="BS1773" t="s">
        <v>248</v>
      </c>
      <c r="BT1773" t="s">
        <v>248</v>
      </c>
      <c r="BU1773" t="s">
        <v>682</v>
      </c>
      <c r="BV1773" t="s">
        <v>680</v>
      </c>
    </row>
    <row r="1774" spans="68:74" x14ac:dyDescent="0.25">
      <c r="BQ1774">
        <v>40500022</v>
      </c>
      <c r="BR1774" s="15" t="s">
        <v>254</v>
      </c>
      <c r="BS1774" t="s">
        <v>248</v>
      </c>
      <c r="BT1774" t="s">
        <v>2305</v>
      </c>
      <c r="BU1774" t="s">
        <v>681</v>
      </c>
      <c r="BV1774" t="s">
        <v>680</v>
      </c>
    </row>
    <row r="1775" spans="68:74" x14ac:dyDescent="0.25">
      <c r="BP1775">
        <v>11782</v>
      </c>
      <c r="BQ1775">
        <v>4050001303</v>
      </c>
      <c r="BR1775" s="15" t="s">
        <v>254</v>
      </c>
      <c r="BS1775" t="s">
        <v>248</v>
      </c>
      <c r="BT1775" t="s">
        <v>2306</v>
      </c>
      <c r="BU1775" t="s">
        <v>682</v>
      </c>
      <c r="BV1775" t="s">
        <v>1153</v>
      </c>
    </row>
    <row r="1776" spans="68:74" x14ac:dyDescent="0.25">
      <c r="BP1776">
        <v>11797</v>
      </c>
      <c r="BQ1776">
        <v>4050003303</v>
      </c>
      <c r="BR1776" s="15" t="s">
        <v>254</v>
      </c>
      <c r="BS1776" t="s">
        <v>248</v>
      </c>
      <c r="BT1776" t="s">
        <v>2307</v>
      </c>
      <c r="BU1776" t="s">
        <v>682</v>
      </c>
      <c r="BV1776" t="s">
        <v>1153</v>
      </c>
    </row>
    <row r="1777" spans="68:74" x14ac:dyDescent="0.25">
      <c r="BP1777">
        <v>11798</v>
      </c>
      <c r="BQ1777">
        <v>4050003303</v>
      </c>
      <c r="BR1777" s="15" t="s">
        <v>254</v>
      </c>
      <c r="BS1777" t="s">
        <v>248</v>
      </c>
      <c r="BT1777" t="s">
        <v>2307</v>
      </c>
      <c r="BU1777" t="s">
        <v>682</v>
      </c>
      <c r="BV1777" t="s">
        <v>1149</v>
      </c>
    </row>
    <row r="1778" spans="68:74" x14ac:dyDescent="0.25">
      <c r="BP1778">
        <v>11810</v>
      </c>
      <c r="BQ1778">
        <v>4050003310</v>
      </c>
      <c r="BR1778" s="15" t="s">
        <v>254</v>
      </c>
      <c r="BS1778" t="s">
        <v>248</v>
      </c>
      <c r="BT1778" t="s">
        <v>2307</v>
      </c>
      <c r="BU1778" t="s">
        <v>682</v>
      </c>
      <c r="BV1778" t="s">
        <v>1153</v>
      </c>
    </row>
    <row r="1779" spans="68:74" x14ac:dyDescent="0.25">
      <c r="BQ1779">
        <v>4050003301</v>
      </c>
      <c r="BR1779" s="15" t="s">
        <v>254</v>
      </c>
      <c r="BS1779" t="s">
        <v>248</v>
      </c>
      <c r="BT1779" t="s">
        <v>2308</v>
      </c>
      <c r="BU1779" t="s">
        <v>682</v>
      </c>
      <c r="BV1779" t="s">
        <v>680</v>
      </c>
    </row>
    <row r="1780" spans="68:74" x14ac:dyDescent="0.25">
      <c r="BP1780">
        <v>11799</v>
      </c>
      <c r="BQ1780">
        <v>4050003304</v>
      </c>
      <c r="BR1780" s="15" t="s">
        <v>254</v>
      </c>
      <c r="BS1780" t="s">
        <v>248</v>
      </c>
      <c r="BT1780" t="s">
        <v>2308</v>
      </c>
      <c r="BU1780" t="s">
        <v>682</v>
      </c>
      <c r="BV1780" t="s">
        <v>1153</v>
      </c>
    </row>
    <row r="1781" spans="68:74" x14ac:dyDescent="0.25">
      <c r="BP1781">
        <v>11805</v>
      </c>
      <c r="BQ1781">
        <v>4050003307</v>
      </c>
      <c r="BR1781" s="15" t="s">
        <v>254</v>
      </c>
      <c r="BS1781" t="s">
        <v>248</v>
      </c>
      <c r="BT1781" t="s">
        <v>2309</v>
      </c>
      <c r="BU1781" t="s">
        <v>682</v>
      </c>
      <c r="BV1781" t="s">
        <v>1153</v>
      </c>
    </row>
    <row r="1782" spans="68:74" x14ac:dyDescent="0.25">
      <c r="BP1782">
        <v>11705</v>
      </c>
      <c r="BQ1782">
        <v>40500032</v>
      </c>
      <c r="BR1782" s="15" t="s">
        <v>254</v>
      </c>
      <c r="BS1782" t="s">
        <v>248</v>
      </c>
      <c r="BT1782" t="s">
        <v>2310</v>
      </c>
      <c r="BU1782" t="s">
        <v>681</v>
      </c>
      <c r="BV1782" t="s">
        <v>1153</v>
      </c>
    </row>
    <row r="1783" spans="68:74" x14ac:dyDescent="0.25">
      <c r="BQ1783">
        <v>40500033</v>
      </c>
      <c r="BR1783" s="15" t="s">
        <v>254</v>
      </c>
      <c r="BS1783" t="s">
        <v>248</v>
      </c>
      <c r="BT1783" t="s">
        <v>2310</v>
      </c>
      <c r="BU1783" t="s">
        <v>682</v>
      </c>
      <c r="BV1783" t="s">
        <v>680</v>
      </c>
    </row>
    <row r="1784" spans="68:74" x14ac:dyDescent="0.25">
      <c r="BP1784">
        <v>11731</v>
      </c>
      <c r="BQ1784">
        <v>40500143</v>
      </c>
      <c r="BR1784" s="15" t="s">
        <v>254</v>
      </c>
      <c r="BS1784" t="s">
        <v>248</v>
      </c>
      <c r="BT1784" t="s">
        <v>2310</v>
      </c>
      <c r="BU1784" t="s">
        <v>682</v>
      </c>
      <c r="BV1784" t="s">
        <v>1153</v>
      </c>
    </row>
    <row r="1785" spans="68:74" x14ac:dyDescent="0.25">
      <c r="BP1785">
        <v>11707</v>
      </c>
      <c r="BQ1785">
        <v>40500042</v>
      </c>
      <c r="BR1785" s="15" t="s">
        <v>254</v>
      </c>
      <c r="BS1785" t="s">
        <v>248</v>
      </c>
      <c r="BT1785" t="s">
        <v>2046</v>
      </c>
      <c r="BU1785" t="s">
        <v>681</v>
      </c>
      <c r="BV1785" t="s">
        <v>1153</v>
      </c>
    </row>
    <row r="1786" spans="68:74" x14ac:dyDescent="0.25">
      <c r="BP1786">
        <v>11783</v>
      </c>
      <c r="BQ1786">
        <v>4050001304</v>
      </c>
      <c r="BR1786" s="15" t="s">
        <v>254</v>
      </c>
      <c r="BS1786" t="s">
        <v>248</v>
      </c>
      <c r="BT1786" t="s">
        <v>2311</v>
      </c>
      <c r="BU1786" t="s">
        <v>682</v>
      </c>
      <c r="BV1786" t="s">
        <v>1153</v>
      </c>
    </row>
    <row r="1787" spans="68:74" x14ac:dyDescent="0.25">
      <c r="BP1787">
        <v>11784</v>
      </c>
      <c r="BQ1787">
        <v>4050001304</v>
      </c>
      <c r="BR1787" s="15" t="s">
        <v>254</v>
      </c>
      <c r="BS1787" t="s">
        <v>248</v>
      </c>
      <c r="BT1787" t="s">
        <v>2311</v>
      </c>
      <c r="BU1787" t="s">
        <v>682</v>
      </c>
      <c r="BV1787" t="s">
        <v>1149</v>
      </c>
    </row>
    <row r="1788" spans="68:74" x14ac:dyDescent="0.25">
      <c r="BP1788">
        <v>11786</v>
      </c>
      <c r="BQ1788">
        <v>4050001305</v>
      </c>
      <c r="BR1788" s="15" t="s">
        <v>254</v>
      </c>
      <c r="BS1788" t="s">
        <v>248</v>
      </c>
      <c r="BT1788" t="s">
        <v>2312</v>
      </c>
      <c r="BU1788" t="s">
        <v>682</v>
      </c>
      <c r="BV1788" t="s">
        <v>1153</v>
      </c>
    </row>
    <row r="1789" spans="68:74" x14ac:dyDescent="0.25">
      <c r="BP1789">
        <v>11801</v>
      </c>
      <c r="BQ1789">
        <v>4050003305</v>
      </c>
      <c r="BR1789" s="15" t="s">
        <v>254</v>
      </c>
      <c r="BS1789" t="s">
        <v>248</v>
      </c>
      <c r="BT1789" t="s">
        <v>2313</v>
      </c>
      <c r="BU1789" t="s">
        <v>682</v>
      </c>
      <c r="BV1789" t="s">
        <v>1153</v>
      </c>
    </row>
    <row r="1790" spans="68:74" x14ac:dyDescent="0.25">
      <c r="BQ1790">
        <v>40600013</v>
      </c>
      <c r="BR1790" s="15" t="s">
        <v>255</v>
      </c>
      <c r="BS1790" t="s">
        <v>249</v>
      </c>
      <c r="BT1790" t="s">
        <v>1946</v>
      </c>
      <c r="BU1790" t="s">
        <v>682</v>
      </c>
      <c r="BV1790" t="s">
        <v>680</v>
      </c>
    </row>
    <row r="1791" spans="68:74" x14ac:dyDescent="0.25">
      <c r="BP1791">
        <v>11812</v>
      </c>
      <c r="BQ1791">
        <v>4060003301</v>
      </c>
      <c r="BR1791" s="15" t="s">
        <v>255</v>
      </c>
      <c r="BS1791" t="s">
        <v>249</v>
      </c>
      <c r="BT1791" t="s">
        <v>2314</v>
      </c>
      <c r="BU1791" t="s">
        <v>682</v>
      </c>
      <c r="BV1791" t="s">
        <v>1153</v>
      </c>
    </row>
    <row r="1792" spans="68:74" x14ac:dyDescent="0.25">
      <c r="BP1792">
        <v>11836</v>
      </c>
      <c r="BQ1792">
        <v>4060003316</v>
      </c>
      <c r="BR1792" s="15" t="s">
        <v>255</v>
      </c>
      <c r="BS1792" t="s">
        <v>249</v>
      </c>
      <c r="BT1792" t="s">
        <v>2314</v>
      </c>
      <c r="BU1792" t="s">
        <v>682</v>
      </c>
      <c r="BV1792" t="s">
        <v>1153</v>
      </c>
    </row>
    <row r="1793" spans="68:74" x14ac:dyDescent="0.25">
      <c r="BP1793">
        <v>11857</v>
      </c>
      <c r="BQ1793">
        <v>4060003330</v>
      </c>
      <c r="BR1793" s="15" t="s">
        <v>255</v>
      </c>
      <c r="BS1793" t="s">
        <v>249</v>
      </c>
      <c r="BT1793" t="s">
        <v>2315</v>
      </c>
      <c r="BU1793" t="s">
        <v>682</v>
      </c>
      <c r="BV1793" t="s">
        <v>1153</v>
      </c>
    </row>
    <row r="1794" spans="68:74" x14ac:dyDescent="0.25">
      <c r="BP1794">
        <v>11864</v>
      </c>
      <c r="BQ1794">
        <v>4060003334</v>
      </c>
      <c r="BR1794" s="15" t="s">
        <v>255</v>
      </c>
      <c r="BS1794" t="s">
        <v>249</v>
      </c>
      <c r="BT1794" t="s">
        <v>2315</v>
      </c>
      <c r="BU1794" t="s">
        <v>682</v>
      </c>
      <c r="BV1794" t="s">
        <v>1153</v>
      </c>
    </row>
    <row r="1795" spans="68:74" x14ac:dyDescent="0.25">
      <c r="BQ1795">
        <v>4060013302</v>
      </c>
      <c r="BR1795" s="15" t="s">
        <v>255</v>
      </c>
      <c r="BS1795" t="s">
        <v>249</v>
      </c>
      <c r="BT1795" t="s">
        <v>2294</v>
      </c>
      <c r="BU1795" t="s">
        <v>682</v>
      </c>
      <c r="BV1795" t="s">
        <v>680</v>
      </c>
    </row>
    <row r="1796" spans="68:74" x14ac:dyDescent="0.25">
      <c r="BP1796">
        <v>11841</v>
      </c>
      <c r="BQ1796">
        <v>4060003319</v>
      </c>
      <c r="BR1796" s="15" t="s">
        <v>255</v>
      </c>
      <c r="BS1796" t="s">
        <v>249</v>
      </c>
      <c r="BT1796" t="s">
        <v>2316</v>
      </c>
      <c r="BU1796" t="s">
        <v>682</v>
      </c>
      <c r="BV1796" t="s">
        <v>1153</v>
      </c>
    </row>
    <row r="1797" spans="68:74" x14ac:dyDescent="0.25">
      <c r="BP1797">
        <v>11813</v>
      </c>
      <c r="BQ1797">
        <v>4060003302</v>
      </c>
      <c r="BR1797" s="15" t="s">
        <v>255</v>
      </c>
      <c r="BS1797" t="s">
        <v>249</v>
      </c>
      <c r="BT1797" t="s">
        <v>2317</v>
      </c>
      <c r="BU1797" t="s">
        <v>682</v>
      </c>
      <c r="BV1797" t="s">
        <v>1153</v>
      </c>
    </row>
    <row r="1798" spans="68:74" x14ac:dyDescent="0.25">
      <c r="BP1798">
        <v>11863</v>
      </c>
      <c r="BQ1798">
        <v>4060003333</v>
      </c>
      <c r="BR1798" s="15" t="s">
        <v>255</v>
      </c>
      <c r="BS1798" t="s">
        <v>249</v>
      </c>
      <c r="BT1798" t="s">
        <v>2317</v>
      </c>
      <c r="BU1798" t="s">
        <v>682</v>
      </c>
      <c r="BV1798" t="s">
        <v>1153</v>
      </c>
    </row>
    <row r="1799" spans="68:74" x14ac:dyDescent="0.25">
      <c r="BP1799">
        <v>11859</v>
      </c>
      <c r="BQ1799">
        <v>4060003331</v>
      </c>
      <c r="BR1799" s="15" t="s">
        <v>255</v>
      </c>
      <c r="BS1799" t="s">
        <v>249</v>
      </c>
      <c r="BT1799" t="s">
        <v>2318</v>
      </c>
      <c r="BU1799" t="s">
        <v>682</v>
      </c>
      <c r="BV1799" t="s">
        <v>1153</v>
      </c>
    </row>
    <row r="1800" spans="68:74" x14ac:dyDescent="0.25">
      <c r="BP1800">
        <v>11846</v>
      </c>
      <c r="BQ1800">
        <v>4060003322</v>
      </c>
      <c r="BR1800" s="15" t="s">
        <v>255</v>
      </c>
      <c r="BS1800" t="s">
        <v>249</v>
      </c>
      <c r="BT1800" t="s">
        <v>2319</v>
      </c>
      <c r="BU1800" t="s">
        <v>682</v>
      </c>
      <c r="BV1800" t="s">
        <v>1153</v>
      </c>
    </row>
    <row r="1801" spans="68:74" x14ac:dyDescent="0.25">
      <c r="BP1801">
        <v>11814</v>
      </c>
      <c r="BQ1801">
        <v>4060003303</v>
      </c>
      <c r="BR1801" s="15" t="s">
        <v>255</v>
      </c>
      <c r="BS1801" t="s">
        <v>249</v>
      </c>
      <c r="BT1801" t="s">
        <v>2320</v>
      </c>
      <c r="BU1801" t="s">
        <v>682</v>
      </c>
      <c r="BV1801" t="s">
        <v>1153</v>
      </c>
    </row>
    <row r="1802" spans="68:74" x14ac:dyDescent="0.25">
      <c r="BP1802">
        <v>11815</v>
      </c>
      <c r="BQ1802">
        <v>4060003304</v>
      </c>
      <c r="BR1802" s="15" t="s">
        <v>255</v>
      </c>
      <c r="BS1802" t="s">
        <v>249</v>
      </c>
      <c r="BT1802" t="s">
        <v>2321</v>
      </c>
      <c r="BU1802" t="s">
        <v>682</v>
      </c>
      <c r="BV1802" t="s">
        <v>1153</v>
      </c>
    </row>
    <row r="1803" spans="68:74" x14ac:dyDescent="0.25">
      <c r="BQ1803">
        <v>4060003323</v>
      </c>
      <c r="BR1803" s="15" t="s">
        <v>255</v>
      </c>
      <c r="BS1803" t="s">
        <v>249</v>
      </c>
      <c r="BT1803" t="s">
        <v>2322</v>
      </c>
      <c r="BU1803" t="s">
        <v>682</v>
      </c>
      <c r="BV1803" t="s">
        <v>1149</v>
      </c>
    </row>
    <row r="1804" spans="68:74" x14ac:dyDescent="0.25">
      <c r="BP1804">
        <v>11830</v>
      </c>
      <c r="BQ1804">
        <v>4060003313</v>
      </c>
      <c r="BR1804" s="15" t="s">
        <v>255</v>
      </c>
      <c r="BS1804" t="s">
        <v>249</v>
      </c>
      <c r="BT1804" t="s">
        <v>2323</v>
      </c>
      <c r="BU1804" t="s">
        <v>682</v>
      </c>
      <c r="BV1804" t="s">
        <v>1153</v>
      </c>
    </row>
    <row r="1805" spans="68:74" x14ac:dyDescent="0.25">
      <c r="BP1805">
        <v>11849</v>
      </c>
      <c r="BQ1805">
        <v>4060003326</v>
      </c>
      <c r="BR1805" s="15" t="s">
        <v>255</v>
      </c>
      <c r="BS1805" t="s">
        <v>249</v>
      </c>
      <c r="BT1805" t="s">
        <v>2324</v>
      </c>
      <c r="BU1805" t="s">
        <v>682</v>
      </c>
      <c r="BV1805" t="s">
        <v>1153</v>
      </c>
    </row>
    <row r="1806" spans="68:74" x14ac:dyDescent="0.25">
      <c r="BP1806">
        <v>11816</v>
      </c>
      <c r="BQ1806">
        <v>4060003305</v>
      </c>
      <c r="BR1806" s="15" t="s">
        <v>255</v>
      </c>
      <c r="BS1806" t="s">
        <v>249</v>
      </c>
      <c r="BT1806" t="s">
        <v>2325</v>
      </c>
      <c r="BU1806" t="s">
        <v>682</v>
      </c>
      <c r="BV1806" t="s">
        <v>1153</v>
      </c>
    </row>
    <row r="1807" spans="68:74" x14ac:dyDescent="0.25">
      <c r="BP1807">
        <v>11817</v>
      </c>
      <c r="BQ1807">
        <v>4060003305</v>
      </c>
      <c r="BR1807" s="15" t="s">
        <v>255</v>
      </c>
      <c r="BS1807" t="s">
        <v>249</v>
      </c>
      <c r="BT1807" t="s">
        <v>2325</v>
      </c>
      <c r="BU1807" t="s">
        <v>682</v>
      </c>
      <c r="BV1807" t="s">
        <v>1153</v>
      </c>
    </row>
    <row r="1808" spans="68:74" x14ac:dyDescent="0.25">
      <c r="BP1808">
        <v>11818</v>
      </c>
      <c r="BQ1808">
        <v>4060003306</v>
      </c>
      <c r="BR1808" s="15" t="s">
        <v>255</v>
      </c>
      <c r="BS1808" t="s">
        <v>249</v>
      </c>
      <c r="BT1808" t="s">
        <v>2326</v>
      </c>
      <c r="BU1808" t="s">
        <v>682</v>
      </c>
      <c r="BV1808" t="s">
        <v>1153</v>
      </c>
    </row>
    <row r="1809" spans="68:74" x14ac:dyDescent="0.25">
      <c r="BQ1809">
        <v>40600022</v>
      </c>
      <c r="BR1809" s="15" t="s">
        <v>255</v>
      </c>
      <c r="BS1809" t="s">
        <v>249</v>
      </c>
      <c r="BT1809" t="s">
        <v>2327</v>
      </c>
      <c r="BU1809" t="s">
        <v>681</v>
      </c>
      <c r="BV1809" t="s">
        <v>680</v>
      </c>
    </row>
    <row r="1810" spans="68:74" x14ac:dyDescent="0.25">
      <c r="BP1810">
        <v>11743</v>
      </c>
      <c r="BQ1810">
        <v>40600032</v>
      </c>
      <c r="BR1810" s="15" t="s">
        <v>255</v>
      </c>
      <c r="BS1810" t="s">
        <v>249</v>
      </c>
      <c r="BT1810" t="s">
        <v>2328</v>
      </c>
      <c r="BU1810" t="s">
        <v>681</v>
      </c>
      <c r="BV1810" t="s">
        <v>1153</v>
      </c>
    </row>
    <row r="1811" spans="68:74" x14ac:dyDescent="0.25">
      <c r="BQ1811">
        <v>40600033</v>
      </c>
      <c r="BR1811" s="15" t="s">
        <v>255</v>
      </c>
      <c r="BS1811" t="s">
        <v>249</v>
      </c>
      <c r="BT1811" t="s">
        <v>2328</v>
      </c>
      <c r="BU1811" t="s">
        <v>682</v>
      </c>
      <c r="BV1811" t="s">
        <v>680</v>
      </c>
    </row>
    <row r="1812" spans="68:74" x14ac:dyDescent="0.25">
      <c r="BP1812">
        <v>11764</v>
      </c>
      <c r="BQ1812">
        <v>40600333</v>
      </c>
      <c r="BR1812" s="15" t="s">
        <v>255</v>
      </c>
      <c r="BS1812" t="s">
        <v>249</v>
      </c>
      <c r="BT1812" t="s">
        <v>2328</v>
      </c>
      <c r="BU1812" t="s">
        <v>682</v>
      </c>
      <c r="BV1812" t="s">
        <v>1153</v>
      </c>
    </row>
    <row r="1813" spans="68:74" x14ac:dyDescent="0.25">
      <c r="BP1813">
        <v>11819</v>
      </c>
      <c r="BQ1813">
        <v>4060003307</v>
      </c>
      <c r="BR1813" s="15" t="s">
        <v>255</v>
      </c>
      <c r="BS1813" t="s">
        <v>249</v>
      </c>
      <c r="BT1813" t="s">
        <v>2328</v>
      </c>
      <c r="BU1813" t="s">
        <v>682</v>
      </c>
      <c r="BV1813" t="s">
        <v>1153</v>
      </c>
    </row>
    <row r="1814" spans="68:74" x14ac:dyDescent="0.25">
      <c r="BQ1814">
        <v>40600113</v>
      </c>
      <c r="BR1814" s="15" t="s">
        <v>255</v>
      </c>
      <c r="BS1814" t="s">
        <v>249</v>
      </c>
      <c r="BT1814" t="s">
        <v>2329</v>
      </c>
      <c r="BU1814" t="s">
        <v>682</v>
      </c>
      <c r="BV1814" t="s">
        <v>680</v>
      </c>
    </row>
    <row r="1815" spans="68:74" x14ac:dyDescent="0.25">
      <c r="BQ1815">
        <v>40600042</v>
      </c>
      <c r="BR1815" s="15" t="s">
        <v>255</v>
      </c>
      <c r="BS1815" t="s">
        <v>249</v>
      </c>
      <c r="BT1815" t="s">
        <v>249</v>
      </c>
      <c r="BU1815" t="s">
        <v>681</v>
      </c>
      <c r="BV1815" t="s">
        <v>680</v>
      </c>
    </row>
    <row r="1816" spans="68:74" x14ac:dyDescent="0.25">
      <c r="BQ1816">
        <v>4060003325</v>
      </c>
      <c r="BR1816" s="15" t="s">
        <v>255</v>
      </c>
      <c r="BS1816" t="s">
        <v>249</v>
      </c>
      <c r="BT1816" t="s">
        <v>2330</v>
      </c>
      <c r="BU1816" t="s">
        <v>682</v>
      </c>
      <c r="BV1816" t="s">
        <v>1153</v>
      </c>
    </row>
    <row r="1817" spans="68:74" x14ac:dyDescent="0.25">
      <c r="BQ1817">
        <v>40600103</v>
      </c>
      <c r="BR1817" s="15" t="s">
        <v>255</v>
      </c>
      <c r="BS1817" t="s">
        <v>249</v>
      </c>
      <c r="BT1817" t="s">
        <v>2331</v>
      </c>
      <c r="BU1817" t="s">
        <v>682</v>
      </c>
      <c r="BV1817" t="s">
        <v>680</v>
      </c>
    </row>
    <row r="1818" spans="68:74" x14ac:dyDescent="0.25">
      <c r="BP1818">
        <v>11762</v>
      </c>
      <c r="BQ1818">
        <v>40600282</v>
      </c>
      <c r="BR1818" s="15" t="s">
        <v>255</v>
      </c>
      <c r="BS1818" t="s">
        <v>249</v>
      </c>
      <c r="BT1818" t="s">
        <v>2332</v>
      </c>
      <c r="BU1818" t="s">
        <v>681</v>
      </c>
      <c r="BV1818" t="s">
        <v>1153</v>
      </c>
    </row>
    <row r="1819" spans="68:74" x14ac:dyDescent="0.25">
      <c r="BP1819">
        <v>11820</v>
      </c>
      <c r="BQ1819">
        <v>4060003308</v>
      </c>
      <c r="BR1819" s="15" t="s">
        <v>255</v>
      </c>
      <c r="BS1819" t="s">
        <v>249</v>
      </c>
      <c r="BT1819" t="s">
        <v>2332</v>
      </c>
      <c r="BU1819" t="s">
        <v>682</v>
      </c>
      <c r="BV1819" t="s">
        <v>1153</v>
      </c>
    </row>
    <row r="1820" spans="68:74" x14ac:dyDescent="0.25">
      <c r="BP1820">
        <v>11822</v>
      </c>
      <c r="BQ1820">
        <v>4060003309</v>
      </c>
      <c r="BR1820" s="15" t="s">
        <v>255</v>
      </c>
      <c r="BS1820" t="s">
        <v>249</v>
      </c>
      <c r="BT1820" t="s">
        <v>2332</v>
      </c>
      <c r="BU1820" t="s">
        <v>682</v>
      </c>
      <c r="BV1820" t="s">
        <v>1153</v>
      </c>
    </row>
    <row r="1821" spans="68:74" x14ac:dyDescent="0.25">
      <c r="BQ1821">
        <v>40600093</v>
      </c>
      <c r="BR1821" s="15" t="s">
        <v>255</v>
      </c>
      <c r="BS1821" t="s">
        <v>249</v>
      </c>
      <c r="BT1821" t="s">
        <v>2333</v>
      </c>
      <c r="BU1821" t="s">
        <v>682</v>
      </c>
      <c r="BV1821" t="s">
        <v>680</v>
      </c>
    </row>
    <row r="1822" spans="68:74" x14ac:dyDescent="0.25">
      <c r="BP1822">
        <v>11842</v>
      </c>
      <c r="BQ1822">
        <v>4060003320</v>
      </c>
      <c r="BR1822" s="15" t="s">
        <v>255</v>
      </c>
      <c r="BS1822" t="s">
        <v>249</v>
      </c>
      <c r="BT1822" t="s">
        <v>2334</v>
      </c>
      <c r="BU1822" t="s">
        <v>682</v>
      </c>
      <c r="BV1822" t="s">
        <v>1153</v>
      </c>
    </row>
    <row r="1823" spans="68:74" x14ac:dyDescent="0.25">
      <c r="BP1823">
        <v>11844</v>
      </c>
      <c r="BQ1823">
        <v>4060003321</v>
      </c>
      <c r="BR1823" s="15" t="s">
        <v>255</v>
      </c>
      <c r="BS1823" t="s">
        <v>249</v>
      </c>
      <c r="BT1823" t="s">
        <v>2335</v>
      </c>
      <c r="BU1823" t="s">
        <v>682</v>
      </c>
      <c r="BV1823" t="s">
        <v>1153</v>
      </c>
    </row>
    <row r="1824" spans="68:74" x14ac:dyDescent="0.25">
      <c r="BP1824">
        <v>11851</v>
      </c>
      <c r="BQ1824">
        <v>4060003327</v>
      </c>
      <c r="BR1824" s="15" t="s">
        <v>255</v>
      </c>
      <c r="BS1824" t="s">
        <v>249</v>
      </c>
      <c r="BT1824" t="s">
        <v>2336</v>
      </c>
      <c r="BU1824" t="s">
        <v>682</v>
      </c>
      <c r="BV1824" t="s">
        <v>1153</v>
      </c>
    </row>
    <row r="1825" spans="68:74" x14ac:dyDescent="0.25">
      <c r="BQ1825">
        <v>40600123</v>
      </c>
      <c r="BR1825" s="15" t="s">
        <v>255</v>
      </c>
      <c r="BS1825" t="s">
        <v>249</v>
      </c>
      <c r="BT1825" t="s">
        <v>2337</v>
      </c>
      <c r="BU1825" t="s">
        <v>682</v>
      </c>
      <c r="BV1825" t="s">
        <v>680</v>
      </c>
    </row>
    <row r="1826" spans="68:74" x14ac:dyDescent="0.25">
      <c r="BP1826">
        <v>11832</v>
      </c>
      <c r="BQ1826">
        <v>4060003314</v>
      </c>
      <c r="BR1826" s="15" t="s">
        <v>255</v>
      </c>
      <c r="BS1826" t="s">
        <v>249</v>
      </c>
      <c r="BT1826" t="s">
        <v>2338</v>
      </c>
      <c r="BU1826" t="s">
        <v>682</v>
      </c>
      <c r="BV1826" t="s">
        <v>1153</v>
      </c>
    </row>
    <row r="1827" spans="68:74" x14ac:dyDescent="0.25">
      <c r="BP1827">
        <v>11831</v>
      </c>
      <c r="BQ1827">
        <v>4060003314</v>
      </c>
      <c r="BR1827" s="15" t="s">
        <v>255</v>
      </c>
      <c r="BS1827" t="s">
        <v>249</v>
      </c>
      <c r="BT1827" t="s">
        <v>2338</v>
      </c>
      <c r="BU1827" t="s">
        <v>682</v>
      </c>
      <c r="BV1827" t="s">
        <v>1153</v>
      </c>
    </row>
    <row r="1828" spans="68:74" x14ac:dyDescent="0.25">
      <c r="BQ1828">
        <v>40600052</v>
      </c>
      <c r="BR1828" s="15" t="s">
        <v>255</v>
      </c>
      <c r="BS1828" t="s">
        <v>249</v>
      </c>
      <c r="BT1828" t="s">
        <v>2339</v>
      </c>
      <c r="BU1828" t="s">
        <v>681</v>
      </c>
      <c r="BV1828" t="s">
        <v>680</v>
      </c>
    </row>
    <row r="1829" spans="68:74" x14ac:dyDescent="0.25">
      <c r="BP1829">
        <v>11853</v>
      </c>
      <c r="BQ1829">
        <v>4060003328</v>
      </c>
      <c r="BR1829" s="15" t="s">
        <v>255</v>
      </c>
      <c r="BS1829" t="s">
        <v>249</v>
      </c>
      <c r="BT1829" t="s">
        <v>1399</v>
      </c>
      <c r="BU1829" t="s">
        <v>682</v>
      </c>
      <c r="BV1829" t="s">
        <v>1153</v>
      </c>
    </row>
    <row r="1830" spans="68:74" x14ac:dyDescent="0.25">
      <c r="BQ1830">
        <v>40600083</v>
      </c>
      <c r="BR1830" s="15" t="s">
        <v>255</v>
      </c>
      <c r="BS1830" t="s">
        <v>249</v>
      </c>
      <c r="BT1830" t="s">
        <v>2340</v>
      </c>
      <c r="BU1830" t="s">
        <v>682</v>
      </c>
      <c r="BV1830" t="s">
        <v>680</v>
      </c>
    </row>
    <row r="1831" spans="68:74" x14ac:dyDescent="0.25">
      <c r="BQ1831">
        <v>40600142</v>
      </c>
      <c r="BR1831" s="15" t="s">
        <v>255</v>
      </c>
      <c r="BS1831" t="s">
        <v>249</v>
      </c>
      <c r="BT1831" t="s">
        <v>2341</v>
      </c>
      <c r="BU1831" t="s">
        <v>681</v>
      </c>
      <c r="BV1831" t="s">
        <v>680</v>
      </c>
    </row>
    <row r="1832" spans="68:74" x14ac:dyDescent="0.25">
      <c r="BP1832">
        <v>11752</v>
      </c>
      <c r="BQ1832">
        <v>40600082</v>
      </c>
      <c r="BR1832" s="15" t="s">
        <v>255</v>
      </c>
      <c r="BS1832" t="s">
        <v>249</v>
      </c>
      <c r="BT1832" t="s">
        <v>2342</v>
      </c>
      <c r="BU1832" t="s">
        <v>681</v>
      </c>
      <c r="BV1832" t="s">
        <v>1153</v>
      </c>
    </row>
    <row r="1833" spans="68:74" x14ac:dyDescent="0.25">
      <c r="BQ1833">
        <v>40600152</v>
      </c>
      <c r="BR1833" s="15" t="s">
        <v>255</v>
      </c>
      <c r="BS1833" t="s">
        <v>249</v>
      </c>
      <c r="BT1833" t="s">
        <v>2343</v>
      </c>
      <c r="BU1833" t="s">
        <v>681</v>
      </c>
      <c r="BV1833" t="s">
        <v>680</v>
      </c>
    </row>
    <row r="1834" spans="68:74" x14ac:dyDescent="0.25">
      <c r="BQ1834">
        <v>40600162</v>
      </c>
      <c r="BR1834" s="15" t="s">
        <v>255</v>
      </c>
      <c r="BS1834" t="s">
        <v>249</v>
      </c>
      <c r="BT1834" t="s">
        <v>2344</v>
      </c>
      <c r="BU1834" t="s">
        <v>681</v>
      </c>
      <c r="BV1834" t="s">
        <v>680</v>
      </c>
    </row>
    <row r="1835" spans="68:74" x14ac:dyDescent="0.25">
      <c r="BQ1835">
        <v>40600172</v>
      </c>
      <c r="BR1835" s="15" t="s">
        <v>255</v>
      </c>
      <c r="BS1835" t="s">
        <v>249</v>
      </c>
      <c r="BT1835" t="s">
        <v>2345</v>
      </c>
      <c r="BU1835" t="s">
        <v>681</v>
      </c>
      <c r="BV1835" t="s">
        <v>680</v>
      </c>
    </row>
    <row r="1836" spans="68:74" x14ac:dyDescent="0.25">
      <c r="BQ1836">
        <v>40600062</v>
      </c>
      <c r="BR1836" s="15" t="s">
        <v>255</v>
      </c>
      <c r="BS1836" t="s">
        <v>249</v>
      </c>
      <c r="BT1836" t="s">
        <v>2346</v>
      </c>
      <c r="BU1836" t="s">
        <v>681</v>
      </c>
      <c r="BV1836" t="s">
        <v>680</v>
      </c>
    </row>
    <row r="1837" spans="68:74" x14ac:dyDescent="0.25">
      <c r="BP1837">
        <v>11824</v>
      </c>
      <c r="BQ1837">
        <v>4060003310</v>
      </c>
      <c r="BR1837" s="15" t="s">
        <v>255</v>
      </c>
      <c r="BS1837" t="s">
        <v>249</v>
      </c>
      <c r="BT1837" t="s">
        <v>2303</v>
      </c>
      <c r="BU1837" t="s">
        <v>682</v>
      </c>
      <c r="BV1837" t="s">
        <v>1153</v>
      </c>
    </row>
    <row r="1838" spans="68:74" x14ac:dyDescent="0.25">
      <c r="BQ1838">
        <v>4060013303</v>
      </c>
      <c r="BR1838" s="15" t="s">
        <v>255</v>
      </c>
      <c r="BS1838" t="s">
        <v>249</v>
      </c>
      <c r="BT1838" t="s">
        <v>2307</v>
      </c>
      <c r="BU1838" t="s">
        <v>682</v>
      </c>
      <c r="BV1838" t="s">
        <v>680</v>
      </c>
    </row>
    <row r="1839" spans="68:74" x14ac:dyDescent="0.25">
      <c r="BP1839">
        <v>11847</v>
      </c>
      <c r="BQ1839">
        <v>4060003324</v>
      </c>
      <c r="BR1839" s="15" t="s">
        <v>255</v>
      </c>
      <c r="BS1839" t="s">
        <v>249</v>
      </c>
      <c r="BT1839" t="s">
        <v>2347</v>
      </c>
      <c r="BU1839" t="s">
        <v>682</v>
      </c>
      <c r="BV1839" t="s">
        <v>1153</v>
      </c>
    </row>
    <row r="1840" spans="68:74" x14ac:dyDescent="0.25">
      <c r="BQ1840">
        <v>4060013301</v>
      </c>
      <c r="BR1840" s="15" t="s">
        <v>255</v>
      </c>
      <c r="BS1840" t="s">
        <v>249</v>
      </c>
      <c r="BT1840" t="s">
        <v>2308</v>
      </c>
      <c r="BU1840" t="s">
        <v>682</v>
      </c>
      <c r="BV1840" t="s">
        <v>680</v>
      </c>
    </row>
    <row r="1841" spans="68:74" x14ac:dyDescent="0.25">
      <c r="BQ1841">
        <v>4060013304</v>
      </c>
      <c r="BR1841" s="15" t="s">
        <v>255</v>
      </c>
      <c r="BS1841" t="s">
        <v>249</v>
      </c>
      <c r="BT1841" t="s">
        <v>2308</v>
      </c>
      <c r="BU1841" t="s">
        <v>682</v>
      </c>
      <c r="BV1841" t="s">
        <v>680</v>
      </c>
    </row>
    <row r="1842" spans="68:74" x14ac:dyDescent="0.25">
      <c r="BP1842">
        <v>11834</v>
      </c>
      <c r="BQ1842">
        <v>4060003315</v>
      </c>
      <c r="BR1842" s="15" t="s">
        <v>255</v>
      </c>
      <c r="BS1842" t="s">
        <v>249</v>
      </c>
      <c r="BT1842" t="s">
        <v>2348</v>
      </c>
      <c r="BU1842" t="s">
        <v>682</v>
      </c>
      <c r="BV1842" t="s">
        <v>1153</v>
      </c>
    </row>
    <row r="1843" spans="68:74" x14ac:dyDescent="0.25">
      <c r="BQ1843">
        <v>40600182</v>
      </c>
      <c r="BR1843" s="15" t="s">
        <v>255</v>
      </c>
      <c r="BS1843" t="s">
        <v>249</v>
      </c>
      <c r="BT1843" t="s">
        <v>2349</v>
      </c>
      <c r="BU1843" t="s">
        <v>681</v>
      </c>
      <c r="BV1843" t="s">
        <v>680</v>
      </c>
    </row>
    <row r="1844" spans="68:74" x14ac:dyDescent="0.25">
      <c r="BQ1844">
        <v>40600193</v>
      </c>
      <c r="BR1844" s="15" t="s">
        <v>255</v>
      </c>
      <c r="BS1844" t="s">
        <v>249</v>
      </c>
      <c r="BT1844" t="s">
        <v>2350</v>
      </c>
      <c r="BU1844" t="s">
        <v>682</v>
      </c>
      <c r="BV1844" t="s">
        <v>680</v>
      </c>
    </row>
    <row r="1845" spans="68:74" x14ac:dyDescent="0.25">
      <c r="BP1845">
        <v>11839</v>
      </c>
      <c r="BQ1845">
        <v>4060003318</v>
      </c>
      <c r="BR1845" s="15" t="s">
        <v>255</v>
      </c>
      <c r="BS1845" t="s">
        <v>249</v>
      </c>
      <c r="BT1845" t="s">
        <v>2131</v>
      </c>
      <c r="BU1845" t="s">
        <v>682</v>
      </c>
      <c r="BV1845" t="s">
        <v>1153</v>
      </c>
    </row>
    <row r="1846" spans="68:74" x14ac:dyDescent="0.25">
      <c r="BQ1846">
        <v>40600073</v>
      </c>
      <c r="BR1846" s="15" t="s">
        <v>255</v>
      </c>
      <c r="BS1846" t="s">
        <v>249</v>
      </c>
      <c r="BT1846" t="s">
        <v>2351</v>
      </c>
      <c r="BU1846" t="s">
        <v>682</v>
      </c>
      <c r="BV1846" t="s">
        <v>680</v>
      </c>
    </row>
    <row r="1847" spans="68:74" x14ac:dyDescent="0.25">
      <c r="BQ1847">
        <v>40600202</v>
      </c>
      <c r="BR1847" s="15" t="s">
        <v>255</v>
      </c>
      <c r="BS1847" t="s">
        <v>249</v>
      </c>
      <c r="BT1847" t="s">
        <v>2352</v>
      </c>
      <c r="BU1847" t="s">
        <v>681</v>
      </c>
      <c r="BV1847" t="s">
        <v>680</v>
      </c>
    </row>
    <row r="1848" spans="68:74" x14ac:dyDescent="0.25">
      <c r="BQ1848">
        <v>40600132</v>
      </c>
      <c r="BR1848" s="15" t="s">
        <v>255</v>
      </c>
      <c r="BS1848" t="s">
        <v>249</v>
      </c>
      <c r="BT1848" t="s">
        <v>2310</v>
      </c>
      <c r="BU1848" t="s">
        <v>681</v>
      </c>
      <c r="BV1848" t="s">
        <v>680</v>
      </c>
    </row>
    <row r="1849" spans="68:74" x14ac:dyDescent="0.25">
      <c r="BQ1849">
        <v>40600133</v>
      </c>
      <c r="BR1849" s="15" t="s">
        <v>255</v>
      </c>
      <c r="BS1849" t="s">
        <v>249</v>
      </c>
      <c r="BT1849" t="s">
        <v>2310</v>
      </c>
      <c r="BU1849" t="s">
        <v>682</v>
      </c>
      <c r="BV1849" t="s">
        <v>680</v>
      </c>
    </row>
    <row r="1850" spans="68:74" x14ac:dyDescent="0.25">
      <c r="BQ1850">
        <v>40600212</v>
      </c>
      <c r="BR1850" s="15" t="s">
        <v>255</v>
      </c>
      <c r="BS1850" t="s">
        <v>249</v>
      </c>
      <c r="BT1850" t="s">
        <v>2353</v>
      </c>
      <c r="BU1850" t="s">
        <v>681</v>
      </c>
      <c r="BV1850" t="s">
        <v>680</v>
      </c>
    </row>
    <row r="1851" spans="68:74" x14ac:dyDescent="0.25">
      <c r="BP1851">
        <v>11826</v>
      </c>
      <c r="BQ1851">
        <v>4060003311</v>
      </c>
      <c r="BR1851" s="15" t="s">
        <v>255</v>
      </c>
      <c r="BS1851" t="s">
        <v>249</v>
      </c>
      <c r="BT1851" t="s">
        <v>2354</v>
      </c>
      <c r="BU1851" t="s">
        <v>682</v>
      </c>
      <c r="BV1851" t="s">
        <v>1153</v>
      </c>
    </row>
    <row r="1852" spans="68:74" x14ac:dyDescent="0.25">
      <c r="BP1852">
        <v>11861</v>
      </c>
      <c r="BQ1852">
        <v>4060003332</v>
      </c>
      <c r="BR1852" s="15" t="s">
        <v>255</v>
      </c>
      <c r="BS1852" t="s">
        <v>249</v>
      </c>
      <c r="BT1852" t="s">
        <v>2354</v>
      </c>
      <c r="BU1852" t="s">
        <v>682</v>
      </c>
      <c r="BV1852" t="s">
        <v>1153</v>
      </c>
    </row>
    <row r="1853" spans="68:74" x14ac:dyDescent="0.25">
      <c r="BQ1853">
        <v>4060003312</v>
      </c>
      <c r="BR1853" s="15" t="s">
        <v>255</v>
      </c>
      <c r="BS1853" t="s">
        <v>249</v>
      </c>
      <c r="BT1853" t="s">
        <v>2355</v>
      </c>
      <c r="BU1853" t="s">
        <v>682</v>
      </c>
      <c r="BV1853" t="s">
        <v>1153</v>
      </c>
    </row>
    <row r="1854" spans="68:74" x14ac:dyDescent="0.25">
      <c r="BP1854">
        <v>11828</v>
      </c>
      <c r="BQ1854">
        <v>4060003312</v>
      </c>
      <c r="BR1854" s="15" t="s">
        <v>255</v>
      </c>
      <c r="BS1854" t="s">
        <v>249</v>
      </c>
      <c r="BT1854" t="s">
        <v>2355</v>
      </c>
      <c r="BU1854" t="s">
        <v>682</v>
      </c>
      <c r="BV1854" t="s">
        <v>1153</v>
      </c>
    </row>
    <row r="1855" spans="68:74" x14ac:dyDescent="0.25">
      <c r="BQ1855">
        <v>40600223</v>
      </c>
      <c r="BR1855" s="15" t="s">
        <v>255</v>
      </c>
      <c r="BS1855" t="s">
        <v>249</v>
      </c>
      <c r="BT1855" t="s">
        <v>2356</v>
      </c>
      <c r="BU1855" t="s">
        <v>682</v>
      </c>
      <c r="BV1855" t="s">
        <v>680</v>
      </c>
    </row>
    <row r="1856" spans="68:74" x14ac:dyDescent="0.25">
      <c r="BP1856">
        <v>11760</v>
      </c>
      <c r="BQ1856">
        <v>40600272</v>
      </c>
      <c r="BR1856" s="15" t="s">
        <v>255</v>
      </c>
      <c r="BS1856" t="s">
        <v>249</v>
      </c>
      <c r="BT1856" t="s">
        <v>2357</v>
      </c>
      <c r="BU1856" t="s">
        <v>681</v>
      </c>
      <c r="BV1856" t="s">
        <v>1153</v>
      </c>
    </row>
    <row r="1857" spans="68:74" x14ac:dyDescent="0.25">
      <c r="BP1857">
        <v>11855</v>
      </c>
      <c r="BQ1857">
        <v>4060003329</v>
      </c>
      <c r="BR1857" s="15" t="s">
        <v>255</v>
      </c>
      <c r="BS1857" t="s">
        <v>249</v>
      </c>
      <c r="BT1857" t="s">
        <v>2358</v>
      </c>
      <c r="BU1857" t="s">
        <v>682</v>
      </c>
      <c r="BV1857" t="s">
        <v>1153</v>
      </c>
    </row>
    <row r="1858" spans="68:74" x14ac:dyDescent="0.25">
      <c r="BP1858">
        <v>11838</v>
      </c>
      <c r="BQ1858">
        <v>4060003317</v>
      </c>
      <c r="BR1858" s="15" t="s">
        <v>255</v>
      </c>
      <c r="BS1858" t="s">
        <v>249</v>
      </c>
      <c r="BT1858" t="s">
        <v>2359</v>
      </c>
      <c r="BU1858" t="s">
        <v>682</v>
      </c>
      <c r="BV1858" t="s">
        <v>1153</v>
      </c>
    </row>
    <row r="1859" spans="68:74" x14ac:dyDescent="0.25">
      <c r="BQ1859">
        <v>4060003335</v>
      </c>
      <c r="BR1859" s="15" t="s">
        <v>255</v>
      </c>
      <c r="BS1859" t="s">
        <v>249</v>
      </c>
      <c r="BT1859" t="s">
        <v>2360</v>
      </c>
      <c r="BU1859" t="s">
        <v>682</v>
      </c>
      <c r="BV1859" t="s">
        <v>1153</v>
      </c>
    </row>
    <row r="1860" spans="68:74" x14ac:dyDescent="0.25">
      <c r="BQ1860">
        <v>4060013305</v>
      </c>
      <c r="BR1860" s="15" t="s">
        <v>255</v>
      </c>
      <c r="BS1860" t="s">
        <v>249</v>
      </c>
      <c r="BT1860" t="s">
        <v>2313</v>
      </c>
      <c r="BU1860" t="s">
        <v>682</v>
      </c>
      <c r="BV1860" t="s">
        <v>680</v>
      </c>
    </row>
    <row r="1861" spans="68:74" x14ac:dyDescent="0.25">
      <c r="BQ1861">
        <v>50100012</v>
      </c>
      <c r="BR1861" s="15" t="s">
        <v>2361</v>
      </c>
      <c r="BS1861" t="s">
        <v>2362</v>
      </c>
      <c r="BT1861" t="s">
        <v>2363</v>
      </c>
      <c r="BU1861" t="s">
        <v>681</v>
      </c>
      <c r="BV1861" t="s">
        <v>680</v>
      </c>
    </row>
    <row r="1862" spans="68:74" x14ac:dyDescent="0.25">
      <c r="BQ1862">
        <v>50100023</v>
      </c>
      <c r="BR1862" s="15" t="s">
        <v>2361</v>
      </c>
      <c r="BS1862" t="s">
        <v>2362</v>
      </c>
      <c r="BT1862" t="s">
        <v>2364</v>
      </c>
      <c r="BU1862" t="s">
        <v>682</v>
      </c>
      <c r="BV1862" t="s">
        <v>680</v>
      </c>
    </row>
    <row r="1863" spans="68:74" x14ac:dyDescent="0.25">
      <c r="BQ1863">
        <v>50100193</v>
      </c>
      <c r="BR1863" s="15" t="s">
        <v>2361</v>
      </c>
      <c r="BS1863" t="s">
        <v>2362</v>
      </c>
      <c r="BT1863" t="s">
        <v>2365</v>
      </c>
      <c r="BU1863" t="s">
        <v>682</v>
      </c>
      <c r="BV1863" t="s">
        <v>680</v>
      </c>
    </row>
    <row r="1864" spans="68:74" x14ac:dyDescent="0.25">
      <c r="BQ1864">
        <v>50100032</v>
      </c>
      <c r="BR1864" s="15" t="s">
        <v>2361</v>
      </c>
      <c r="BS1864" t="s">
        <v>2362</v>
      </c>
      <c r="BT1864" t="s">
        <v>2366</v>
      </c>
      <c r="BU1864" t="s">
        <v>681</v>
      </c>
      <c r="BV1864" t="s">
        <v>680</v>
      </c>
    </row>
    <row r="1865" spans="68:74" x14ac:dyDescent="0.25">
      <c r="BQ1865">
        <v>50100033</v>
      </c>
      <c r="BR1865" s="15" t="s">
        <v>2361</v>
      </c>
      <c r="BS1865" t="s">
        <v>2362</v>
      </c>
      <c r="BT1865" t="s">
        <v>2366</v>
      </c>
      <c r="BU1865" t="s">
        <v>682</v>
      </c>
      <c r="BV1865" t="s">
        <v>680</v>
      </c>
    </row>
    <row r="1866" spans="68:74" x14ac:dyDescent="0.25">
      <c r="BQ1866">
        <v>50100142</v>
      </c>
      <c r="BR1866" s="15" t="s">
        <v>2361</v>
      </c>
      <c r="BS1866" t="s">
        <v>2362</v>
      </c>
      <c r="BT1866" t="s">
        <v>2367</v>
      </c>
      <c r="BU1866" t="s">
        <v>681</v>
      </c>
      <c r="BV1866" t="s">
        <v>680</v>
      </c>
    </row>
    <row r="1867" spans="68:74" x14ac:dyDescent="0.25">
      <c r="BQ1867">
        <v>50100143</v>
      </c>
      <c r="BR1867" s="15" t="s">
        <v>2361</v>
      </c>
      <c r="BS1867" t="s">
        <v>2362</v>
      </c>
      <c r="BT1867" t="s">
        <v>2367</v>
      </c>
      <c r="BU1867" t="s">
        <v>682</v>
      </c>
      <c r="BV1867" t="s">
        <v>680</v>
      </c>
    </row>
    <row r="1868" spans="68:74" x14ac:dyDescent="0.25">
      <c r="BQ1868">
        <v>50100232</v>
      </c>
      <c r="BR1868" s="15" t="s">
        <v>2361</v>
      </c>
      <c r="BS1868" t="s">
        <v>2362</v>
      </c>
      <c r="BT1868" t="s">
        <v>2368</v>
      </c>
      <c r="BU1868" t="s">
        <v>681</v>
      </c>
      <c r="BV1868" t="s">
        <v>680</v>
      </c>
    </row>
    <row r="1869" spans="68:74" x14ac:dyDescent="0.25">
      <c r="BQ1869">
        <v>50100202</v>
      </c>
      <c r="BR1869" s="15" t="s">
        <v>2361</v>
      </c>
      <c r="BS1869" t="s">
        <v>2362</v>
      </c>
      <c r="BT1869" t="s">
        <v>2369</v>
      </c>
      <c r="BU1869" t="s">
        <v>681</v>
      </c>
      <c r="BV1869" t="s">
        <v>680</v>
      </c>
    </row>
    <row r="1870" spans="68:74" x14ac:dyDescent="0.25">
      <c r="BQ1870">
        <v>50100203</v>
      </c>
      <c r="BR1870" s="15" t="s">
        <v>2361</v>
      </c>
      <c r="BS1870" t="s">
        <v>2362</v>
      </c>
      <c r="BT1870" t="s">
        <v>2369</v>
      </c>
      <c r="BU1870" t="s">
        <v>682</v>
      </c>
      <c r="BV1870" t="s">
        <v>680</v>
      </c>
    </row>
    <row r="1871" spans="68:74" x14ac:dyDescent="0.25">
      <c r="BQ1871">
        <v>50100173</v>
      </c>
      <c r="BR1871" s="15" t="s">
        <v>2361</v>
      </c>
      <c r="BS1871" t="s">
        <v>2362</v>
      </c>
      <c r="BT1871" t="s">
        <v>2362</v>
      </c>
      <c r="BU1871" t="s">
        <v>682</v>
      </c>
      <c r="BV1871" t="s">
        <v>680</v>
      </c>
    </row>
    <row r="1872" spans="68:74" x14ac:dyDescent="0.25">
      <c r="BQ1872">
        <v>50100042</v>
      </c>
      <c r="BR1872" s="15" t="s">
        <v>2361</v>
      </c>
      <c r="BS1872" t="s">
        <v>2362</v>
      </c>
      <c r="BT1872" t="s">
        <v>2370</v>
      </c>
      <c r="BU1872" t="s">
        <v>681</v>
      </c>
      <c r="BV1872" t="s">
        <v>680</v>
      </c>
    </row>
    <row r="1873" spans="69:74" x14ac:dyDescent="0.25">
      <c r="BQ1873">
        <v>50100043</v>
      </c>
      <c r="BR1873" s="15" t="s">
        <v>2361</v>
      </c>
      <c r="BS1873" t="s">
        <v>2362</v>
      </c>
      <c r="BT1873" t="s">
        <v>2370</v>
      </c>
      <c r="BU1873" t="s">
        <v>682</v>
      </c>
      <c r="BV1873" t="s">
        <v>680</v>
      </c>
    </row>
    <row r="1874" spans="69:74" x14ac:dyDescent="0.25">
      <c r="BQ1874">
        <v>50100052</v>
      </c>
      <c r="BR1874" s="15" t="s">
        <v>2361</v>
      </c>
      <c r="BS1874" t="s">
        <v>2362</v>
      </c>
      <c r="BT1874" t="s">
        <v>2371</v>
      </c>
      <c r="BU1874" t="s">
        <v>681</v>
      </c>
      <c r="BV1874" t="s">
        <v>680</v>
      </c>
    </row>
    <row r="1875" spans="69:74" x14ac:dyDescent="0.25">
      <c r="BQ1875">
        <v>50100053</v>
      </c>
      <c r="BR1875" s="15" t="s">
        <v>2361</v>
      </c>
      <c r="BS1875" t="s">
        <v>2362</v>
      </c>
      <c r="BT1875" t="s">
        <v>2371</v>
      </c>
      <c r="BU1875" t="s">
        <v>682</v>
      </c>
      <c r="BV1875" t="s">
        <v>680</v>
      </c>
    </row>
    <row r="1876" spans="69:74" x14ac:dyDescent="0.25">
      <c r="BQ1876">
        <v>50100063</v>
      </c>
      <c r="BR1876" s="15" t="s">
        <v>2361</v>
      </c>
      <c r="BS1876" t="s">
        <v>2362</v>
      </c>
      <c r="BT1876" t="s">
        <v>2372</v>
      </c>
      <c r="BU1876" t="s">
        <v>682</v>
      </c>
      <c r="BV1876" t="s">
        <v>680</v>
      </c>
    </row>
    <row r="1877" spans="69:74" x14ac:dyDescent="0.25">
      <c r="BQ1877">
        <v>50100072</v>
      </c>
      <c r="BR1877" s="15" t="s">
        <v>2361</v>
      </c>
      <c r="BS1877" t="s">
        <v>2362</v>
      </c>
      <c r="BT1877" t="s">
        <v>2373</v>
      </c>
      <c r="BU1877" t="s">
        <v>681</v>
      </c>
      <c r="BV1877" t="s">
        <v>680</v>
      </c>
    </row>
    <row r="1878" spans="69:74" x14ac:dyDescent="0.25">
      <c r="BQ1878">
        <v>50100073</v>
      </c>
      <c r="BR1878" s="15" t="s">
        <v>2361</v>
      </c>
      <c r="BS1878" t="s">
        <v>2362</v>
      </c>
      <c r="BT1878" t="s">
        <v>2373</v>
      </c>
      <c r="BU1878" t="s">
        <v>682</v>
      </c>
      <c r="BV1878" t="s">
        <v>680</v>
      </c>
    </row>
    <row r="1879" spans="69:74" x14ac:dyDescent="0.25">
      <c r="BQ1879">
        <v>50100083</v>
      </c>
      <c r="BR1879" s="15" t="s">
        <v>2361</v>
      </c>
      <c r="BS1879" t="s">
        <v>2362</v>
      </c>
      <c r="BT1879" t="s">
        <v>2374</v>
      </c>
      <c r="BU1879" t="s">
        <v>682</v>
      </c>
      <c r="BV1879" t="s">
        <v>680</v>
      </c>
    </row>
    <row r="1880" spans="69:74" x14ac:dyDescent="0.25">
      <c r="BQ1880">
        <v>50100183</v>
      </c>
      <c r="BR1880" s="15" t="s">
        <v>2361</v>
      </c>
      <c r="BS1880" t="s">
        <v>2362</v>
      </c>
      <c r="BT1880" t="s">
        <v>2375</v>
      </c>
      <c r="BU1880" t="s">
        <v>682</v>
      </c>
      <c r="BV1880" t="s">
        <v>680</v>
      </c>
    </row>
    <row r="1881" spans="69:74" x14ac:dyDescent="0.25">
      <c r="BQ1881">
        <v>50100093</v>
      </c>
      <c r="BR1881" s="15" t="s">
        <v>2361</v>
      </c>
      <c r="BS1881" t="s">
        <v>2362</v>
      </c>
      <c r="BT1881" t="s">
        <v>2376</v>
      </c>
      <c r="BU1881" t="s">
        <v>682</v>
      </c>
      <c r="BV1881" t="s">
        <v>680</v>
      </c>
    </row>
    <row r="1882" spans="69:74" x14ac:dyDescent="0.25">
      <c r="BQ1882">
        <v>50100132</v>
      </c>
      <c r="BR1882" s="15" t="s">
        <v>2361</v>
      </c>
      <c r="BS1882" t="s">
        <v>2362</v>
      </c>
      <c r="BT1882" t="s">
        <v>2377</v>
      </c>
      <c r="BU1882" t="s">
        <v>681</v>
      </c>
      <c r="BV1882" t="s">
        <v>680</v>
      </c>
    </row>
    <row r="1883" spans="69:74" x14ac:dyDescent="0.25">
      <c r="BQ1883">
        <v>50100133</v>
      </c>
      <c r="BR1883" s="15" t="s">
        <v>2361</v>
      </c>
      <c r="BS1883" t="s">
        <v>2362</v>
      </c>
      <c r="BT1883" t="s">
        <v>2377</v>
      </c>
      <c r="BU1883" t="s">
        <v>682</v>
      </c>
      <c r="BV1883" t="s">
        <v>680</v>
      </c>
    </row>
    <row r="1884" spans="69:74" x14ac:dyDescent="0.25">
      <c r="BQ1884">
        <v>50100103</v>
      </c>
      <c r="BR1884" s="15" t="s">
        <v>2361</v>
      </c>
      <c r="BS1884" t="s">
        <v>2362</v>
      </c>
      <c r="BT1884" t="s">
        <v>2378</v>
      </c>
      <c r="BU1884" t="s">
        <v>682</v>
      </c>
      <c r="BV1884" t="s">
        <v>680</v>
      </c>
    </row>
    <row r="1885" spans="69:74" x14ac:dyDescent="0.25">
      <c r="BQ1885">
        <v>50100162</v>
      </c>
      <c r="BR1885" s="15" t="s">
        <v>2361</v>
      </c>
      <c r="BS1885" t="s">
        <v>2362</v>
      </c>
      <c r="BT1885" t="s">
        <v>2379</v>
      </c>
      <c r="BU1885" t="s">
        <v>681</v>
      </c>
      <c r="BV1885" t="s">
        <v>680</v>
      </c>
    </row>
    <row r="1886" spans="69:74" x14ac:dyDescent="0.25">
      <c r="BQ1886">
        <v>50100163</v>
      </c>
      <c r="BR1886" s="15" t="s">
        <v>2361</v>
      </c>
      <c r="BS1886" t="s">
        <v>2362</v>
      </c>
      <c r="BT1886" t="s">
        <v>2379</v>
      </c>
      <c r="BU1886" t="s">
        <v>682</v>
      </c>
      <c r="BV1886" t="s">
        <v>680</v>
      </c>
    </row>
    <row r="1887" spans="69:74" x14ac:dyDescent="0.25">
      <c r="BQ1887">
        <v>50100152</v>
      </c>
      <c r="BR1887" s="15" t="s">
        <v>2361</v>
      </c>
      <c r="BS1887" t="s">
        <v>2362</v>
      </c>
      <c r="BT1887" t="s">
        <v>2380</v>
      </c>
      <c r="BU1887" t="s">
        <v>681</v>
      </c>
      <c r="BV1887" t="s">
        <v>680</v>
      </c>
    </row>
    <row r="1888" spans="69:74" x14ac:dyDescent="0.25">
      <c r="BQ1888">
        <v>50100153</v>
      </c>
      <c r="BR1888" s="15" t="s">
        <v>2361</v>
      </c>
      <c r="BS1888" t="s">
        <v>2362</v>
      </c>
      <c r="BT1888" t="s">
        <v>2380</v>
      </c>
      <c r="BU1888" t="s">
        <v>682</v>
      </c>
      <c r="BV1888" t="s">
        <v>680</v>
      </c>
    </row>
    <row r="1889" spans="69:74" x14ac:dyDescent="0.25">
      <c r="BQ1889">
        <v>50100113</v>
      </c>
      <c r="BR1889" s="15" t="s">
        <v>2361</v>
      </c>
      <c r="BS1889" t="s">
        <v>2362</v>
      </c>
      <c r="BT1889" t="s">
        <v>2381</v>
      </c>
      <c r="BU1889" t="s">
        <v>682</v>
      </c>
      <c r="BV1889" t="s">
        <v>680</v>
      </c>
    </row>
    <row r="1890" spans="69:74" x14ac:dyDescent="0.25">
      <c r="BQ1890">
        <v>50100122</v>
      </c>
      <c r="BR1890" s="15" t="s">
        <v>2361</v>
      </c>
      <c r="BS1890" t="s">
        <v>2362</v>
      </c>
      <c r="BT1890" t="s">
        <v>2382</v>
      </c>
      <c r="BU1890" t="s">
        <v>681</v>
      </c>
      <c r="BV1890" t="s">
        <v>680</v>
      </c>
    </row>
    <row r="1891" spans="69:74" x14ac:dyDescent="0.25">
      <c r="BQ1891">
        <v>50100123</v>
      </c>
      <c r="BR1891" s="15" t="s">
        <v>2361</v>
      </c>
      <c r="BS1891" t="s">
        <v>2362</v>
      </c>
      <c r="BT1891" t="s">
        <v>2382</v>
      </c>
      <c r="BU1891" t="s">
        <v>682</v>
      </c>
      <c r="BV1891" t="s">
        <v>680</v>
      </c>
    </row>
    <row r="1892" spans="69:74" x14ac:dyDescent="0.25">
      <c r="BQ1892">
        <v>51000013</v>
      </c>
      <c r="BR1892" s="15" t="s">
        <v>272</v>
      </c>
      <c r="BS1892" t="s">
        <v>263</v>
      </c>
      <c r="BT1892" t="s">
        <v>2383</v>
      </c>
      <c r="BU1892" t="s">
        <v>682</v>
      </c>
      <c r="BV1892" t="s">
        <v>680</v>
      </c>
    </row>
    <row r="1893" spans="69:74" x14ac:dyDescent="0.25">
      <c r="BQ1893">
        <v>51000023</v>
      </c>
      <c r="BR1893" s="15" t="s">
        <v>272</v>
      </c>
      <c r="BS1893" t="s">
        <v>263</v>
      </c>
      <c r="BT1893" t="s">
        <v>2384</v>
      </c>
      <c r="BU1893" t="s">
        <v>682</v>
      </c>
      <c r="BV1893" t="s">
        <v>680</v>
      </c>
    </row>
    <row r="1894" spans="69:74" x14ac:dyDescent="0.25">
      <c r="BQ1894">
        <v>51000033</v>
      </c>
      <c r="BR1894" s="15" t="s">
        <v>272</v>
      </c>
      <c r="BS1894" t="s">
        <v>263</v>
      </c>
      <c r="BT1894" t="s">
        <v>2385</v>
      </c>
      <c r="BU1894" t="s">
        <v>682</v>
      </c>
      <c r="BV1894" t="s">
        <v>680</v>
      </c>
    </row>
    <row r="1895" spans="69:74" x14ac:dyDescent="0.25">
      <c r="BQ1895">
        <v>51000043</v>
      </c>
      <c r="BR1895" s="15" t="s">
        <v>272</v>
      </c>
      <c r="BS1895" t="s">
        <v>263</v>
      </c>
      <c r="BT1895" t="s">
        <v>2386</v>
      </c>
      <c r="BU1895" t="s">
        <v>682</v>
      </c>
      <c r="BV1895" t="s">
        <v>680</v>
      </c>
    </row>
    <row r="1896" spans="69:74" x14ac:dyDescent="0.25">
      <c r="BQ1896">
        <v>51000053</v>
      </c>
      <c r="BR1896" s="15" t="s">
        <v>272</v>
      </c>
      <c r="BS1896" t="s">
        <v>263</v>
      </c>
      <c r="BT1896" t="s">
        <v>2387</v>
      </c>
      <c r="BU1896" t="s">
        <v>682</v>
      </c>
      <c r="BV1896" t="s">
        <v>680</v>
      </c>
    </row>
    <row r="1897" spans="69:74" x14ac:dyDescent="0.25">
      <c r="BQ1897">
        <v>51000062</v>
      </c>
      <c r="BR1897" s="15" t="s">
        <v>272</v>
      </c>
      <c r="BS1897" t="s">
        <v>263</v>
      </c>
      <c r="BT1897" t="s">
        <v>2185</v>
      </c>
      <c r="BU1897" t="s">
        <v>681</v>
      </c>
      <c r="BV1897" t="s">
        <v>680</v>
      </c>
    </row>
    <row r="1898" spans="69:74" x14ac:dyDescent="0.25">
      <c r="BQ1898">
        <v>51000072</v>
      </c>
      <c r="BR1898" s="15" t="s">
        <v>272</v>
      </c>
      <c r="BS1898" t="s">
        <v>263</v>
      </c>
      <c r="BT1898" t="s">
        <v>2188</v>
      </c>
      <c r="BU1898" t="s">
        <v>681</v>
      </c>
      <c r="BV1898" t="s">
        <v>680</v>
      </c>
    </row>
    <row r="1899" spans="69:74" x14ac:dyDescent="0.25">
      <c r="BQ1899">
        <v>51000083</v>
      </c>
      <c r="BR1899" s="15" t="s">
        <v>272</v>
      </c>
      <c r="BS1899" t="s">
        <v>263</v>
      </c>
      <c r="BT1899" t="s">
        <v>2388</v>
      </c>
      <c r="BU1899" t="s">
        <v>682</v>
      </c>
      <c r="BV1899" t="s">
        <v>680</v>
      </c>
    </row>
    <row r="1900" spans="69:74" x14ac:dyDescent="0.25">
      <c r="BQ1900">
        <v>51000093</v>
      </c>
      <c r="BR1900" s="15" t="s">
        <v>272</v>
      </c>
      <c r="BS1900" t="s">
        <v>263</v>
      </c>
      <c r="BT1900" t="s">
        <v>2389</v>
      </c>
      <c r="BU1900" t="s">
        <v>682</v>
      </c>
      <c r="BV1900" t="s">
        <v>680</v>
      </c>
    </row>
    <row r="1901" spans="69:74" x14ac:dyDescent="0.25">
      <c r="BQ1901">
        <v>51000103</v>
      </c>
      <c r="BR1901" s="15" t="s">
        <v>272</v>
      </c>
      <c r="BS1901" t="s">
        <v>263</v>
      </c>
      <c r="BT1901" t="s">
        <v>2390</v>
      </c>
      <c r="BU1901" t="s">
        <v>682</v>
      </c>
      <c r="BV1901" t="s">
        <v>680</v>
      </c>
    </row>
    <row r="1902" spans="69:74" x14ac:dyDescent="0.25">
      <c r="BQ1902">
        <v>51000113</v>
      </c>
      <c r="BR1902" s="15" t="s">
        <v>272</v>
      </c>
      <c r="BS1902" t="s">
        <v>263</v>
      </c>
      <c r="BT1902" t="s">
        <v>2391</v>
      </c>
      <c r="BU1902" t="s">
        <v>682</v>
      </c>
      <c r="BV1902" t="s">
        <v>680</v>
      </c>
    </row>
    <row r="1903" spans="69:74" x14ac:dyDescent="0.25">
      <c r="BQ1903">
        <v>51000123</v>
      </c>
      <c r="BR1903" s="15" t="s">
        <v>272</v>
      </c>
      <c r="BS1903" t="s">
        <v>263</v>
      </c>
      <c r="BT1903" t="s">
        <v>2392</v>
      </c>
      <c r="BU1903" t="s">
        <v>682</v>
      </c>
      <c r="BV1903" t="s">
        <v>680</v>
      </c>
    </row>
    <row r="1904" spans="69:74" x14ac:dyDescent="0.25">
      <c r="BQ1904">
        <v>51000133</v>
      </c>
      <c r="BR1904" s="15" t="s">
        <v>272</v>
      </c>
      <c r="BS1904" t="s">
        <v>263</v>
      </c>
      <c r="BT1904" t="s">
        <v>2393</v>
      </c>
      <c r="BU1904" t="s">
        <v>682</v>
      </c>
      <c r="BV1904" t="s">
        <v>680</v>
      </c>
    </row>
    <row r="1905" spans="68:74" x14ac:dyDescent="0.25">
      <c r="BQ1905">
        <v>51000143</v>
      </c>
      <c r="BR1905" s="15" t="s">
        <v>272</v>
      </c>
      <c r="BS1905" t="s">
        <v>263</v>
      </c>
      <c r="BT1905" t="s">
        <v>263</v>
      </c>
      <c r="BU1905" t="s">
        <v>682</v>
      </c>
      <c r="BV1905" t="s">
        <v>680</v>
      </c>
    </row>
    <row r="1906" spans="68:74" x14ac:dyDescent="0.25">
      <c r="BQ1906">
        <v>51000183</v>
      </c>
      <c r="BR1906" s="15" t="s">
        <v>272</v>
      </c>
      <c r="BS1906" t="s">
        <v>263</v>
      </c>
      <c r="BT1906" t="s">
        <v>2394</v>
      </c>
      <c r="BU1906" t="s">
        <v>682</v>
      </c>
      <c r="BV1906" t="s">
        <v>680</v>
      </c>
    </row>
    <row r="1907" spans="68:74" x14ac:dyDescent="0.25">
      <c r="BQ1907">
        <v>51000152</v>
      </c>
      <c r="BR1907" s="15" t="s">
        <v>272</v>
      </c>
      <c r="BS1907" t="s">
        <v>263</v>
      </c>
      <c r="BT1907" t="s">
        <v>2395</v>
      </c>
      <c r="BU1907" t="s">
        <v>681</v>
      </c>
      <c r="BV1907" t="s">
        <v>680</v>
      </c>
    </row>
    <row r="1908" spans="68:74" x14ac:dyDescent="0.25">
      <c r="BQ1908">
        <v>51000153</v>
      </c>
      <c r="BR1908" s="15" t="s">
        <v>272</v>
      </c>
      <c r="BS1908" t="s">
        <v>263</v>
      </c>
      <c r="BT1908" t="s">
        <v>2395</v>
      </c>
      <c r="BU1908" t="s">
        <v>682</v>
      </c>
      <c r="BV1908" t="s">
        <v>680</v>
      </c>
    </row>
    <row r="1909" spans="68:74" x14ac:dyDescent="0.25">
      <c r="BQ1909">
        <v>51000193</v>
      </c>
      <c r="BR1909" s="15" t="s">
        <v>272</v>
      </c>
      <c r="BS1909" t="s">
        <v>263</v>
      </c>
      <c r="BT1909" t="s">
        <v>2396</v>
      </c>
      <c r="BU1909" t="s">
        <v>682</v>
      </c>
      <c r="BV1909" t="s">
        <v>680</v>
      </c>
    </row>
    <row r="1910" spans="68:74" x14ac:dyDescent="0.25">
      <c r="BQ1910">
        <v>51000162</v>
      </c>
      <c r="BR1910" s="15" t="s">
        <v>272</v>
      </c>
      <c r="BS1910" t="s">
        <v>263</v>
      </c>
      <c r="BT1910" t="s">
        <v>2397</v>
      </c>
      <c r="BU1910" t="s">
        <v>681</v>
      </c>
      <c r="BV1910" t="s">
        <v>680</v>
      </c>
    </row>
    <row r="1911" spans="68:74" x14ac:dyDescent="0.25">
      <c r="BQ1911">
        <v>51000163</v>
      </c>
      <c r="BR1911" s="15" t="s">
        <v>272</v>
      </c>
      <c r="BS1911" t="s">
        <v>263</v>
      </c>
      <c r="BT1911" t="s">
        <v>2397</v>
      </c>
      <c r="BU1911" t="s">
        <v>682</v>
      </c>
      <c r="BV1911" t="s">
        <v>680</v>
      </c>
    </row>
    <row r="1912" spans="68:74" x14ac:dyDescent="0.25">
      <c r="BQ1912">
        <v>51000173</v>
      </c>
      <c r="BR1912" s="15" t="s">
        <v>272</v>
      </c>
      <c r="BS1912" t="s">
        <v>263</v>
      </c>
      <c r="BT1912" t="s">
        <v>2398</v>
      </c>
      <c r="BU1912" t="s">
        <v>682</v>
      </c>
      <c r="BV1912" t="s">
        <v>680</v>
      </c>
    </row>
    <row r="1913" spans="68:74" x14ac:dyDescent="0.25">
      <c r="BP1913">
        <v>12218</v>
      </c>
      <c r="BQ1913">
        <v>51100012</v>
      </c>
      <c r="BR1913" s="15" t="s">
        <v>273</v>
      </c>
      <c r="BS1913" t="s">
        <v>264</v>
      </c>
      <c r="BT1913" t="s">
        <v>264</v>
      </c>
      <c r="BU1913" t="s">
        <v>681</v>
      </c>
      <c r="BV1913" t="s">
        <v>1149</v>
      </c>
    </row>
    <row r="1914" spans="68:74" x14ac:dyDescent="0.25">
      <c r="BP1914">
        <v>12215</v>
      </c>
      <c r="BQ1914">
        <v>51100012</v>
      </c>
      <c r="BR1914" s="15" t="s">
        <v>273</v>
      </c>
      <c r="BS1914" t="s">
        <v>264</v>
      </c>
      <c r="BT1914" t="s">
        <v>264</v>
      </c>
      <c r="BU1914" t="s">
        <v>681</v>
      </c>
      <c r="BV1914" t="s">
        <v>1153</v>
      </c>
    </row>
    <row r="1915" spans="68:74" x14ac:dyDescent="0.25">
      <c r="BQ1915">
        <v>51100013</v>
      </c>
      <c r="BR1915" s="15" t="s">
        <v>273</v>
      </c>
      <c r="BS1915" t="s">
        <v>264</v>
      </c>
      <c r="BT1915" t="s">
        <v>264</v>
      </c>
      <c r="BU1915" t="s">
        <v>682</v>
      </c>
      <c r="BV1915" t="s">
        <v>680</v>
      </c>
    </row>
    <row r="1916" spans="68:74" x14ac:dyDescent="0.25">
      <c r="BP1916">
        <v>12298</v>
      </c>
      <c r="BQ1916">
        <v>5110001301</v>
      </c>
      <c r="BR1916" s="15" t="s">
        <v>273</v>
      </c>
      <c r="BS1916" t="s">
        <v>264</v>
      </c>
      <c r="BT1916" t="s">
        <v>2399</v>
      </c>
      <c r="BU1916" t="s">
        <v>682</v>
      </c>
      <c r="BV1916" t="s">
        <v>1153</v>
      </c>
    </row>
    <row r="1917" spans="68:74" x14ac:dyDescent="0.25">
      <c r="BP1917">
        <v>12299</v>
      </c>
      <c r="BQ1917">
        <v>5110001301</v>
      </c>
      <c r="BR1917" s="15" t="s">
        <v>273</v>
      </c>
      <c r="BS1917" t="s">
        <v>264</v>
      </c>
      <c r="BT1917" t="s">
        <v>2399</v>
      </c>
      <c r="BU1917" t="s">
        <v>682</v>
      </c>
      <c r="BV1917" t="s">
        <v>1149</v>
      </c>
    </row>
    <row r="1918" spans="68:74" x14ac:dyDescent="0.25">
      <c r="BP1918">
        <v>12306</v>
      </c>
      <c r="BQ1918">
        <v>5110001306</v>
      </c>
      <c r="BR1918" s="15" t="s">
        <v>273</v>
      </c>
      <c r="BS1918" t="s">
        <v>264</v>
      </c>
      <c r="BT1918" t="s">
        <v>2400</v>
      </c>
      <c r="BU1918" t="s">
        <v>682</v>
      </c>
      <c r="BV1918" t="s">
        <v>1153</v>
      </c>
    </row>
    <row r="1919" spans="68:74" x14ac:dyDescent="0.25">
      <c r="BP1919">
        <v>12300</v>
      </c>
      <c r="BQ1919">
        <v>5110001302</v>
      </c>
      <c r="BR1919" s="15" t="s">
        <v>273</v>
      </c>
      <c r="BS1919" t="s">
        <v>264</v>
      </c>
      <c r="BT1919" t="s">
        <v>2401</v>
      </c>
      <c r="BU1919" t="s">
        <v>682</v>
      </c>
      <c r="BV1919" t="s">
        <v>1153</v>
      </c>
    </row>
    <row r="1920" spans="68:74" x14ac:dyDescent="0.25">
      <c r="BP1920">
        <v>12302</v>
      </c>
      <c r="BQ1920">
        <v>5110001303</v>
      </c>
      <c r="BR1920" s="15" t="s">
        <v>273</v>
      </c>
      <c r="BS1920" t="s">
        <v>264</v>
      </c>
      <c r="BT1920" t="s">
        <v>2402</v>
      </c>
      <c r="BU1920" t="s">
        <v>682</v>
      </c>
      <c r="BV1920" t="s">
        <v>1153</v>
      </c>
    </row>
    <row r="1921" spans="68:74" x14ac:dyDescent="0.25">
      <c r="BP1921">
        <v>550340</v>
      </c>
      <c r="BQ1921">
        <v>51100133</v>
      </c>
      <c r="BR1921" s="15" t="s">
        <v>273</v>
      </c>
      <c r="BS1921" t="s">
        <v>264</v>
      </c>
      <c r="BT1921" t="s">
        <v>5640</v>
      </c>
      <c r="BU1921" t="s">
        <v>682</v>
      </c>
      <c r="BV1921" t="s">
        <v>1153</v>
      </c>
    </row>
    <row r="1922" spans="68:74" x14ac:dyDescent="0.25">
      <c r="BP1922">
        <v>281062</v>
      </c>
      <c r="BQ1922">
        <v>5110001304</v>
      </c>
      <c r="BR1922" s="15" t="s">
        <v>273</v>
      </c>
      <c r="BS1922" t="s">
        <v>264</v>
      </c>
      <c r="BT1922" t="s">
        <v>2403</v>
      </c>
      <c r="BU1922" t="s">
        <v>682</v>
      </c>
      <c r="BV1922" t="s">
        <v>1149</v>
      </c>
    </row>
    <row r="1923" spans="68:74" x14ac:dyDescent="0.25">
      <c r="BP1923">
        <v>12305</v>
      </c>
      <c r="BQ1923">
        <v>5110001304</v>
      </c>
      <c r="BR1923" s="15" t="s">
        <v>273</v>
      </c>
      <c r="BS1923" t="s">
        <v>264</v>
      </c>
      <c r="BT1923" t="s">
        <v>2403</v>
      </c>
      <c r="BU1923" t="s">
        <v>682</v>
      </c>
      <c r="BV1923" t="s">
        <v>1153</v>
      </c>
    </row>
    <row r="1924" spans="68:74" x14ac:dyDescent="0.25">
      <c r="BQ1924">
        <v>5110001305</v>
      </c>
      <c r="BR1924" s="15" t="s">
        <v>273</v>
      </c>
      <c r="BS1924" t="s">
        <v>264</v>
      </c>
      <c r="BT1924" t="s">
        <v>2404</v>
      </c>
      <c r="BU1924" t="s">
        <v>682</v>
      </c>
      <c r="BV1924" t="s">
        <v>1153</v>
      </c>
    </row>
    <row r="1925" spans="68:74" x14ac:dyDescent="0.25">
      <c r="BQ1925">
        <v>51200153</v>
      </c>
      <c r="BR1925" s="15" t="s">
        <v>2405</v>
      </c>
      <c r="BS1925" t="s">
        <v>2406</v>
      </c>
      <c r="BT1925" t="s">
        <v>2407</v>
      </c>
      <c r="BU1925" t="s">
        <v>682</v>
      </c>
      <c r="BV1925" t="s">
        <v>680</v>
      </c>
    </row>
    <row r="1926" spans="68:74" x14ac:dyDescent="0.25">
      <c r="BQ1926">
        <v>51200013</v>
      </c>
      <c r="BR1926" s="15" t="s">
        <v>2405</v>
      </c>
      <c r="BS1926" t="s">
        <v>2406</v>
      </c>
      <c r="BT1926" t="s">
        <v>2408</v>
      </c>
      <c r="BU1926" t="s">
        <v>682</v>
      </c>
      <c r="BV1926" t="s">
        <v>680</v>
      </c>
    </row>
    <row r="1927" spans="68:74" x14ac:dyDescent="0.25">
      <c r="BQ1927">
        <v>51200023</v>
      </c>
      <c r="BR1927" s="15" t="s">
        <v>2405</v>
      </c>
      <c r="BS1927" t="s">
        <v>2406</v>
      </c>
      <c r="BT1927" t="s">
        <v>2409</v>
      </c>
      <c r="BU1927" t="s">
        <v>682</v>
      </c>
      <c r="BV1927" t="s">
        <v>680</v>
      </c>
    </row>
    <row r="1928" spans="68:74" x14ac:dyDescent="0.25">
      <c r="BQ1928">
        <v>51200032</v>
      </c>
      <c r="BR1928" s="15" t="s">
        <v>2405</v>
      </c>
      <c r="BS1928" t="s">
        <v>2406</v>
      </c>
      <c r="BT1928" t="s">
        <v>2410</v>
      </c>
      <c r="BU1928" t="s">
        <v>681</v>
      </c>
      <c r="BV1928" t="s">
        <v>680</v>
      </c>
    </row>
    <row r="1929" spans="68:74" x14ac:dyDescent="0.25">
      <c r="BQ1929">
        <v>51200033</v>
      </c>
      <c r="BR1929" s="15" t="s">
        <v>2405</v>
      </c>
      <c r="BS1929" t="s">
        <v>2406</v>
      </c>
      <c r="BT1929" t="s">
        <v>2410</v>
      </c>
      <c r="BU1929" t="s">
        <v>682</v>
      </c>
      <c r="BV1929" t="s">
        <v>680</v>
      </c>
    </row>
    <row r="1930" spans="68:74" x14ac:dyDescent="0.25">
      <c r="BQ1930">
        <v>51200042</v>
      </c>
      <c r="BR1930" s="15" t="s">
        <v>2405</v>
      </c>
      <c r="BS1930" t="s">
        <v>2406</v>
      </c>
      <c r="BT1930" t="s">
        <v>2411</v>
      </c>
      <c r="BU1930" t="s">
        <v>681</v>
      </c>
      <c r="BV1930" t="s">
        <v>680</v>
      </c>
    </row>
    <row r="1931" spans="68:74" x14ac:dyDescent="0.25">
      <c r="BQ1931">
        <v>51200043</v>
      </c>
      <c r="BR1931" s="15" t="s">
        <v>2405</v>
      </c>
      <c r="BS1931" t="s">
        <v>2406</v>
      </c>
      <c r="BT1931" t="s">
        <v>2411</v>
      </c>
      <c r="BU1931" t="s">
        <v>682</v>
      </c>
      <c r="BV1931" t="s">
        <v>680</v>
      </c>
    </row>
    <row r="1932" spans="68:74" x14ac:dyDescent="0.25">
      <c r="BQ1932">
        <v>51200052</v>
      </c>
      <c r="BR1932" s="15" t="s">
        <v>2405</v>
      </c>
      <c r="BS1932" t="s">
        <v>2406</v>
      </c>
      <c r="BT1932" t="s">
        <v>2412</v>
      </c>
      <c r="BU1932" t="s">
        <v>681</v>
      </c>
      <c r="BV1932" t="s">
        <v>680</v>
      </c>
    </row>
    <row r="1933" spans="68:74" x14ac:dyDescent="0.25">
      <c r="BQ1933">
        <v>51200053</v>
      </c>
      <c r="BR1933" s="15" t="s">
        <v>2405</v>
      </c>
      <c r="BS1933" t="s">
        <v>2406</v>
      </c>
      <c r="BT1933" t="s">
        <v>2412</v>
      </c>
      <c r="BU1933" t="s">
        <v>682</v>
      </c>
      <c r="BV1933" t="s">
        <v>680</v>
      </c>
    </row>
    <row r="1934" spans="68:74" x14ac:dyDescent="0.25">
      <c r="BQ1934">
        <v>51200062</v>
      </c>
      <c r="BR1934" s="15" t="s">
        <v>2405</v>
      </c>
      <c r="BS1934" t="s">
        <v>2406</v>
      </c>
      <c r="BT1934" t="s">
        <v>2413</v>
      </c>
      <c r="BU1934" t="s">
        <v>681</v>
      </c>
      <c r="BV1934" t="s">
        <v>680</v>
      </c>
    </row>
    <row r="1935" spans="68:74" x14ac:dyDescent="0.25">
      <c r="BQ1935">
        <v>51200063</v>
      </c>
      <c r="BR1935" s="15" t="s">
        <v>2405</v>
      </c>
      <c r="BS1935" t="s">
        <v>2406</v>
      </c>
      <c r="BT1935" t="s">
        <v>2413</v>
      </c>
      <c r="BU1935" t="s">
        <v>682</v>
      </c>
      <c r="BV1935" t="s">
        <v>680</v>
      </c>
    </row>
    <row r="1936" spans="68:74" x14ac:dyDescent="0.25">
      <c r="BQ1936">
        <v>51200072</v>
      </c>
      <c r="BR1936" s="15" t="s">
        <v>2405</v>
      </c>
      <c r="BS1936" t="s">
        <v>2406</v>
      </c>
      <c r="BT1936" t="s">
        <v>2414</v>
      </c>
      <c r="BU1936" t="s">
        <v>681</v>
      </c>
      <c r="BV1936" t="s">
        <v>680</v>
      </c>
    </row>
    <row r="1937" spans="69:74" x14ac:dyDescent="0.25">
      <c r="BQ1937">
        <v>51200073</v>
      </c>
      <c r="BR1937" s="15" t="s">
        <v>2405</v>
      </c>
      <c r="BS1937" t="s">
        <v>2406</v>
      </c>
      <c r="BT1937" t="s">
        <v>2414</v>
      </c>
      <c r="BU1937" t="s">
        <v>682</v>
      </c>
      <c r="BV1937" t="s">
        <v>680</v>
      </c>
    </row>
    <row r="1938" spans="69:74" x14ac:dyDescent="0.25">
      <c r="BQ1938">
        <v>51200082</v>
      </c>
      <c r="BR1938" s="15" t="s">
        <v>2405</v>
      </c>
      <c r="BS1938" t="s">
        <v>2406</v>
      </c>
      <c r="BT1938" t="s">
        <v>2415</v>
      </c>
      <c r="BU1938" t="s">
        <v>681</v>
      </c>
      <c r="BV1938" t="s">
        <v>680</v>
      </c>
    </row>
    <row r="1939" spans="69:74" x14ac:dyDescent="0.25">
      <c r="BQ1939">
        <v>51200093</v>
      </c>
      <c r="BR1939" s="15" t="s">
        <v>2405</v>
      </c>
      <c r="BS1939" t="s">
        <v>2406</v>
      </c>
      <c r="BT1939" t="s">
        <v>2416</v>
      </c>
      <c r="BU1939" t="s">
        <v>682</v>
      </c>
      <c r="BV1939" t="s">
        <v>680</v>
      </c>
    </row>
    <row r="1940" spans="69:74" x14ac:dyDescent="0.25">
      <c r="BQ1940">
        <v>51200103</v>
      </c>
      <c r="BR1940" s="15" t="s">
        <v>2405</v>
      </c>
      <c r="BS1940" t="s">
        <v>2406</v>
      </c>
      <c r="BT1940" t="s">
        <v>2417</v>
      </c>
      <c r="BU1940" t="s">
        <v>682</v>
      </c>
      <c r="BV1940" t="s">
        <v>680</v>
      </c>
    </row>
    <row r="1941" spans="69:74" x14ac:dyDescent="0.25">
      <c r="BQ1941">
        <v>51200112</v>
      </c>
      <c r="BR1941" s="15" t="s">
        <v>2405</v>
      </c>
      <c r="BS1941" t="s">
        <v>2406</v>
      </c>
      <c r="BT1941" t="s">
        <v>2418</v>
      </c>
      <c r="BU1941" t="s">
        <v>681</v>
      </c>
      <c r="BV1941" t="s">
        <v>680</v>
      </c>
    </row>
    <row r="1942" spans="69:74" x14ac:dyDescent="0.25">
      <c r="BQ1942">
        <v>51200123</v>
      </c>
      <c r="BR1942" s="15" t="s">
        <v>2405</v>
      </c>
      <c r="BS1942" t="s">
        <v>2406</v>
      </c>
      <c r="BT1942" t="s">
        <v>2418</v>
      </c>
      <c r="BU1942" t="s">
        <v>682</v>
      </c>
      <c r="BV1942" t="s">
        <v>680</v>
      </c>
    </row>
    <row r="1943" spans="69:74" x14ac:dyDescent="0.25">
      <c r="BQ1943">
        <v>51200133</v>
      </c>
      <c r="BR1943" s="15" t="s">
        <v>2405</v>
      </c>
      <c r="BS1943" t="s">
        <v>2406</v>
      </c>
      <c r="BT1943" t="s">
        <v>2419</v>
      </c>
      <c r="BU1943" t="s">
        <v>682</v>
      </c>
      <c r="BV1943" t="s">
        <v>680</v>
      </c>
    </row>
    <row r="1944" spans="69:74" x14ac:dyDescent="0.25">
      <c r="BQ1944">
        <v>51200142</v>
      </c>
      <c r="BR1944" s="15" t="s">
        <v>2405</v>
      </c>
      <c r="BS1944" t="s">
        <v>2406</v>
      </c>
      <c r="BT1944" t="s">
        <v>2420</v>
      </c>
      <c r="BU1944" t="s">
        <v>681</v>
      </c>
      <c r="BV1944" t="s">
        <v>680</v>
      </c>
    </row>
    <row r="1945" spans="69:74" x14ac:dyDescent="0.25">
      <c r="BQ1945">
        <v>51300012</v>
      </c>
      <c r="BR1945" s="15" t="s">
        <v>2421</v>
      </c>
      <c r="BS1945" t="s">
        <v>2422</v>
      </c>
      <c r="BT1945" t="s">
        <v>2423</v>
      </c>
      <c r="BU1945" t="s">
        <v>681</v>
      </c>
      <c r="BV1945" t="s">
        <v>680</v>
      </c>
    </row>
    <row r="1946" spans="69:74" x14ac:dyDescent="0.25">
      <c r="BQ1946">
        <v>51300023</v>
      </c>
      <c r="BR1946" s="15" t="s">
        <v>2421</v>
      </c>
      <c r="BS1946" t="s">
        <v>2422</v>
      </c>
      <c r="BT1946" t="s">
        <v>2424</v>
      </c>
      <c r="BU1946" t="s">
        <v>682</v>
      </c>
      <c r="BV1946" t="s">
        <v>680</v>
      </c>
    </row>
    <row r="1947" spans="69:74" x14ac:dyDescent="0.25">
      <c r="BQ1947">
        <v>51300032</v>
      </c>
      <c r="BR1947" s="15" t="s">
        <v>2421</v>
      </c>
      <c r="BS1947" t="s">
        <v>2422</v>
      </c>
      <c r="BT1947" t="s">
        <v>2164</v>
      </c>
      <c r="BU1947" t="s">
        <v>681</v>
      </c>
      <c r="BV1947" t="s">
        <v>680</v>
      </c>
    </row>
    <row r="1948" spans="69:74" x14ac:dyDescent="0.25">
      <c r="BQ1948">
        <v>51300033</v>
      </c>
      <c r="BR1948" s="15" t="s">
        <v>2421</v>
      </c>
      <c r="BS1948" t="s">
        <v>2422</v>
      </c>
      <c r="BT1948" t="s">
        <v>2164</v>
      </c>
      <c r="BU1948" t="s">
        <v>682</v>
      </c>
      <c r="BV1948" t="s">
        <v>680</v>
      </c>
    </row>
    <row r="1949" spans="69:74" x14ac:dyDescent="0.25">
      <c r="BQ1949">
        <v>51300172</v>
      </c>
      <c r="BR1949" s="15" t="s">
        <v>2421</v>
      </c>
      <c r="BS1949" t="s">
        <v>2422</v>
      </c>
      <c r="BT1949" t="s">
        <v>2425</v>
      </c>
      <c r="BU1949" t="s">
        <v>681</v>
      </c>
      <c r="BV1949" t="s">
        <v>680</v>
      </c>
    </row>
    <row r="1950" spans="69:74" x14ac:dyDescent="0.25">
      <c r="BQ1950">
        <v>51300042</v>
      </c>
      <c r="BR1950" s="15" t="s">
        <v>2421</v>
      </c>
      <c r="BS1950" t="s">
        <v>2422</v>
      </c>
      <c r="BT1950" t="s">
        <v>2426</v>
      </c>
      <c r="BU1950" t="s">
        <v>681</v>
      </c>
      <c r="BV1950" t="s">
        <v>680</v>
      </c>
    </row>
    <row r="1951" spans="69:74" x14ac:dyDescent="0.25">
      <c r="BQ1951">
        <v>51300273</v>
      </c>
      <c r="BR1951" s="15" t="s">
        <v>2421</v>
      </c>
      <c r="BS1951" t="s">
        <v>2422</v>
      </c>
      <c r="BT1951" t="s">
        <v>2427</v>
      </c>
      <c r="BU1951" t="s">
        <v>682</v>
      </c>
      <c r="BV1951" t="s">
        <v>680</v>
      </c>
    </row>
    <row r="1952" spans="69:74" x14ac:dyDescent="0.25">
      <c r="BQ1952">
        <v>51300052</v>
      </c>
      <c r="BR1952" s="15" t="s">
        <v>2421</v>
      </c>
      <c r="BS1952" t="s">
        <v>2422</v>
      </c>
      <c r="BT1952" t="s">
        <v>1998</v>
      </c>
      <c r="BU1952" t="s">
        <v>681</v>
      </c>
      <c r="BV1952" t="s">
        <v>680</v>
      </c>
    </row>
    <row r="1953" spans="69:74" x14ac:dyDescent="0.25">
      <c r="BQ1953">
        <v>51300053</v>
      </c>
      <c r="BR1953" s="15" t="s">
        <v>2421</v>
      </c>
      <c r="BS1953" t="s">
        <v>2422</v>
      </c>
      <c r="BT1953" t="s">
        <v>1998</v>
      </c>
      <c r="BU1953" t="s">
        <v>682</v>
      </c>
      <c r="BV1953" t="s">
        <v>680</v>
      </c>
    </row>
    <row r="1954" spans="69:74" x14ac:dyDescent="0.25">
      <c r="BQ1954">
        <v>51300302</v>
      </c>
      <c r="BR1954" s="15" t="s">
        <v>2421</v>
      </c>
      <c r="BS1954" t="s">
        <v>2422</v>
      </c>
      <c r="BT1954" t="s">
        <v>2428</v>
      </c>
      <c r="BU1954" t="s">
        <v>681</v>
      </c>
      <c r="BV1954" t="s">
        <v>680</v>
      </c>
    </row>
    <row r="1955" spans="69:74" x14ac:dyDescent="0.25">
      <c r="BQ1955">
        <v>51300263</v>
      </c>
      <c r="BR1955" s="15" t="s">
        <v>2421</v>
      </c>
      <c r="BS1955" t="s">
        <v>2422</v>
      </c>
      <c r="BT1955" t="s">
        <v>2429</v>
      </c>
      <c r="BU1955" t="s">
        <v>682</v>
      </c>
      <c r="BV1955" t="s">
        <v>680</v>
      </c>
    </row>
    <row r="1956" spans="69:74" x14ac:dyDescent="0.25">
      <c r="BQ1956">
        <v>51300062</v>
      </c>
      <c r="BR1956" s="15" t="s">
        <v>2421</v>
      </c>
      <c r="BS1956" t="s">
        <v>2422</v>
      </c>
      <c r="BT1956" t="s">
        <v>2430</v>
      </c>
      <c r="BU1956" t="s">
        <v>681</v>
      </c>
      <c r="BV1956" t="s">
        <v>680</v>
      </c>
    </row>
    <row r="1957" spans="69:74" x14ac:dyDescent="0.25">
      <c r="BQ1957">
        <v>51300063</v>
      </c>
      <c r="BR1957" s="15" t="s">
        <v>2421</v>
      </c>
      <c r="BS1957" t="s">
        <v>2422</v>
      </c>
      <c r="BT1957" t="s">
        <v>2430</v>
      </c>
      <c r="BU1957" t="s">
        <v>682</v>
      </c>
      <c r="BV1957" t="s">
        <v>680</v>
      </c>
    </row>
    <row r="1958" spans="69:74" x14ac:dyDescent="0.25">
      <c r="BQ1958">
        <v>51300252</v>
      </c>
      <c r="BR1958" s="15" t="s">
        <v>2421</v>
      </c>
      <c r="BS1958" t="s">
        <v>2422</v>
      </c>
      <c r="BT1958" t="s">
        <v>2431</v>
      </c>
      <c r="BU1958" t="s">
        <v>681</v>
      </c>
      <c r="BV1958" t="s">
        <v>680</v>
      </c>
    </row>
    <row r="1959" spans="69:74" x14ac:dyDescent="0.25">
      <c r="BQ1959">
        <v>51300253</v>
      </c>
      <c r="BR1959" s="15" t="s">
        <v>2421</v>
      </c>
      <c r="BS1959" t="s">
        <v>2422</v>
      </c>
      <c r="BT1959" t="s">
        <v>2431</v>
      </c>
      <c r="BU1959" t="s">
        <v>682</v>
      </c>
      <c r="BV1959" t="s">
        <v>680</v>
      </c>
    </row>
    <row r="1960" spans="69:74" x14ac:dyDescent="0.25">
      <c r="BQ1960">
        <v>51300072</v>
      </c>
      <c r="BR1960" s="15" t="s">
        <v>2421</v>
      </c>
      <c r="BS1960" t="s">
        <v>2422</v>
      </c>
      <c r="BT1960" t="s">
        <v>2432</v>
      </c>
      <c r="BU1960" t="s">
        <v>681</v>
      </c>
      <c r="BV1960" t="s">
        <v>680</v>
      </c>
    </row>
    <row r="1961" spans="69:74" x14ac:dyDescent="0.25">
      <c r="BQ1961">
        <v>51300073</v>
      </c>
      <c r="BR1961" s="15" t="s">
        <v>2421</v>
      </c>
      <c r="BS1961" t="s">
        <v>2422</v>
      </c>
      <c r="BT1961" t="s">
        <v>2432</v>
      </c>
      <c r="BU1961" t="s">
        <v>682</v>
      </c>
      <c r="BV1961" t="s">
        <v>680</v>
      </c>
    </row>
    <row r="1962" spans="69:74" x14ac:dyDescent="0.25">
      <c r="BQ1962">
        <v>51300083</v>
      </c>
      <c r="BR1962" s="15" t="s">
        <v>2421</v>
      </c>
      <c r="BS1962" t="s">
        <v>2422</v>
      </c>
      <c r="BT1962" t="s">
        <v>2433</v>
      </c>
      <c r="BU1962" t="s">
        <v>682</v>
      </c>
      <c r="BV1962" t="s">
        <v>680</v>
      </c>
    </row>
    <row r="1963" spans="69:74" x14ac:dyDescent="0.25">
      <c r="BQ1963">
        <v>51300233</v>
      </c>
      <c r="BR1963" s="15" t="s">
        <v>2421</v>
      </c>
      <c r="BS1963" t="s">
        <v>2422</v>
      </c>
      <c r="BT1963" t="s">
        <v>2434</v>
      </c>
      <c r="BU1963" t="s">
        <v>682</v>
      </c>
      <c r="BV1963" t="s">
        <v>680</v>
      </c>
    </row>
    <row r="1964" spans="69:74" x14ac:dyDescent="0.25">
      <c r="BQ1964">
        <v>51300092</v>
      </c>
      <c r="BR1964" s="15" t="s">
        <v>2421</v>
      </c>
      <c r="BS1964" t="s">
        <v>2422</v>
      </c>
      <c r="BT1964" t="s">
        <v>2435</v>
      </c>
      <c r="BU1964" t="s">
        <v>681</v>
      </c>
      <c r="BV1964" t="s">
        <v>680</v>
      </c>
    </row>
    <row r="1965" spans="69:74" x14ac:dyDescent="0.25">
      <c r="BQ1965">
        <v>51300292</v>
      </c>
      <c r="BR1965" s="15" t="s">
        <v>2421</v>
      </c>
      <c r="BS1965" t="s">
        <v>2422</v>
      </c>
      <c r="BT1965" t="s">
        <v>2436</v>
      </c>
      <c r="BU1965" t="s">
        <v>681</v>
      </c>
      <c r="BV1965" t="s">
        <v>680</v>
      </c>
    </row>
    <row r="1966" spans="69:74" x14ac:dyDescent="0.25">
      <c r="BQ1966">
        <v>51300102</v>
      </c>
      <c r="BR1966" s="15" t="s">
        <v>2421</v>
      </c>
      <c r="BS1966" t="s">
        <v>2422</v>
      </c>
      <c r="BT1966" t="s">
        <v>2367</v>
      </c>
      <c r="BU1966" t="s">
        <v>681</v>
      </c>
      <c r="BV1966" t="s">
        <v>680</v>
      </c>
    </row>
    <row r="1967" spans="69:74" x14ac:dyDescent="0.25">
      <c r="BQ1967">
        <v>51300103</v>
      </c>
      <c r="BR1967" s="15" t="s">
        <v>2421</v>
      </c>
      <c r="BS1967" t="s">
        <v>2422</v>
      </c>
      <c r="BT1967" t="s">
        <v>2367</v>
      </c>
      <c r="BU1967" t="s">
        <v>682</v>
      </c>
      <c r="BV1967" t="s">
        <v>680</v>
      </c>
    </row>
    <row r="1968" spans="69:74" x14ac:dyDescent="0.25">
      <c r="BQ1968">
        <v>51300112</v>
      </c>
      <c r="BR1968" s="15" t="s">
        <v>2421</v>
      </c>
      <c r="BS1968" t="s">
        <v>2422</v>
      </c>
      <c r="BT1968" t="s">
        <v>2437</v>
      </c>
      <c r="BU1968" t="s">
        <v>681</v>
      </c>
      <c r="BV1968" t="s">
        <v>680</v>
      </c>
    </row>
    <row r="1969" spans="69:74" x14ac:dyDescent="0.25">
      <c r="BQ1969">
        <v>51300242</v>
      </c>
      <c r="BR1969" s="15" t="s">
        <v>2421</v>
      </c>
      <c r="BS1969" t="s">
        <v>2422</v>
      </c>
      <c r="BT1969" t="s">
        <v>2438</v>
      </c>
      <c r="BU1969" t="s">
        <v>681</v>
      </c>
      <c r="BV1969" t="s">
        <v>680</v>
      </c>
    </row>
    <row r="1970" spans="69:74" x14ac:dyDescent="0.25">
      <c r="BQ1970">
        <v>51300243</v>
      </c>
      <c r="BR1970" s="15" t="s">
        <v>2421</v>
      </c>
      <c r="BS1970" t="s">
        <v>2422</v>
      </c>
      <c r="BT1970" t="s">
        <v>2438</v>
      </c>
      <c r="BU1970" t="s">
        <v>682</v>
      </c>
      <c r="BV1970" t="s">
        <v>680</v>
      </c>
    </row>
    <row r="1971" spans="69:74" x14ac:dyDescent="0.25">
      <c r="BQ1971">
        <v>51300123</v>
      </c>
      <c r="BR1971" s="15" t="s">
        <v>2421</v>
      </c>
      <c r="BS1971" t="s">
        <v>2422</v>
      </c>
      <c r="BT1971" t="s">
        <v>2439</v>
      </c>
      <c r="BU1971" t="s">
        <v>682</v>
      </c>
      <c r="BV1971" t="s">
        <v>680</v>
      </c>
    </row>
    <row r="1972" spans="69:74" x14ac:dyDescent="0.25">
      <c r="BQ1972">
        <v>51300322</v>
      </c>
      <c r="BR1972" s="15" t="s">
        <v>2421</v>
      </c>
      <c r="BS1972" t="s">
        <v>2422</v>
      </c>
      <c r="BT1972" t="s">
        <v>2388</v>
      </c>
      <c r="BU1972" t="s">
        <v>681</v>
      </c>
      <c r="BV1972" t="s">
        <v>680</v>
      </c>
    </row>
    <row r="1973" spans="69:74" x14ac:dyDescent="0.25">
      <c r="BQ1973">
        <v>51300323</v>
      </c>
      <c r="BR1973" s="15" t="s">
        <v>2421</v>
      </c>
      <c r="BS1973" t="s">
        <v>2422</v>
      </c>
      <c r="BT1973" t="s">
        <v>2388</v>
      </c>
      <c r="BU1973" t="s">
        <v>682</v>
      </c>
      <c r="BV1973" t="s">
        <v>680</v>
      </c>
    </row>
    <row r="1974" spans="69:74" x14ac:dyDescent="0.25">
      <c r="BQ1974">
        <v>51300163</v>
      </c>
      <c r="BR1974" s="15" t="s">
        <v>2421</v>
      </c>
      <c r="BS1974" t="s">
        <v>2422</v>
      </c>
      <c r="BT1974" t="s">
        <v>2440</v>
      </c>
      <c r="BU1974" t="s">
        <v>682</v>
      </c>
      <c r="BV1974" t="s">
        <v>680</v>
      </c>
    </row>
    <row r="1975" spans="69:74" x14ac:dyDescent="0.25">
      <c r="BQ1975">
        <v>51300152</v>
      </c>
      <c r="BR1975" s="15" t="s">
        <v>2421</v>
      </c>
      <c r="BS1975" t="s">
        <v>2422</v>
      </c>
      <c r="BT1975" t="s">
        <v>2441</v>
      </c>
      <c r="BU1975" t="s">
        <v>681</v>
      </c>
      <c r="BV1975" t="s">
        <v>680</v>
      </c>
    </row>
    <row r="1976" spans="69:74" x14ac:dyDescent="0.25">
      <c r="BQ1976">
        <v>51300153</v>
      </c>
      <c r="BR1976" s="15" t="s">
        <v>2421</v>
      </c>
      <c r="BS1976" t="s">
        <v>2422</v>
      </c>
      <c r="BT1976" t="s">
        <v>2441</v>
      </c>
      <c r="BU1976" t="s">
        <v>682</v>
      </c>
      <c r="BV1976" t="s">
        <v>680</v>
      </c>
    </row>
    <row r="1977" spans="69:74" x14ac:dyDescent="0.25">
      <c r="BQ1977">
        <v>51300282</v>
      </c>
      <c r="BR1977" s="15" t="s">
        <v>2421</v>
      </c>
      <c r="BS1977" t="s">
        <v>2422</v>
      </c>
      <c r="BT1977" t="s">
        <v>2442</v>
      </c>
      <c r="BU1977" t="s">
        <v>681</v>
      </c>
      <c r="BV1977" t="s">
        <v>680</v>
      </c>
    </row>
    <row r="1978" spans="69:74" x14ac:dyDescent="0.25">
      <c r="BQ1978">
        <v>51300283</v>
      </c>
      <c r="BR1978" s="15" t="s">
        <v>2421</v>
      </c>
      <c r="BS1978" t="s">
        <v>2422</v>
      </c>
      <c r="BT1978" t="s">
        <v>2442</v>
      </c>
      <c r="BU1978" t="s">
        <v>682</v>
      </c>
      <c r="BV1978" t="s">
        <v>680</v>
      </c>
    </row>
    <row r="1979" spans="69:74" x14ac:dyDescent="0.25">
      <c r="BQ1979">
        <v>51300313</v>
      </c>
      <c r="BR1979" s="15" t="s">
        <v>2421</v>
      </c>
      <c r="BS1979" t="s">
        <v>2422</v>
      </c>
      <c r="BT1979" t="s">
        <v>2443</v>
      </c>
      <c r="BU1979" t="s">
        <v>682</v>
      </c>
      <c r="BV1979" t="s">
        <v>680</v>
      </c>
    </row>
    <row r="1980" spans="69:74" x14ac:dyDescent="0.25">
      <c r="BQ1980">
        <v>51300132</v>
      </c>
      <c r="BR1980" s="15" t="s">
        <v>2421</v>
      </c>
      <c r="BS1980" t="s">
        <v>2422</v>
      </c>
      <c r="BT1980" t="s">
        <v>2444</v>
      </c>
      <c r="BU1980" t="s">
        <v>681</v>
      </c>
      <c r="BV1980" t="s">
        <v>680</v>
      </c>
    </row>
    <row r="1981" spans="69:74" x14ac:dyDescent="0.25">
      <c r="BQ1981">
        <v>51300142</v>
      </c>
      <c r="BR1981" s="15" t="s">
        <v>2421</v>
      </c>
      <c r="BS1981" t="s">
        <v>2422</v>
      </c>
      <c r="BT1981" t="s">
        <v>2445</v>
      </c>
      <c r="BU1981" t="s">
        <v>681</v>
      </c>
      <c r="BV1981" t="s">
        <v>680</v>
      </c>
    </row>
    <row r="1982" spans="69:74" x14ac:dyDescent="0.25">
      <c r="BQ1982">
        <v>50200012</v>
      </c>
      <c r="BR1982" s="15" t="s">
        <v>289</v>
      </c>
      <c r="BS1982" t="s">
        <v>288</v>
      </c>
      <c r="BT1982" t="s">
        <v>2446</v>
      </c>
      <c r="BU1982" t="s">
        <v>681</v>
      </c>
      <c r="BV1982" t="s">
        <v>680</v>
      </c>
    </row>
    <row r="1983" spans="69:74" x14ac:dyDescent="0.25">
      <c r="BQ1983">
        <v>50200013</v>
      </c>
      <c r="BR1983" s="15" t="s">
        <v>289</v>
      </c>
      <c r="BS1983" t="s">
        <v>288</v>
      </c>
      <c r="BT1983" t="s">
        <v>2446</v>
      </c>
      <c r="BU1983" t="s">
        <v>682</v>
      </c>
      <c r="BV1983" t="s">
        <v>680</v>
      </c>
    </row>
    <row r="1984" spans="69:74" x14ac:dyDescent="0.25">
      <c r="BQ1984">
        <v>50200022</v>
      </c>
      <c r="BR1984" s="15" t="s">
        <v>289</v>
      </c>
      <c r="BS1984" t="s">
        <v>288</v>
      </c>
      <c r="BT1984" t="s">
        <v>2447</v>
      </c>
      <c r="BU1984" t="s">
        <v>681</v>
      </c>
      <c r="BV1984" t="s">
        <v>680</v>
      </c>
    </row>
    <row r="1985" spans="68:74" x14ac:dyDescent="0.25">
      <c r="BQ1985">
        <v>50200023</v>
      </c>
      <c r="BR1985" s="15" t="s">
        <v>289</v>
      </c>
      <c r="BS1985" t="s">
        <v>288</v>
      </c>
      <c r="BT1985" t="s">
        <v>2447</v>
      </c>
      <c r="BU1985" t="s">
        <v>682</v>
      </c>
      <c r="BV1985" t="s">
        <v>680</v>
      </c>
    </row>
    <row r="1986" spans="68:74" x14ac:dyDescent="0.25">
      <c r="BQ1986">
        <v>50200032</v>
      </c>
      <c r="BR1986" s="15" t="s">
        <v>289</v>
      </c>
      <c r="BS1986" t="s">
        <v>288</v>
      </c>
      <c r="BT1986" t="s">
        <v>2448</v>
      </c>
      <c r="BU1986" t="s">
        <v>681</v>
      </c>
      <c r="BV1986" t="s">
        <v>680</v>
      </c>
    </row>
    <row r="1987" spans="68:74" x14ac:dyDescent="0.25">
      <c r="BQ1987">
        <v>50200033</v>
      </c>
      <c r="BR1987" s="15" t="s">
        <v>289</v>
      </c>
      <c r="BS1987" t="s">
        <v>288</v>
      </c>
      <c r="BT1987" t="s">
        <v>2448</v>
      </c>
      <c r="BU1987" t="s">
        <v>682</v>
      </c>
      <c r="BV1987" t="s">
        <v>680</v>
      </c>
    </row>
    <row r="1988" spans="68:74" x14ac:dyDescent="0.25">
      <c r="BQ1988">
        <v>50200042</v>
      </c>
      <c r="BR1988" s="15" t="s">
        <v>289</v>
      </c>
      <c r="BS1988" t="s">
        <v>288</v>
      </c>
      <c r="BT1988" t="s">
        <v>2449</v>
      </c>
      <c r="BU1988" t="s">
        <v>681</v>
      </c>
      <c r="BV1988" t="s">
        <v>680</v>
      </c>
    </row>
    <row r="1989" spans="68:74" x14ac:dyDescent="0.25">
      <c r="BQ1989">
        <v>50200043</v>
      </c>
      <c r="BR1989" s="15" t="s">
        <v>289</v>
      </c>
      <c r="BS1989" t="s">
        <v>288</v>
      </c>
      <c r="BT1989" t="s">
        <v>2449</v>
      </c>
      <c r="BU1989" t="s">
        <v>682</v>
      </c>
      <c r="BV1989" t="s">
        <v>680</v>
      </c>
    </row>
    <row r="1990" spans="68:74" x14ac:dyDescent="0.25">
      <c r="BQ1990">
        <v>50200052</v>
      </c>
      <c r="BR1990" s="15" t="s">
        <v>289</v>
      </c>
      <c r="BS1990" t="s">
        <v>288</v>
      </c>
      <c r="BT1990" t="s">
        <v>2450</v>
      </c>
      <c r="BU1990" t="s">
        <v>681</v>
      </c>
      <c r="BV1990" t="s">
        <v>680</v>
      </c>
    </row>
    <row r="1991" spans="68:74" x14ac:dyDescent="0.25">
      <c r="BQ1991">
        <v>50200053</v>
      </c>
      <c r="BR1991" s="15" t="s">
        <v>289</v>
      </c>
      <c r="BS1991" t="s">
        <v>288</v>
      </c>
      <c r="BT1991" t="s">
        <v>2450</v>
      </c>
      <c r="BU1991" t="s">
        <v>682</v>
      </c>
      <c r="BV1991" t="s">
        <v>680</v>
      </c>
    </row>
    <row r="1992" spans="68:74" x14ac:dyDescent="0.25">
      <c r="BQ1992">
        <v>50200122</v>
      </c>
      <c r="BR1992" s="15" t="s">
        <v>289</v>
      </c>
      <c r="BS1992" t="s">
        <v>288</v>
      </c>
      <c r="BT1992" t="s">
        <v>2451</v>
      </c>
      <c r="BU1992" t="s">
        <v>681</v>
      </c>
      <c r="BV1992" t="s">
        <v>680</v>
      </c>
    </row>
    <row r="1993" spans="68:74" x14ac:dyDescent="0.25">
      <c r="BQ1993">
        <v>50200102</v>
      </c>
      <c r="BR1993" s="15" t="s">
        <v>289</v>
      </c>
      <c r="BS1993" t="s">
        <v>288</v>
      </c>
      <c r="BT1993" t="s">
        <v>2452</v>
      </c>
      <c r="BU1993" t="s">
        <v>681</v>
      </c>
      <c r="BV1993" t="s">
        <v>680</v>
      </c>
    </row>
    <row r="1994" spans="68:74" x14ac:dyDescent="0.25">
      <c r="BQ1994">
        <v>50200103</v>
      </c>
      <c r="BR1994" s="15" t="s">
        <v>289</v>
      </c>
      <c r="BS1994" t="s">
        <v>288</v>
      </c>
      <c r="BT1994" t="s">
        <v>2452</v>
      </c>
      <c r="BU1994" t="s">
        <v>682</v>
      </c>
      <c r="BV1994" t="s">
        <v>680</v>
      </c>
    </row>
    <row r="1995" spans="68:74" x14ac:dyDescent="0.25">
      <c r="BQ1995">
        <v>50200062</v>
      </c>
      <c r="BR1995" s="15" t="s">
        <v>289</v>
      </c>
      <c r="BS1995" t="s">
        <v>288</v>
      </c>
      <c r="BT1995" t="s">
        <v>2453</v>
      </c>
      <c r="BU1995" t="s">
        <v>681</v>
      </c>
      <c r="BV1995" t="s">
        <v>680</v>
      </c>
    </row>
    <row r="1996" spans="68:74" x14ac:dyDescent="0.25">
      <c r="BQ1996">
        <v>50200063</v>
      </c>
      <c r="BR1996" s="15" t="s">
        <v>289</v>
      </c>
      <c r="BS1996" t="s">
        <v>288</v>
      </c>
      <c r="BT1996" t="s">
        <v>2453</v>
      </c>
      <c r="BU1996" t="s">
        <v>682</v>
      </c>
      <c r="BV1996" t="s">
        <v>680</v>
      </c>
    </row>
    <row r="1997" spans="68:74" x14ac:dyDescent="0.25">
      <c r="BQ1997">
        <v>50200073</v>
      </c>
      <c r="BR1997" s="15" t="s">
        <v>289</v>
      </c>
      <c r="BS1997" t="s">
        <v>288</v>
      </c>
      <c r="BT1997" t="s">
        <v>1804</v>
      </c>
      <c r="BU1997" t="s">
        <v>682</v>
      </c>
      <c r="BV1997" t="s">
        <v>680</v>
      </c>
    </row>
    <row r="1998" spans="68:74" x14ac:dyDescent="0.25">
      <c r="BQ1998">
        <v>50200092</v>
      </c>
      <c r="BR1998" s="15" t="s">
        <v>289</v>
      </c>
      <c r="BS1998" t="s">
        <v>288</v>
      </c>
      <c r="BT1998" t="s">
        <v>2343</v>
      </c>
      <c r="BU1998" t="s">
        <v>681</v>
      </c>
      <c r="BV1998" t="s">
        <v>680</v>
      </c>
    </row>
    <row r="1999" spans="68:74" x14ac:dyDescent="0.25">
      <c r="BQ1999">
        <v>50200083</v>
      </c>
      <c r="BR1999" s="15" t="s">
        <v>289</v>
      </c>
      <c r="BS1999" t="s">
        <v>288</v>
      </c>
      <c r="BT1999" t="s">
        <v>2443</v>
      </c>
      <c r="BU1999" t="s">
        <v>682</v>
      </c>
      <c r="BV1999" t="s">
        <v>680</v>
      </c>
    </row>
    <row r="2000" spans="68:74" x14ac:dyDescent="0.25">
      <c r="BP2000">
        <v>12034</v>
      </c>
      <c r="BQ2000">
        <v>5030000303</v>
      </c>
      <c r="BR2000" s="15" t="s">
        <v>265</v>
      </c>
      <c r="BS2000" t="s">
        <v>256</v>
      </c>
      <c r="BT2000" t="s">
        <v>2454</v>
      </c>
      <c r="BU2000" t="s">
        <v>682</v>
      </c>
      <c r="BV2000" t="s">
        <v>1153</v>
      </c>
    </row>
    <row r="2001" spans="68:74" x14ac:dyDescent="0.25">
      <c r="BP2001">
        <v>12033</v>
      </c>
      <c r="BQ2001">
        <v>5030000302</v>
      </c>
      <c r="BR2001" s="15" t="s">
        <v>265</v>
      </c>
      <c r="BS2001" t="s">
        <v>256</v>
      </c>
      <c r="BT2001" t="s">
        <v>2455</v>
      </c>
      <c r="BU2001" t="s">
        <v>682</v>
      </c>
      <c r="BV2001" t="s">
        <v>1153</v>
      </c>
    </row>
    <row r="2002" spans="68:74" x14ac:dyDescent="0.25">
      <c r="BP2002">
        <v>12041</v>
      </c>
      <c r="BQ2002">
        <v>5030000306</v>
      </c>
      <c r="BR2002" s="15" t="s">
        <v>265</v>
      </c>
      <c r="BS2002" t="s">
        <v>256</v>
      </c>
      <c r="BT2002" t="s">
        <v>2456</v>
      </c>
      <c r="BU2002" t="s">
        <v>682</v>
      </c>
      <c r="BV2002" t="s">
        <v>1149</v>
      </c>
    </row>
    <row r="2003" spans="68:74" x14ac:dyDescent="0.25">
      <c r="BP2003">
        <v>12031</v>
      </c>
      <c r="BQ2003">
        <v>5030000301</v>
      </c>
      <c r="BR2003" s="15" t="s">
        <v>265</v>
      </c>
      <c r="BS2003" t="s">
        <v>256</v>
      </c>
      <c r="BT2003" t="s">
        <v>2457</v>
      </c>
      <c r="BU2003" t="s">
        <v>682</v>
      </c>
      <c r="BV2003" t="s">
        <v>1149</v>
      </c>
    </row>
    <row r="2004" spans="68:74" x14ac:dyDescent="0.25">
      <c r="BP2004">
        <v>12042</v>
      </c>
      <c r="BQ2004">
        <v>5030104301</v>
      </c>
      <c r="BR2004" s="15" t="s">
        <v>265</v>
      </c>
      <c r="BS2004" t="s">
        <v>256</v>
      </c>
      <c r="BT2004" t="s">
        <v>2458</v>
      </c>
      <c r="BU2004" t="s">
        <v>682</v>
      </c>
      <c r="BV2004" t="s">
        <v>1153</v>
      </c>
    </row>
    <row r="2005" spans="68:74" x14ac:dyDescent="0.25">
      <c r="BP2005">
        <v>12043</v>
      </c>
      <c r="BQ2005">
        <v>5030104301</v>
      </c>
      <c r="BR2005" s="15" t="s">
        <v>265</v>
      </c>
      <c r="BS2005" t="s">
        <v>256</v>
      </c>
      <c r="BT2005" t="s">
        <v>2458</v>
      </c>
      <c r="BU2005" t="s">
        <v>682</v>
      </c>
      <c r="BV2005" t="s">
        <v>1149</v>
      </c>
    </row>
    <row r="2006" spans="68:74" x14ac:dyDescent="0.25">
      <c r="BQ2006">
        <v>50301042</v>
      </c>
      <c r="BR2006" s="15" t="s">
        <v>265</v>
      </c>
      <c r="BS2006" t="s">
        <v>256</v>
      </c>
      <c r="BT2006" t="s">
        <v>2459</v>
      </c>
      <c r="BU2006" t="s">
        <v>681</v>
      </c>
      <c r="BV2006" t="s">
        <v>1153</v>
      </c>
    </row>
    <row r="2007" spans="68:74" x14ac:dyDescent="0.25">
      <c r="BQ2007">
        <v>5030104302</v>
      </c>
      <c r="BR2007" s="15" t="s">
        <v>265</v>
      </c>
      <c r="BS2007" t="s">
        <v>256</v>
      </c>
      <c r="BT2007" t="s">
        <v>2460</v>
      </c>
      <c r="BU2007" t="s">
        <v>682</v>
      </c>
      <c r="BV2007" t="s">
        <v>1153</v>
      </c>
    </row>
    <row r="2008" spans="68:74" x14ac:dyDescent="0.25">
      <c r="BQ2008">
        <v>50300102</v>
      </c>
      <c r="BR2008" s="15" t="s">
        <v>265</v>
      </c>
      <c r="BS2008" t="s">
        <v>256</v>
      </c>
      <c r="BT2008" t="s">
        <v>2461</v>
      </c>
      <c r="BU2008" t="s">
        <v>681</v>
      </c>
      <c r="BV2008" t="s">
        <v>680</v>
      </c>
    </row>
    <row r="2009" spans="68:74" x14ac:dyDescent="0.25">
      <c r="BQ2009">
        <v>50300013</v>
      </c>
      <c r="BR2009" s="15" t="s">
        <v>265</v>
      </c>
      <c r="BS2009" t="s">
        <v>256</v>
      </c>
      <c r="BT2009" t="s">
        <v>2462</v>
      </c>
      <c r="BU2009" t="s">
        <v>682</v>
      </c>
      <c r="BV2009" t="s">
        <v>680</v>
      </c>
    </row>
    <row r="2010" spans="68:74" x14ac:dyDescent="0.25">
      <c r="BQ2010">
        <v>50300022</v>
      </c>
      <c r="BR2010" s="15" t="s">
        <v>265</v>
      </c>
      <c r="BS2010" t="s">
        <v>256</v>
      </c>
      <c r="BT2010" t="s">
        <v>2343</v>
      </c>
      <c r="BU2010" t="s">
        <v>681</v>
      </c>
      <c r="BV2010" t="s">
        <v>680</v>
      </c>
    </row>
    <row r="2011" spans="68:74" x14ac:dyDescent="0.25">
      <c r="BQ2011">
        <v>50300023</v>
      </c>
      <c r="BR2011" s="15" t="s">
        <v>265</v>
      </c>
      <c r="BS2011" t="s">
        <v>256</v>
      </c>
      <c r="BT2011" t="s">
        <v>2343</v>
      </c>
      <c r="BU2011" t="s">
        <v>682</v>
      </c>
      <c r="BV2011" t="s">
        <v>680</v>
      </c>
    </row>
    <row r="2012" spans="68:74" x14ac:dyDescent="0.25">
      <c r="BQ2012">
        <v>50300142</v>
      </c>
      <c r="BR2012" s="15" t="s">
        <v>265</v>
      </c>
      <c r="BS2012" t="s">
        <v>256</v>
      </c>
      <c r="BT2012" t="s">
        <v>2463</v>
      </c>
      <c r="BU2012" t="s">
        <v>681</v>
      </c>
      <c r="BV2012" t="s">
        <v>680</v>
      </c>
    </row>
    <row r="2013" spans="68:74" x14ac:dyDescent="0.25">
      <c r="BQ2013">
        <v>50300112</v>
      </c>
      <c r="BR2013" s="15" t="s">
        <v>265</v>
      </c>
      <c r="BS2013" t="s">
        <v>256</v>
      </c>
      <c r="BT2013" t="s">
        <v>2464</v>
      </c>
      <c r="BU2013" t="s">
        <v>681</v>
      </c>
      <c r="BV2013" t="s">
        <v>680</v>
      </c>
    </row>
    <row r="2014" spans="68:74" x14ac:dyDescent="0.25">
      <c r="BQ2014">
        <v>50300113</v>
      </c>
      <c r="BR2014" s="15" t="s">
        <v>265</v>
      </c>
      <c r="BS2014" t="s">
        <v>256</v>
      </c>
      <c r="BT2014" t="s">
        <v>2464</v>
      </c>
      <c r="BU2014" t="s">
        <v>682</v>
      </c>
      <c r="BV2014" t="s">
        <v>680</v>
      </c>
    </row>
    <row r="2015" spans="68:74" x14ac:dyDescent="0.25">
      <c r="BQ2015">
        <v>50300033</v>
      </c>
      <c r="BR2015" s="15" t="s">
        <v>265</v>
      </c>
      <c r="BS2015" t="s">
        <v>256</v>
      </c>
      <c r="BT2015" t="s">
        <v>2344</v>
      </c>
      <c r="BU2015" t="s">
        <v>682</v>
      </c>
      <c r="BV2015" t="s">
        <v>680</v>
      </c>
    </row>
    <row r="2016" spans="68:74" x14ac:dyDescent="0.25">
      <c r="BQ2016">
        <v>50300042</v>
      </c>
      <c r="BR2016" s="15" t="s">
        <v>265</v>
      </c>
      <c r="BS2016" t="s">
        <v>256</v>
      </c>
      <c r="BT2016" t="s">
        <v>2346</v>
      </c>
      <c r="BU2016" t="s">
        <v>681</v>
      </c>
      <c r="BV2016" t="s">
        <v>680</v>
      </c>
    </row>
    <row r="2017" spans="68:74" x14ac:dyDescent="0.25">
      <c r="BP2017">
        <v>11953</v>
      </c>
      <c r="BQ2017">
        <v>50301612</v>
      </c>
      <c r="BR2017" s="15" t="s">
        <v>265</v>
      </c>
      <c r="BS2017" t="s">
        <v>256</v>
      </c>
      <c r="BT2017" t="s">
        <v>2465</v>
      </c>
      <c r="BU2017" t="s">
        <v>681</v>
      </c>
      <c r="BV2017" t="s">
        <v>1153</v>
      </c>
    </row>
    <row r="2018" spans="68:74" x14ac:dyDescent="0.25">
      <c r="BP2018">
        <v>11952</v>
      </c>
      <c r="BQ2018">
        <v>50301572</v>
      </c>
      <c r="BR2018" s="15" t="s">
        <v>265</v>
      </c>
      <c r="BS2018" t="s">
        <v>256</v>
      </c>
      <c r="BT2018" t="s">
        <v>2117</v>
      </c>
      <c r="BU2018" t="s">
        <v>681</v>
      </c>
      <c r="BV2018" t="s">
        <v>1153</v>
      </c>
    </row>
    <row r="2019" spans="68:74" x14ac:dyDescent="0.25">
      <c r="BP2019">
        <v>12039</v>
      </c>
      <c r="BQ2019">
        <v>5030000305</v>
      </c>
      <c r="BR2019" s="15" t="s">
        <v>265</v>
      </c>
      <c r="BS2019" t="s">
        <v>256</v>
      </c>
      <c r="BT2019" t="s">
        <v>2466</v>
      </c>
      <c r="BU2019" t="s">
        <v>682</v>
      </c>
      <c r="BV2019" t="s">
        <v>1153</v>
      </c>
    </row>
    <row r="2020" spans="68:74" x14ac:dyDescent="0.25">
      <c r="BP2020">
        <v>12036</v>
      </c>
      <c r="BQ2020">
        <v>5030000304</v>
      </c>
      <c r="BR2020" s="15" t="s">
        <v>265</v>
      </c>
      <c r="BS2020" t="s">
        <v>256</v>
      </c>
      <c r="BT2020" t="s">
        <v>2467</v>
      </c>
      <c r="BU2020" t="s">
        <v>682</v>
      </c>
      <c r="BV2020" t="s">
        <v>1153</v>
      </c>
    </row>
    <row r="2021" spans="68:74" x14ac:dyDescent="0.25">
      <c r="BQ2021">
        <v>50300052</v>
      </c>
      <c r="BR2021" s="15" t="s">
        <v>265</v>
      </c>
      <c r="BS2021" t="s">
        <v>256</v>
      </c>
      <c r="BT2021" t="s">
        <v>2468</v>
      </c>
      <c r="BU2021" t="s">
        <v>681</v>
      </c>
      <c r="BV2021" t="s">
        <v>680</v>
      </c>
    </row>
    <row r="2022" spans="68:74" x14ac:dyDescent="0.25">
      <c r="BQ2022">
        <v>50300053</v>
      </c>
      <c r="BR2022" s="15" t="s">
        <v>265</v>
      </c>
      <c r="BS2022" t="s">
        <v>256</v>
      </c>
      <c r="BT2022" t="s">
        <v>2468</v>
      </c>
      <c r="BU2022" t="s">
        <v>682</v>
      </c>
      <c r="BV2022" t="s">
        <v>680</v>
      </c>
    </row>
    <row r="2023" spans="68:74" x14ac:dyDescent="0.25">
      <c r="BQ2023">
        <v>50300062</v>
      </c>
      <c r="BR2023" s="15" t="s">
        <v>265</v>
      </c>
      <c r="BS2023" t="s">
        <v>256</v>
      </c>
      <c r="BT2023" t="s">
        <v>2469</v>
      </c>
      <c r="BU2023" t="s">
        <v>681</v>
      </c>
      <c r="BV2023" t="s">
        <v>680</v>
      </c>
    </row>
    <row r="2024" spans="68:74" x14ac:dyDescent="0.25">
      <c r="BQ2024">
        <v>50300063</v>
      </c>
      <c r="BR2024" s="15" t="s">
        <v>265</v>
      </c>
      <c r="BS2024" t="s">
        <v>256</v>
      </c>
      <c r="BT2024" t="s">
        <v>2469</v>
      </c>
      <c r="BU2024" t="s">
        <v>682</v>
      </c>
      <c r="BV2024" t="s">
        <v>680</v>
      </c>
    </row>
    <row r="2025" spans="68:74" x14ac:dyDescent="0.25">
      <c r="BQ2025">
        <v>50300072</v>
      </c>
      <c r="BR2025" s="15" t="s">
        <v>265</v>
      </c>
      <c r="BS2025" t="s">
        <v>256</v>
      </c>
      <c r="BT2025" t="s">
        <v>2470</v>
      </c>
      <c r="BU2025" t="s">
        <v>681</v>
      </c>
      <c r="BV2025" t="s">
        <v>680</v>
      </c>
    </row>
    <row r="2026" spans="68:74" x14ac:dyDescent="0.25">
      <c r="BQ2026">
        <v>50300073</v>
      </c>
      <c r="BR2026" s="15" t="s">
        <v>265</v>
      </c>
      <c r="BS2026" t="s">
        <v>256</v>
      </c>
      <c r="BT2026" t="s">
        <v>2470</v>
      </c>
      <c r="BU2026" t="s">
        <v>682</v>
      </c>
      <c r="BV2026" t="s">
        <v>680</v>
      </c>
    </row>
    <row r="2027" spans="68:74" x14ac:dyDescent="0.25">
      <c r="BQ2027">
        <v>50300122</v>
      </c>
      <c r="BR2027" s="15" t="s">
        <v>265</v>
      </c>
      <c r="BS2027" t="s">
        <v>256</v>
      </c>
      <c r="BT2027" t="s">
        <v>2471</v>
      </c>
      <c r="BU2027" t="s">
        <v>681</v>
      </c>
      <c r="BV2027" t="s">
        <v>680</v>
      </c>
    </row>
    <row r="2028" spans="68:74" x14ac:dyDescent="0.25">
      <c r="BQ2028">
        <v>50300132</v>
      </c>
      <c r="BR2028" s="15" t="s">
        <v>265</v>
      </c>
      <c r="BS2028" t="s">
        <v>256</v>
      </c>
      <c r="BT2028" t="s">
        <v>2472</v>
      </c>
      <c r="BU2028" t="s">
        <v>681</v>
      </c>
      <c r="BV2028" t="s">
        <v>680</v>
      </c>
    </row>
    <row r="2029" spans="68:74" x14ac:dyDescent="0.25">
      <c r="BQ2029">
        <v>50300152</v>
      </c>
      <c r="BR2029" s="15" t="s">
        <v>265</v>
      </c>
      <c r="BS2029" t="s">
        <v>256</v>
      </c>
      <c r="BT2029" t="s">
        <v>2473</v>
      </c>
      <c r="BU2029" t="s">
        <v>681</v>
      </c>
      <c r="BV2029" t="s">
        <v>680</v>
      </c>
    </row>
    <row r="2030" spans="68:74" x14ac:dyDescent="0.25">
      <c r="BQ2030">
        <v>50300153</v>
      </c>
      <c r="BR2030" s="15" t="s">
        <v>265</v>
      </c>
      <c r="BS2030" t="s">
        <v>256</v>
      </c>
      <c r="BT2030" t="s">
        <v>2473</v>
      </c>
      <c r="BU2030" t="s">
        <v>682</v>
      </c>
      <c r="BV2030" t="s">
        <v>680</v>
      </c>
    </row>
    <row r="2031" spans="68:74" x14ac:dyDescent="0.25">
      <c r="BQ2031">
        <v>50300172</v>
      </c>
      <c r="BR2031" s="15" t="s">
        <v>265</v>
      </c>
      <c r="BS2031" t="s">
        <v>256</v>
      </c>
      <c r="BT2031" t="s">
        <v>2474</v>
      </c>
      <c r="BU2031" t="s">
        <v>681</v>
      </c>
      <c r="BV2031" t="s">
        <v>680</v>
      </c>
    </row>
    <row r="2032" spans="68:74" x14ac:dyDescent="0.25">
      <c r="BQ2032">
        <v>50300163</v>
      </c>
      <c r="BR2032" s="15" t="s">
        <v>265</v>
      </c>
      <c r="BS2032" t="s">
        <v>256</v>
      </c>
      <c r="BT2032" t="s">
        <v>2475</v>
      </c>
      <c r="BU2032" t="s">
        <v>682</v>
      </c>
      <c r="BV2032" t="s">
        <v>680</v>
      </c>
    </row>
    <row r="2033" spans="69:74" x14ac:dyDescent="0.25">
      <c r="BQ2033">
        <v>50400042</v>
      </c>
      <c r="BR2033" s="15" t="s">
        <v>266</v>
      </c>
      <c r="BS2033" t="s">
        <v>257</v>
      </c>
      <c r="BT2033" t="s">
        <v>2449</v>
      </c>
      <c r="BU2033" t="s">
        <v>681</v>
      </c>
      <c r="BV2033" t="s">
        <v>680</v>
      </c>
    </row>
    <row r="2034" spans="69:74" x14ac:dyDescent="0.25">
      <c r="BQ2034">
        <v>50400043</v>
      </c>
      <c r="BR2034" s="15" t="s">
        <v>266</v>
      </c>
      <c r="BS2034" t="s">
        <v>257</v>
      </c>
      <c r="BT2034" t="s">
        <v>2449</v>
      </c>
      <c r="BU2034" t="s">
        <v>682</v>
      </c>
      <c r="BV2034" t="s">
        <v>680</v>
      </c>
    </row>
    <row r="2035" spans="69:74" x14ac:dyDescent="0.25">
      <c r="BQ2035">
        <v>50400013</v>
      </c>
      <c r="BR2035" s="15" t="s">
        <v>266</v>
      </c>
      <c r="BS2035" t="s">
        <v>257</v>
      </c>
      <c r="BT2035" t="s">
        <v>2476</v>
      </c>
      <c r="BU2035" t="s">
        <v>682</v>
      </c>
      <c r="BV2035" t="s">
        <v>680</v>
      </c>
    </row>
    <row r="2036" spans="69:74" x14ac:dyDescent="0.25">
      <c r="BQ2036">
        <v>50400052</v>
      </c>
      <c r="BR2036" s="15" t="s">
        <v>266</v>
      </c>
      <c r="BS2036" t="s">
        <v>257</v>
      </c>
      <c r="BT2036" t="s">
        <v>2477</v>
      </c>
      <c r="BU2036" t="s">
        <v>681</v>
      </c>
      <c r="BV2036" t="s">
        <v>680</v>
      </c>
    </row>
    <row r="2037" spans="69:74" x14ac:dyDescent="0.25">
      <c r="BQ2037">
        <v>50400053</v>
      </c>
      <c r="BR2037" s="15" t="s">
        <v>266</v>
      </c>
      <c r="BS2037" t="s">
        <v>257</v>
      </c>
      <c r="BT2037" t="s">
        <v>2477</v>
      </c>
      <c r="BU2037" t="s">
        <v>682</v>
      </c>
      <c r="BV2037" t="s">
        <v>680</v>
      </c>
    </row>
    <row r="2038" spans="69:74" x14ac:dyDescent="0.25">
      <c r="BQ2038">
        <v>50400022</v>
      </c>
      <c r="BR2038" s="15" t="s">
        <v>266</v>
      </c>
      <c r="BS2038" t="s">
        <v>257</v>
      </c>
      <c r="BT2038" t="s">
        <v>2379</v>
      </c>
      <c r="BU2038" t="s">
        <v>681</v>
      </c>
      <c r="BV2038" t="s">
        <v>680</v>
      </c>
    </row>
    <row r="2039" spans="69:74" x14ac:dyDescent="0.25">
      <c r="BQ2039">
        <v>50400023</v>
      </c>
      <c r="BR2039" s="15" t="s">
        <v>266</v>
      </c>
      <c r="BS2039" t="s">
        <v>257</v>
      </c>
      <c r="BT2039" t="s">
        <v>2379</v>
      </c>
      <c r="BU2039" t="s">
        <v>682</v>
      </c>
      <c r="BV2039" t="s">
        <v>680</v>
      </c>
    </row>
    <row r="2040" spans="69:74" x14ac:dyDescent="0.25">
      <c r="BQ2040">
        <v>50400033</v>
      </c>
      <c r="BR2040" s="15" t="s">
        <v>266</v>
      </c>
      <c r="BS2040" t="s">
        <v>257</v>
      </c>
      <c r="BT2040" t="s">
        <v>2478</v>
      </c>
      <c r="BU2040" t="s">
        <v>682</v>
      </c>
      <c r="BV2040" t="s">
        <v>680</v>
      </c>
    </row>
    <row r="2041" spans="69:74" x14ac:dyDescent="0.25">
      <c r="BQ2041">
        <v>50500142</v>
      </c>
      <c r="BR2041" s="15" t="s">
        <v>267</v>
      </c>
      <c r="BS2041" t="s">
        <v>258</v>
      </c>
      <c r="BT2041" t="s">
        <v>2363</v>
      </c>
      <c r="BU2041" t="s">
        <v>681</v>
      </c>
      <c r="BV2041" t="s">
        <v>680</v>
      </c>
    </row>
    <row r="2042" spans="69:74" x14ac:dyDescent="0.25">
      <c r="BQ2042">
        <v>50500143</v>
      </c>
      <c r="BR2042" s="15" t="s">
        <v>267</v>
      </c>
      <c r="BS2042" t="s">
        <v>258</v>
      </c>
      <c r="BT2042" t="s">
        <v>2363</v>
      </c>
      <c r="BU2042" t="s">
        <v>682</v>
      </c>
      <c r="BV2042" t="s">
        <v>680</v>
      </c>
    </row>
    <row r="2043" spans="69:74" x14ac:dyDescent="0.25">
      <c r="BQ2043">
        <v>50500162</v>
      </c>
      <c r="BR2043" s="15" t="s">
        <v>267</v>
      </c>
      <c r="BS2043" t="s">
        <v>258</v>
      </c>
      <c r="BT2043" t="s">
        <v>2425</v>
      </c>
      <c r="BU2043" t="s">
        <v>681</v>
      </c>
      <c r="BV2043" t="s">
        <v>680</v>
      </c>
    </row>
    <row r="2044" spans="69:74" x14ac:dyDescent="0.25">
      <c r="BQ2044">
        <v>50500122</v>
      </c>
      <c r="BR2044" s="15" t="s">
        <v>267</v>
      </c>
      <c r="BS2044" t="s">
        <v>258</v>
      </c>
      <c r="BT2044" t="s">
        <v>2479</v>
      </c>
      <c r="BU2044" t="s">
        <v>681</v>
      </c>
      <c r="BV2044" t="s">
        <v>680</v>
      </c>
    </row>
    <row r="2045" spans="69:74" x14ac:dyDescent="0.25">
      <c r="BQ2045">
        <v>50500123</v>
      </c>
      <c r="BR2045" s="15" t="s">
        <v>267</v>
      </c>
      <c r="BS2045" t="s">
        <v>258</v>
      </c>
      <c r="BT2045" t="s">
        <v>2479</v>
      </c>
      <c r="BU2045" t="s">
        <v>682</v>
      </c>
      <c r="BV2045" t="s">
        <v>680</v>
      </c>
    </row>
    <row r="2046" spans="69:74" x14ac:dyDescent="0.25">
      <c r="BQ2046">
        <v>50500012</v>
      </c>
      <c r="BR2046" s="15" t="s">
        <v>267</v>
      </c>
      <c r="BS2046" t="s">
        <v>258</v>
      </c>
      <c r="BT2046" t="s">
        <v>2480</v>
      </c>
      <c r="BU2046" t="s">
        <v>681</v>
      </c>
      <c r="BV2046" t="s">
        <v>680</v>
      </c>
    </row>
    <row r="2047" spans="69:74" x14ac:dyDescent="0.25">
      <c r="BQ2047">
        <v>50500013</v>
      </c>
      <c r="BR2047" s="15" t="s">
        <v>267</v>
      </c>
      <c r="BS2047" t="s">
        <v>258</v>
      </c>
      <c r="BT2047" t="s">
        <v>2480</v>
      </c>
      <c r="BU2047" t="s">
        <v>682</v>
      </c>
      <c r="BV2047" t="s">
        <v>680</v>
      </c>
    </row>
    <row r="2048" spans="69:74" x14ac:dyDescent="0.25">
      <c r="BQ2048">
        <v>50500023</v>
      </c>
      <c r="BR2048" s="15" t="s">
        <v>267</v>
      </c>
      <c r="BS2048" t="s">
        <v>258</v>
      </c>
      <c r="BT2048" t="s">
        <v>2481</v>
      </c>
      <c r="BU2048" t="s">
        <v>682</v>
      </c>
      <c r="BV2048" t="s">
        <v>680</v>
      </c>
    </row>
    <row r="2049" spans="69:74" x14ac:dyDescent="0.25">
      <c r="BQ2049">
        <v>50500033</v>
      </c>
      <c r="BR2049" s="15" t="s">
        <v>267</v>
      </c>
      <c r="BS2049" t="s">
        <v>258</v>
      </c>
      <c r="BT2049" t="s">
        <v>2482</v>
      </c>
      <c r="BU2049" t="s">
        <v>682</v>
      </c>
      <c r="BV2049" t="s">
        <v>680</v>
      </c>
    </row>
    <row r="2050" spans="69:74" x14ac:dyDescent="0.25">
      <c r="BQ2050">
        <v>50500032</v>
      </c>
      <c r="BR2050" s="15" t="s">
        <v>267</v>
      </c>
      <c r="BS2050" t="s">
        <v>258</v>
      </c>
      <c r="BT2050" t="s">
        <v>2483</v>
      </c>
      <c r="BU2050" t="s">
        <v>681</v>
      </c>
      <c r="BV2050" t="s">
        <v>680</v>
      </c>
    </row>
    <row r="2051" spans="69:74" x14ac:dyDescent="0.25">
      <c r="BQ2051">
        <v>50500042</v>
      </c>
      <c r="BR2051" s="15" t="s">
        <v>267</v>
      </c>
      <c r="BS2051" t="s">
        <v>258</v>
      </c>
      <c r="BT2051" t="s">
        <v>2484</v>
      </c>
      <c r="BU2051" t="s">
        <v>681</v>
      </c>
      <c r="BV2051" t="s">
        <v>680</v>
      </c>
    </row>
    <row r="2052" spans="69:74" x14ac:dyDescent="0.25">
      <c r="BQ2052">
        <v>50500043</v>
      </c>
      <c r="BR2052" s="15" t="s">
        <v>267</v>
      </c>
      <c r="BS2052" t="s">
        <v>258</v>
      </c>
      <c r="BT2052" t="s">
        <v>2484</v>
      </c>
      <c r="BU2052" t="s">
        <v>682</v>
      </c>
      <c r="BV2052" t="s">
        <v>680</v>
      </c>
    </row>
    <row r="2053" spans="69:74" x14ac:dyDescent="0.25">
      <c r="BQ2053">
        <v>50500052</v>
      </c>
      <c r="BR2053" s="15" t="s">
        <v>267</v>
      </c>
      <c r="BS2053" t="s">
        <v>258</v>
      </c>
      <c r="BT2053" t="s">
        <v>2485</v>
      </c>
      <c r="BU2053" t="s">
        <v>681</v>
      </c>
      <c r="BV2053" t="s">
        <v>680</v>
      </c>
    </row>
    <row r="2054" spans="69:74" x14ac:dyDescent="0.25">
      <c r="BQ2054">
        <v>50500053</v>
      </c>
      <c r="BR2054" s="15" t="s">
        <v>267</v>
      </c>
      <c r="BS2054" t="s">
        <v>258</v>
      </c>
      <c r="BT2054" t="s">
        <v>2485</v>
      </c>
      <c r="BU2054" t="s">
        <v>682</v>
      </c>
      <c r="BV2054" t="s">
        <v>680</v>
      </c>
    </row>
    <row r="2055" spans="69:74" x14ac:dyDescent="0.25">
      <c r="BQ2055">
        <v>50500153</v>
      </c>
      <c r="BR2055" s="15" t="s">
        <v>267</v>
      </c>
      <c r="BS2055" t="s">
        <v>258</v>
      </c>
      <c r="BT2055" t="s">
        <v>2485</v>
      </c>
      <c r="BU2055" t="s">
        <v>682</v>
      </c>
      <c r="BV2055" t="s">
        <v>680</v>
      </c>
    </row>
    <row r="2056" spans="69:74" x14ac:dyDescent="0.25">
      <c r="BQ2056">
        <v>50500132</v>
      </c>
      <c r="BR2056" s="15" t="s">
        <v>267</v>
      </c>
      <c r="BS2056" t="s">
        <v>258</v>
      </c>
      <c r="BT2056" t="s">
        <v>2486</v>
      </c>
      <c r="BU2056" t="s">
        <v>681</v>
      </c>
      <c r="BV2056" t="s">
        <v>680</v>
      </c>
    </row>
    <row r="2057" spans="69:74" x14ac:dyDescent="0.25">
      <c r="BQ2057">
        <v>50500133</v>
      </c>
      <c r="BR2057" s="15" t="s">
        <v>267</v>
      </c>
      <c r="BS2057" t="s">
        <v>258</v>
      </c>
      <c r="BT2057" t="s">
        <v>2486</v>
      </c>
      <c r="BU2057" t="s">
        <v>682</v>
      </c>
      <c r="BV2057" t="s">
        <v>680</v>
      </c>
    </row>
    <row r="2058" spans="69:74" x14ac:dyDescent="0.25">
      <c r="BQ2058">
        <v>50500062</v>
      </c>
      <c r="BR2058" s="15" t="s">
        <v>267</v>
      </c>
      <c r="BS2058" t="s">
        <v>258</v>
      </c>
      <c r="BT2058" t="s">
        <v>2487</v>
      </c>
      <c r="BU2058" t="s">
        <v>681</v>
      </c>
      <c r="BV2058" t="s">
        <v>680</v>
      </c>
    </row>
    <row r="2059" spans="69:74" x14ac:dyDescent="0.25">
      <c r="BQ2059">
        <v>50500172</v>
      </c>
      <c r="BR2059" s="15" t="s">
        <v>267</v>
      </c>
      <c r="BS2059" t="s">
        <v>258</v>
      </c>
      <c r="BT2059" t="s">
        <v>2488</v>
      </c>
      <c r="BU2059" t="s">
        <v>681</v>
      </c>
      <c r="BV2059" t="s">
        <v>680</v>
      </c>
    </row>
    <row r="2060" spans="69:74" x14ac:dyDescent="0.25">
      <c r="BQ2060">
        <v>50500072</v>
      </c>
      <c r="BR2060" s="15" t="s">
        <v>267</v>
      </c>
      <c r="BS2060" t="s">
        <v>258</v>
      </c>
      <c r="BT2060" t="s">
        <v>2442</v>
      </c>
      <c r="BU2060" t="s">
        <v>681</v>
      </c>
      <c r="BV2060" t="s">
        <v>680</v>
      </c>
    </row>
    <row r="2061" spans="69:74" x14ac:dyDescent="0.25">
      <c r="BQ2061">
        <v>50500073</v>
      </c>
      <c r="BR2061" s="15" t="s">
        <v>267</v>
      </c>
      <c r="BS2061" t="s">
        <v>258</v>
      </c>
      <c r="BT2061" t="s">
        <v>2442</v>
      </c>
      <c r="BU2061" t="s">
        <v>682</v>
      </c>
      <c r="BV2061" t="s">
        <v>680</v>
      </c>
    </row>
    <row r="2062" spans="69:74" x14ac:dyDescent="0.25">
      <c r="BQ2062">
        <v>50500082</v>
      </c>
      <c r="BR2062" s="15" t="s">
        <v>267</v>
      </c>
      <c r="BS2062" t="s">
        <v>258</v>
      </c>
      <c r="BT2062" t="s">
        <v>2489</v>
      </c>
      <c r="BU2062" t="s">
        <v>681</v>
      </c>
      <c r="BV2062" t="s">
        <v>680</v>
      </c>
    </row>
    <row r="2063" spans="69:74" x14ac:dyDescent="0.25">
      <c r="BQ2063">
        <v>50500092</v>
      </c>
      <c r="BR2063" s="15" t="s">
        <v>267</v>
      </c>
      <c r="BS2063" t="s">
        <v>258</v>
      </c>
      <c r="BT2063" t="s">
        <v>2490</v>
      </c>
      <c r="BU2063" t="s">
        <v>681</v>
      </c>
      <c r="BV2063" t="s">
        <v>680</v>
      </c>
    </row>
    <row r="2064" spans="69:74" x14ac:dyDescent="0.25">
      <c r="BQ2064">
        <v>50500103</v>
      </c>
      <c r="BR2064" s="15" t="s">
        <v>267</v>
      </c>
      <c r="BS2064" t="s">
        <v>258</v>
      </c>
      <c r="BT2064" t="s">
        <v>2491</v>
      </c>
      <c r="BU2064" t="s">
        <v>682</v>
      </c>
      <c r="BV2064" t="s">
        <v>680</v>
      </c>
    </row>
    <row r="2065" spans="69:74" x14ac:dyDescent="0.25">
      <c r="BQ2065">
        <v>50500112</v>
      </c>
      <c r="BR2065" s="15" t="s">
        <v>267</v>
      </c>
      <c r="BS2065" t="s">
        <v>258</v>
      </c>
      <c r="BT2065" t="s">
        <v>2380</v>
      </c>
      <c r="BU2065" t="s">
        <v>681</v>
      </c>
      <c r="BV2065" t="s">
        <v>680</v>
      </c>
    </row>
    <row r="2066" spans="69:74" x14ac:dyDescent="0.25">
      <c r="BQ2066">
        <v>50500113</v>
      </c>
      <c r="BR2066" s="15" t="s">
        <v>267</v>
      </c>
      <c r="BS2066" t="s">
        <v>258</v>
      </c>
      <c r="BT2066" t="s">
        <v>2380</v>
      </c>
      <c r="BU2066" t="s">
        <v>682</v>
      </c>
      <c r="BV2066" t="s">
        <v>680</v>
      </c>
    </row>
    <row r="2067" spans="69:74" x14ac:dyDescent="0.25">
      <c r="BQ2067">
        <v>50600013</v>
      </c>
      <c r="BR2067" s="15" t="s">
        <v>268</v>
      </c>
      <c r="BS2067" t="s">
        <v>259</v>
      </c>
      <c r="BT2067" t="s">
        <v>2492</v>
      </c>
      <c r="BU2067" t="s">
        <v>682</v>
      </c>
      <c r="BV2067" t="s">
        <v>680</v>
      </c>
    </row>
    <row r="2068" spans="69:74" x14ac:dyDescent="0.25">
      <c r="BQ2068">
        <v>50600022</v>
      </c>
      <c r="BR2068" s="15" t="s">
        <v>268</v>
      </c>
      <c r="BS2068" t="s">
        <v>259</v>
      </c>
      <c r="BT2068" t="s">
        <v>2175</v>
      </c>
      <c r="BU2068" t="s">
        <v>681</v>
      </c>
      <c r="BV2068" t="s">
        <v>680</v>
      </c>
    </row>
    <row r="2069" spans="69:74" x14ac:dyDescent="0.25">
      <c r="BQ2069">
        <v>50600033</v>
      </c>
      <c r="BR2069" s="15" t="s">
        <v>268</v>
      </c>
      <c r="BS2069" t="s">
        <v>259</v>
      </c>
      <c r="BT2069" t="s">
        <v>2493</v>
      </c>
      <c r="BU2069" t="s">
        <v>682</v>
      </c>
      <c r="BV2069" t="s">
        <v>680</v>
      </c>
    </row>
    <row r="2070" spans="69:74" x14ac:dyDescent="0.25">
      <c r="BQ2070">
        <v>50600043</v>
      </c>
      <c r="BR2070" s="15" t="s">
        <v>268</v>
      </c>
      <c r="BS2070" t="s">
        <v>259</v>
      </c>
      <c r="BT2070" t="s">
        <v>2494</v>
      </c>
      <c r="BU2070" t="s">
        <v>682</v>
      </c>
      <c r="BV2070" t="s">
        <v>680</v>
      </c>
    </row>
    <row r="2071" spans="69:74" x14ac:dyDescent="0.25">
      <c r="BQ2071">
        <v>50600053</v>
      </c>
      <c r="BR2071" s="15" t="s">
        <v>268</v>
      </c>
      <c r="BS2071" t="s">
        <v>259</v>
      </c>
      <c r="BT2071" t="s">
        <v>2495</v>
      </c>
      <c r="BU2071" t="s">
        <v>682</v>
      </c>
      <c r="BV2071" t="s">
        <v>680</v>
      </c>
    </row>
    <row r="2072" spans="69:74" x14ac:dyDescent="0.25">
      <c r="BQ2072">
        <v>50600063</v>
      </c>
      <c r="BR2072" s="15" t="s">
        <v>268</v>
      </c>
      <c r="BS2072" t="s">
        <v>259</v>
      </c>
      <c r="BT2072" t="s">
        <v>2496</v>
      </c>
      <c r="BU2072" t="s">
        <v>682</v>
      </c>
      <c r="BV2072" t="s">
        <v>680</v>
      </c>
    </row>
    <row r="2073" spans="69:74" x14ac:dyDescent="0.25">
      <c r="BQ2073">
        <v>50600073</v>
      </c>
      <c r="BR2073" s="15" t="s">
        <v>268</v>
      </c>
      <c r="BS2073" t="s">
        <v>259</v>
      </c>
      <c r="BT2073" t="s">
        <v>2497</v>
      </c>
      <c r="BU2073" t="s">
        <v>682</v>
      </c>
      <c r="BV2073" t="s">
        <v>680</v>
      </c>
    </row>
    <row r="2074" spans="69:74" x14ac:dyDescent="0.25">
      <c r="BQ2074">
        <v>50600083</v>
      </c>
      <c r="BR2074" s="15" t="s">
        <v>268</v>
      </c>
      <c r="BS2074" t="s">
        <v>259</v>
      </c>
      <c r="BT2074" t="s">
        <v>2498</v>
      </c>
      <c r="BU2074" t="s">
        <v>682</v>
      </c>
      <c r="BV2074" t="s">
        <v>680</v>
      </c>
    </row>
    <row r="2075" spans="69:74" x14ac:dyDescent="0.25">
      <c r="BQ2075">
        <v>50600092</v>
      </c>
      <c r="BR2075" s="15" t="s">
        <v>268</v>
      </c>
      <c r="BS2075" t="s">
        <v>259</v>
      </c>
      <c r="BT2075" t="s">
        <v>2499</v>
      </c>
      <c r="BU2075" t="s">
        <v>681</v>
      </c>
      <c r="BV2075" t="s">
        <v>680</v>
      </c>
    </row>
    <row r="2076" spans="69:74" x14ac:dyDescent="0.25">
      <c r="BQ2076">
        <v>50600093</v>
      </c>
      <c r="BR2076" s="15" t="s">
        <v>268</v>
      </c>
      <c r="BS2076" t="s">
        <v>259</v>
      </c>
      <c r="BT2076" t="s">
        <v>2499</v>
      </c>
      <c r="BU2076" t="s">
        <v>682</v>
      </c>
      <c r="BV2076" t="s">
        <v>680</v>
      </c>
    </row>
    <row r="2077" spans="69:74" x14ac:dyDescent="0.25">
      <c r="BQ2077">
        <v>50700013</v>
      </c>
      <c r="BR2077" s="15" t="s">
        <v>269</v>
      </c>
      <c r="BS2077" t="s">
        <v>260</v>
      </c>
      <c r="BT2077" t="s">
        <v>2500</v>
      </c>
      <c r="BU2077" t="s">
        <v>682</v>
      </c>
      <c r="BV2077" t="s">
        <v>680</v>
      </c>
    </row>
    <row r="2078" spans="69:74" x14ac:dyDescent="0.25">
      <c r="BQ2078">
        <v>50700253</v>
      </c>
      <c r="BR2078" s="15" t="s">
        <v>269</v>
      </c>
      <c r="BS2078" t="s">
        <v>260</v>
      </c>
      <c r="BT2078" t="s">
        <v>2500</v>
      </c>
      <c r="BU2078" t="s">
        <v>682</v>
      </c>
      <c r="BV2078" t="s">
        <v>680</v>
      </c>
    </row>
    <row r="2079" spans="69:74" x14ac:dyDescent="0.25">
      <c r="BQ2079">
        <v>50700022</v>
      </c>
      <c r="BR2079" s="15" t="s">
        <v>269</v>
      </c>
      <c r="BS2079" t="s">
        <v>260</v>
      </c>
      <c r="BT2079" t="s">
        <v>2501</v>
      </c>
      <c r="BU2079" t="s">
        <v>681</v>
      </c>
      <c r="BV2079" t="s">
        <v>680</v>
      </c>
    </row>
    <row r="2080" spans="69:74" x14ac:dyDescent="0.25">
      <c r="BQ2080">
        <v>50700033</v>
      </c>
      <c r="BR2080" s="15" t="s">
        <v>269</v>
      </c>
      <c r="BS2080" t="s">
        <v>260</v>
      </c>
      <c r="BT2080" t="s">
        <v>2502</v>
      </c>
      <c r="BU2080" t="s">
        <v>682</v>
      </c>
      <c r="BV2080" t="s">
        <v>680</v>
      </c>
    </row>
    <row r="2081" spans="69:74" x14ac:dyDescent="0.25">
      <c r="BQ2081">
        <v>50700333</v>
      </c>
      <c r="BR2081" s="15" t="s">
        <v>269</v>
      </c>
      <c r="BS2081" t="s">
        <v>260</v>
      </c>
      <c r="BT2081" t="s">
        <v>2503</v>
      </c>
      <c r="BU2081" t="s">
        <v>682</v>
      </c>
      <c r="BV2081" t="s">
        <v>680</v>
      </c>
    </row>
    <row r="2082" spans="69:74" x14ac:dyDescent="0.25">
      <c r="BQ2082">
        <v>50700042</v>
      </c>
      <c r="BR2082" s="15" t="s">
        <v>269</v>
      </c>
      <c r="BS2082" t="s">
        <v>260</v>
      </c>
      <c r="BT2082" t="s">
        <v>2504</v>
      </c>
      <c r="BU2082" t="s">
        <v>681</v>
      </c>
      <c r="BV2082" t="s">
        <v>680</v>
      </c>
    </row>
    <row r="2083" spans="69:74" x14ac:dyDescent="0.25">
      <c r="BQ2083">
        <v>50700043</v>
      </c>
      <c r="BR2083" s="15" t="s">
        <v>269</v>
      </c>
      <c r="BS2083" t="s">
        <v>260</v>
      </c>
      <c r="BT2083" t="s">
        <v>2504</v>
      </c>
      <c r="BU2083" t="s">
        <v>682</v>
      </c>
      <c r="BV2083" t="s">
        <v>680</v>
      </c>
    </row>
    <row r="2084" spans="69:74" x14ac:dyDescent="0.25">
      <c r="BQ2084">
        <v>50700052</v>
      </c>
      <c r="BR2084" s="15" t="s">
        <v>269</v>
      </c>
      <c r="BS2084" t="s">
        <v>260</v>
      </c>
      <c r="BT2084" t="s">
        <v>2505</v>
      </c>
      <c r="BU2084" t="s">
        <v>681</v>
      </c>
      <c r="BV2084" t="s">
        <v>680</v>
      </c>
    </row>
    <row r="2085" spans="69:74" x14ac:dyDescent="0.25">
      <c r="BQ2085">
        <v>50700053</v>
      </c>
      <c r="BR2085" s="15" t="s">
        <v>269</v>
      </c>
      <c r="BS2085" t="s">
        <v>260</v>
      </c>
      <c r="BT2085" t="s">
        <v>2505</v>
      </c>
      <c r="BU2085" t="s">
        <v>682</v>
      </c>
      <c r="BV2085" t="s">
        <v>680</v>
      </c>
    </row>
    <row r="2086" spans="69:74" x14ac:dyDescent="0.25">
      <c r="BQ2086">
        <v>50700213</v>
      </c>
      <c r="BR2086" s="15" t="s">
        <v>269</v>
      </c>
      <c r="BS2086" t="s">
        <v>260</v>
      </c>
      <c r="BT2086" t="s">
        <v>2506</v>
      </c>
      <c r="BU2086" t="s">
        <v>682</v>
      </c>
      <c r="BV2086" t="s">
        <v>680</v>
      </c>
    </row>
    <row r="2087" spans="69:74" x14ac:dyDescent="0.25">
      <c r="BQ2087">
        <v>50700173</v>
      </c>
      <c r="BR2087" s="15" t="s">
        <v>269</v>
      </c>
      <c r="BS2087" t="s">
        <v>260</v>
      </c>
      <c r="BT2087" t="s">
        <v>2507</v>
      </c>
      <c r="BU2087" t="s">
        <v>682</v>
      </c>
      <c r="BV2087" t="s">
        <v>680</v>
      </c>
    </row>
    <row r="2088" spans="69:74" x14ac:dyDescent="0.25">
      <c r="BQ2088">
        <v>50700193</v>
      </c>
      <c r="BR2088" s="15" t="s">
        <v>269</v>
      </c>
      <c r="BS2088" t="s">
        <v>260</v>
      </c>
      <c r="BT2088" t="s">
        <v>2508</v>
      </c>
      <c r="BU2088" t="s">
        <v>682</v>
      </c>
      <c r="BV2088" t="s">
        <v>680</v>
      </c>
    </row>
    <row r="2089" spans="69:74" x14ac:dyDescent="0.25">
      <c r="BQ2089">
        <v>50700163</v>
      </c>
      <c r="BR2089" s="15" t="s">
        <v>269</v>
      </c>
      <c r="BS2089" t="s">
        <v>260</v>
      </c>
      <c r="BT2089" t="s">
        <v>2509</v>
      </c>
      <c r="BU2089" t="s">
        <v>682</v>
      </c>
      <c r="BV2089" t="s">
        <v>680</v>
      </c>
    </row>
    <row r="2090" spans="69:74" x14ac:dyDescent="0.25">
      <c r="BQ2090">
        <v>50700203</v>
      </c>
      <c r="BR2090" s="15" t="s">
        <v>269</v>
      </c>
      <c r="BS2090" t="s">
        <v>260</v>
      </c>
      <c r="BT2090" t="s">
        <v>2510</v>
      </c>
      <c r="BU2090" t="s">
        <v>682</v>
      </c>
      <c r="BV2090" t="s">
        <v>680</v>
      </c>
    </row>
    <row r="2091" spans="69:74" x14ac:dyDescent="0.25">
      <c r="BQ2091">
        <v>50700062</v>
      </c>
      <c r="BR2091" s="15" t="s">
        <v>269</v>
      </c>
      <c r="BS2091" t="s">
        <v>260</v>
      </c>
      <c r="BT2091" t="s">
        <v>2511</v>
      </c>
      <c r="BU2091" t="s">
        <v>681</v>
      </c>
      <c r="BV2091" t="s">
        <v>680</v>
      </c>
    </row>
    <row r="2092" spans="69:74" x14ac:dyDescent="0.25">
      <c r="BQ2092">
        <v>50700063</v>
      </c>
      <c r="BR2092" s="15" t="s">
        <v>269</v>
      </c>
      <c r="BS2092" t="s">
        <v>260</v>
      </c>
      <c r="BT2092" t="s">
        <v>2511</v>
      </c>
      <c r="BU2092" t="s">
        <v>682</v>
      </c>
      <c r="BV2092" t="s">
        <v>680</v>
      </c>
    </row>
    <row r="2093" spans="69:74" x14ac:dyDescent="0.25">
      <c r="BQ2093">
        <v>50700072</v>
      </c>
      <c r="BR2093" s="15" t="s">
        <v>269</v>
      </c>
      <c r="BS2093" t="s">
        <v>260</v>
      </c>
      <c r="BT2093" t="s">
        <v>2512</v>
      </c>
      <c r="BU2093" t="s">
        <v>681</v>
      </c>
      <c r="BV2093" t="s">
        <v>680</v>
      </c>
    </row>
    <row r="2094" spans="69:74" x14ac:dyDescent="0.25">
      <c r="BQ2094">
        <v>50700073</v>
      </c>
      <c r="BR2094" s="15" t="s">
        <v>269</v>
      </c>
      <c r="BS2094" t="s">
        <v>260</v>
      </c>
      <c r="BT2094" t="s">
        <v>2512</v>
      </c>
      <c r="BU2094" t="s">
        <v>682</v>
      </c>
      <c r="BV2094" t="s">
        <v>680</v>
      </c>
    </row>
    <row r="2095" spans="69:74" x14ac:dyDescent="0.25">
      <c r="BQ2095">
        <v>50700183</v>
      </c>
      <c r="BR2095" s="15" t="s">
        <v>269</v>
      </c>
      <c r="BS2095" t="s">
        <v>260</v>
      </c>
      <c r="BT2095" t="s">
        <v>2513</v>
      </c>
      <c r="BU2095" t="s">
        <v>682</v>
      </c>
      <c r="BV2095" t="s">
        <v>680</v>
      </c>
    </row>
    <row r="2096" spans="69:74" x14ac:dyDescent="0.25">
      <c r="BQ2096">
        <v>50700092</v>
      </c>
      <c r="BR2096" s="15" t="s">
        <v>269</v>
      </c>
      <c r="BS2096" t="s">
        <v>260</v>
      </c>
      <c r="BT2096" t="s">
        <v>2514</v>
      </c>
      <c r="BU2096" t="s">
        <v>681</v>
      </c>
      <c r="BV2096" t="s">
        <v>680</v>
      </c>
    </row>
    <row r="2097" spans="69:74" x14ac:dyDescent="0.25">
      <c r="BQ2097">
        <v>50700093</v>
      </c>
      <c r="BR2097" s="15" t="s">
        <v>269</v>
      </c>
      <c r="BS2097" t="s">
        <v>260</v>
      </c>
      <c r="BT2097" t="s">
        <v>2514</v>
      </c>
      <c r="BU2097" t="s">
        <v>682</v>
      </c>
      <c r="BV2097" t="s">
        <v>680</v>
      </c>
    </row>
    <row r="2098" spans="69:74" x14ac:dyDescent="0.25">
      <c r="BQ2098">
        <v>50700243</v>
      </c>
      <c r="BR2098" s="15" t="s">
        <v>269</v>
      </c>
      <c r="BS2098" t="s">
        <v>260</v>
      </c>
      <c r="BT2098" t="s">
        <v>2514</v>
      </c>
      <c r="BU2098" t="s">
        <v>682</v>
      </c>
      <c r="BV2098" t="s">
        <v>680</v>
      </c>
    </row>
    <row r="2099" spans="69:74" x14ac:dyDescent="0.25">
      <c r="BQ2099">
        <v>50700102</v>
      </c>
      <c r="BR2099" s="15" t="s">
        <v>269</v>
      </c>
      <c r="BS2099" t="s">
        <v>260</v>
      </c>
      <c r="BT2099" t="s">
        <v>2515</v>
      </c>
      <c r="BU2099" t="s">
        <v>681</v>
      </c>
      <c r="BV2099" t="s">
        <v>680</v>
      </c>
    </row>
    <row r="2100" spans="69:74" x14ac:dyDescent="0.25">
      <c r="BQ2100">
        <v>50700103</v>
      </c>
      <c r="BR2100" s="15" t="s">
        <v>269</v>
      </c>
      <c r="BS2100" t="s">
        <v>260</v>
      </c>
      <c r="BT2100" t="s">
        <v>2515</v>
      </c>
      <c r="BU2100" t="s">
        <v>682</v>
      </c>
      <c r="BV2100" t="s">
        <v>680</v>
      </c>
    </row>
    <row r="2101" spans="69:74" x14ac:dyDescent="0.25">
      <c r="BQ2101">
        <v>50700263</v>
      </c>
      <c r="BR2101" s="15" t="s">
        <v>269</v>
      </c>
      <c r="BS2101" t="s">
        <v>260</v>
      </c>
      <c r="BT2101" t="s">
        <v>2515</v>
      </c>
      <c r="BU2101" t="s">
        <v>682</v>
      </c>
      <c r="BV2101" t="s">
        <v>680</v>
      </c>
    </row>
    <row r="2102" spans="69:74" x14ac:dyDescent="0.25">
      <c r="BQ2102">
        <v>50700223</v>
      </c>
      <c r="BR2102" s="15" t="s">
        <v>269</v>
      </c>
      <c r="BS2102" t="s">
        <v>260</v>
      </c>
      <c r="BT2102" t="s">
        <v>2516</v>
      </c>
      <c r="BU2102" t="s">
        <v>682</v>
      </c>
      <c r="BV2102" t="s">
        <v>680</v>
      </c>
    </row>
    <row r="2103" spans="69:74" x14ac:dyDescent="0.25">
      <c r="BQ2103">
        <v>50700353</v>
      </c>
      <c r="BR2103" s="15" t="s">
        <v>269</v>
      </c>
      <c r="BS2103" t="s">
        <v>260</v>
      </c>
      <c r="BT2103" t="s">
        <v>2517</v>
      </c>
      <c r="BU2103" t="s">
        <v>682</v>
      </c>
      <c r="BV2103" t="s">
        <v>680</v>
      </c>
    </row>
    <row r="2104" spans="69:74" x14ac:dyDescent="0.25">
      <c r="BQ2104">
        <v>50700112</v>
      </c>
      <c r="BR2104" s="15" t="s">
        <v>269</v>
      </c>
      <c r="BS2104" t="s">
        <v>260</v>
      </c>
      <c r="BT2104" t="s">
        <v>2518</v>
      </c>
      <c r="BU2104" t="s">
        <v>681</v>
      </c>
      <c r="BV2104" t="s">
        <v>680</v>
      </c>
    </row>
    <row r="2105" spans="69:74" x14ac:dyDescent="0.25">
      <c r="BQ2105">
        <v>50700122</v>
      </c>
      <c r="BR2105" s="15" t="s">
        <v>269</v>
      </c>
      <c r="BS2105" t="s">
        <v>260</v>
      </c>
      <c r="BT2105" t="s">
        <v>2519</v>
      </c>
      <c r="BU2105" t="s">
        <v>681</v>
      </c>
      <c r="BV2105" t="s">
        <v>680</v>
      </c>
    </row>
    <row r="2106" spans="69:74" x14ac:dyDescent="0.25">
      <c r="BQ2106">
        <v>50700123</v>
      </c>
      <c r="BR2106" s="15" t="s">
        <v>269</v>
      </c>
      <c r="BS2106" t="s">
        <v>260</v>
      </c>
      <c r="BT2106" t="s">
        <v>2519</v>
      </c>
      <c r="BU2106" t="s">
        <v>682</v>
      </c>
      <c r="BV2106" t="s">
        <v>680</v>
      </c>
    </row>
    <row r="2107" spans="69:74" x14ac:dyDescent="0.25">
      <c r="BQ2107">
        <v>50700133</v>
      </c>
      <c r="BR2107" s="15" t="s">
        <v>269</v>
      </c>
      <c r="BS2107" t="s">
        <v>260</v>
      </c>
      <c r="BT2107" t="s">
        <v>2520</v>
      </c>
      <c r="BU2107" t="s">
        <v>682</v>
      </c>
      <c r="BV2107" t="s">
        <v>680</v>
      </c>
    </row>
    <row r="2108" spans="69:74" x14ac:dyDescent="0.25">
      <c r="BQ2108">
        <v>50700343</v>
      </c>
      <c r="BR2108" s="15" t="s">
        <v>269</v>
      </c>
      <c r="BS2108" t="s">
        <v>260</v>
      </c>
      <c r="BT2108" t="s">
        <v>2521</v>
      </c>
      <c r="BU2108" t="s">
        <v>682</v>
      </c>
      <c r="BV2108" t="s">
        <v>680</v>
      </c>
    </row>
    <row r="2109" spans="69:74" x14ac:dyDescent="0.25">
      <c r="BQ2109">
        <v>50700273</v>
      </c>
      <c r="BR2109" s="15" t="s">
        <v>269</v>
      </c>
      <c r="BS2109" t="s">
        <v>260</v>
      </c>
      <c r="BT2109" t="s">
        <v>2522</v>
      </c>
      <c r="BU2109" t="s">
        <v>682</v>
      </c>
      <c r="BV2109" t="s">
        <v>680</v>
      </c>
    </row>
    <row r="2110" spans="69:74" x14ac:dyDescent="0.25">
      <c r="BQ2110">
        <v>50700143</v>
      </c>
      <c r="BR2110" s="15" t="s">
        <v>269</v>
      </c>
      <c r="BS2110" t="s">
        <v>260</v>
      </c>
      <c r="BT2110" t="s">
        <v>2523</v>
      </c>
      <c r="BU2110" t="s">
        <v>682</v>
      </c>
      <c r="BV2110" t="s">
        <v>680</v>
      </c>
    </row>
    <row r="2111" spans="69:74" x14ac:dyDescent="0.25">
      <c r="BQ2111">
        <v>50700233</v>
      </c>
      <c r="BR2111" s="15" t="s">
        <v>269</v>
      </c>
      <c r="BS2111" t="s">
        <v>260</v>
      </c>
      <c r="BT2111" t="s">
        <v>2524</v>
      </c>
      <c r="BU2111" t="s">
        <v>682</v>
      </c>
      <c r="BV2111" t="s">
        <v>680</v>
      </c>
    </row>
    <row r="2112" spans="69:74" x14ac:dyDescent="0.25">
      <c r="BQ2112">
        <v>50700153</v>
      </c>
      <c r="BR2112" s="15" t="s">
        <v>269</v>
      </c>
      <c r="BS2112" t="s">
        <v>260</v>
      </c>
      <c r="BT2112" t="s">
        <v>2525</v>
      </c>
      <c r="BU2112" t="s">
        <v>682</v>
      </c>
      <c r="BV2112" t="s">
        <v>680</v>
      </c>
    </row>
    <row r="2113" spans="69:74" x14ac:dyDescent="0.25">
      <c r="BQ2113">
        <v>50700283</v>
      </c>
      <c r="BR2113" s="15" t="s">
        <v>269</v>
      </c>
      <c r="BS2113" t="s">
        <v>260</v>
      </c>
      <c r="BT2113" t="s">
        <v>2526</v>
      </c>
      <c r="BU2113" t="s">
        <v>682</v>
      </c>
      <c r="BV2113" t="s">
        <v>680</v>
      </c>
    </row>
    <row r="2114" spans="69:74" x14ac:dyDescent="0.25">
      <c r="BQ2114">
        <v>50700323</v>
      </c>
      <c r="BR2114" s="15" t="s">
        <v>269</v>
      </c>
      <c r="BS2114" t="s">
        <v>260</v>
      </c>
      <c r="BT2114" t="s">
        <v>2527</v>
      </c>
      <c r="BU2114" t="s">
        <v>682</v>
      </c>
      <c r="BV2114" t="s">
        <v>680</v>
      </c>
    </row>
    <row r="2115" spans="69:74" x14ac:dyDescent="0.25">
      <c r="BQ2115">
        <v>50800012</v>
      </c>
      <c r="BR2115" s="15" t="s">
        <v>270</v>
      </c>
      <c r="BS2115" t="s">
        <v>261</v>
      </c>
      <c r="BT2115" t="s">
        <v>2528</v>
      </c>
      <c r="BU2115" t="s">
        <v>681</v>
      </c>
      <c r="BV2115" t="s">
        <v>680</v>
      </c>
    </row>
    <row r="2116" spans="69:74" x14ac:dyDescent="0.25">
      <c r="BQ2116">
        <v>50800013</v>
      </c>
      <c r="BR2116" s="15" t="s">
        <v>270</v>
      </c>
      <c r="BS2116" t="s">
        <v>261</v>
      </c>
      <c r="BT2116" t="s">
        <v>2528</v>
      </c>
      <c r="BU2116" t="s">
        <v>682</v>
      </c>
      <c r="BV2116" t="s">
        <v>680</v>
      </c>
    </row>
    <row r="2117" spans="69:74" x14ac:dyDescent="0.25">
      <c r="BQ2117">
        <v>50800063</v>
      </c>
      <c r="BR2117" s="15" t="s">
        <v>270</v>
      </c>
      <c r="BS2117" t="s">
        <v>261</v>
      </c>
      <c r="BT2117" t="s">
        <v>2529</v>
      </c>
      <c r="BU2117" t="s">
        <v>682</v>
      </c>
      <c r="BV2117" t="s">
        <v>680</v>
      </c>
    </row>
    <row r="2118" spans="69:74" x14ac:dyDescent="0.25">
      <c r="BQ2118">
        <v>50800022</v>
      </c>
      <c r="BR2118" s="15" t="s">
        <v>270</v>
      </c>
      <c r="BS2118" t="s">
        <v>261</v>
      </c>
      <c r="BT2118" t="s">
        <v>2530</v>
      </c>
      <c r="BU2118" t="s">
        <v>681</v>
      </c>
      <c r="BV2118" t="s">
        <v>680</v>
      </c>
    </row>
    <row r="2119" spans="69:74" x14ac:dyDescent="0.25">
      <c r="BQ2119">
        <v>50800023</v>
      </c>
      <c r="BR2119" s="15" t="s">
        <v>270</v>
      </c>
      <c r="BS2119" t="s">
        <v>261</v>
      </c>
      <c r="BT2119" t="s">
        <v>2530</v>
      </c>
      <c r="BU2119" t="s">
        <v>682</v>
      </c>
      <c r="BV2119" t="s">
        <v>680</v>
      </c>
    </row>
    <row r="2120" spans="69:74" x14ac:dyDescent="0.25">
      <c r="BQ2120">
        <v>50800032</v>
      </c>
      <c r="BR2120" s="15" t="s">
        <v>270</v>
      </c>
      <c r="BS2120" t="s">
        <v>261</v>
      </c>
      <c r="BT2120" t="s">
        <v>2531</v>
      </c>
      <c r="BU2120" t="s">
        <v>681</v>
      </c>
      <c r="BV2120" t="s">
        <v>680</v>
      </c>
    </row>
    <row r="2121" spans="69:74" x14ac:dyDescent="0.25">
      <c r="BQ2121">
        <v>50800033</v>
      </c>
      <c r="BR2121" s="15" t="s">
        <v>270</v>
      </c>
      <c r="BS2121" t="s">
        <v>261</v>
      </c>
      <c r="BT2121" t="s">
        <v>2531</v>
      </c>
      <c r="BU2121" t="s">
        <v>682</v>
      </c>
      <c r="BV2121" t="s">
        <v>680</v>
      </c>
    </row>
    <row r="2122" spans="69:74" x14ac:dyDescent="0.25">
      <c r="BQ2122">
        <v>50800042</v>
      </c>
      <c r="BR2122" s="15" t="s">
        <v>270</v>
      </c>
      <c r="BS2122" t="s">
        <v>261</v>
      </c>
      <c r="BT2122" t="s">
        <v>2532</v>
      </c>
      <c r="BU2122" t="s">
        <v>681</v>
      </c>
      <c r="BV2122" t="s">
        <v>680</v>
      </c>
    </row>
    <row r="2123" spans="69:74" x14ac:dyDescent="0.25">
      <c r="BQ2123">
        <v>50800043</v>
      </c>
      <c r="BR2123" s="15" t="s">
        <v>270</v>
      </c>
      <c r="BS2123" t="s">
        <v>261</v>
      </c>
      <c r="BT2123" t="s">
        <v>2532</v>
      </c>
      <c r="BU2123" t="s">
        <v>682</v>
      </c>
      <c r="BV2123" t="s">
        <v>680</v>
      </c>
    </row>
    <row r="2124" spans="69:74" x14ac:dyDescent="0.25">
      <c r="BQ2124">
        <v>50800052</v>
      </c>
      <c r="BR2124" s="15" t="s">
        <v>270</v>
      </c>
      <c r="BS2124" t="s">
        <v>261</v>
      </c>
      <c r="BT2124" t="s">
        <v>2533</v>
      </c>
      <c r="BU2124" t="s">
        <v>681</v>
      </c>
      <c r="BV2124" t="s">
        <v>680</v>
      </c>
    </row>
    <row r="2125" spans="69:74" x14ac:dyDescent="0.25">
      <c r="BQ2125">
        <v>50800053</v>
      </c>
      <c r="BR2125" s="15" t="s">
        <v>270</v>
      </c>
      <c r="BS2125" t="s">
        <v>261</v>
      </c>
      <c r="BT2125" t="s">
        <v>2533</v>
      </c>
      <c r="BU2125" t="s">
        <v>682</v>
      </c>
      <c r="BV2125" t="s">
        <v>680</v>
      </c>
    </row>
    <row r="2126" spans="69:74" x14ac:dyDescent="0.25">
      <c r="BQ2126">
        <v>50900013</v>
      </c>
      <c r="BR2126" s="15" t="s">
        <v>271</v>
      </c>
      <c r="BS2126" t="s">
        <v>262</v>
      </c>
      <c r="BT2126" t="s">
        <v>2534</v>
      </c>
      <c r="BU2126" t="s">
        <v>682</v>
      </c>
      <c r="BV2126" t="s">
        <v>680</v>
      </c>
    </row>
    <row r="2127" spans="69:74" x14ac:dyDescent="0.25">
      <c r="BQ2127">
        <v>50900023</v>
      </c>
      <c r="BR2127" s="15" t="s">
        <v>271</v>
      </c>
      <c r="BS2127" t="s">
        <v>262</v>
      </c>
      <c r="BT2127" t="s">
        <v>2535</v>
      </c>
      <c r="BU2127" t="s">
        <v>682</v>
      </c>
      <c r="BV2127" t="s">
        <v>680</v>
      </c>
    </row>
    <row r="2128" spans="69:74" x14ac:dyDescent="0.25">
      <c r="BQ2128">
        <v>50900033</v>
      </c>
      <c r="BR2128" s="15" t="s">
        <v>271</v>
      </c>
      <c r="BS2128" t="s">
        <v>262</v>
      </c>
      <c r="BT2128" t="s">
        <v>2536</v>
      </c>
      <c r="BU2128" t="s">
        <v>682</v>
      </c>
      <c r="BV2128" t="s">
        <v>680</v>
      </c>
    </row>
    <row r="2129" spans="69:74" x14ac:dyDescent="0.25">
      <c r="BQ2129">
        <v>50900042</v>
      </c>
      <c r="BR2129" s="15" t="s">
        <v>271</v>
      </c>
      <c r="BS2129" t="s">
        <v>262</v>
      </c>
      <c r="BT2129" t="s">
        <v>262</v>
      </c>
      <c r="BU2129" t="s">
        <v>681</v>
      </c>
      <c r="BV2129" t="s">
        <v>680</v>
      </c>
    </row>
    <row r="2130" spans="69:74" x14ac:dyDescent="0.25">
      <c r="BQ2130">
        <v>50900053</v>
      </c>
      <c r="BR2130" s="15" t="s">
        <v>271</v>
      </c>
      <c r="BS2130" t="s">
        <v>262</v>
      </c>
      <c r="BT2130" t="s">
        <v>2537</v>
      </c>
      <c r="BU2130" t="s">
        <v>682</v>
      </c>
      <c r="BV2130" t="s">
        <v>680</v>
      </c>
    </row>
    <row r="2131" spans="69:74" x14ac:dyDescent="0.25">
      <c r="BQ2131">
        <v>50900063</v>
      </c>
      <c r="BR2131" s="15" t="s">
        <v>271</v>
      </c>
      <c r="BS2131" t="s">
        <v>262</v>
      </c>
      <c r="BT2131" t="s">
        <v>2538</v>
      </c>
      <c r="BU2131" t="s">
        <v>682</v>
      </c>
      <c r="BV2131" t="s">
        <v>680</v>
      </c>
    </row>
    <row r="2132" spans="69:74" x14ac:dyDescent="0.25">
      <c r="BQ2132">
        <v>50900073</v>
      </c>
      <c r="BR2132" s="15" t="s">
        <v>271</v>
      </c>
      <c r="BS2132" t="s">
        <v>262</v>
      </c>
      <c r="BT2132" t="s">
        <v>2539</v>
      </c>
      <c r="BU2132" t="s">
        <v>682</v>
      </c>
      <c r="BV2132" t="s">
        <v>680</v>
      </c>
    </row>
    <row r="2133" spans="69:74" x14ac:dyDescent="0.25">
      <c r="BQ2133">
        <v>50900083</v>
      </c>
      <c r="BR2133" s="15" t="s">
        <v>271</v>
      </c>
      <c r="BS2133" t="s">
        <v>262</v>
      </c>
      <c r="BT2133" t="s">
        <v>2540</v>
      </c>
      <c r="BU2133" t="s">
        <v>682</v>
      </c>
      <c r="BV2133" t="s">
        <v>680</v>
      </c>
    </row>
    <row r="2134" spans="69:74" x14ac:dyDescent="0.25">
      <c r="BQ2134">
        <v>60100102</v>
      </c>
      <c r="BR2134" s="15" t="s">
        <v>2541</v>
      </c>
      <c r="BS2134" t="s">
        <v>2542</v>
      </c>
      <c r="BT2134" t="s">
        <v>2543</v>
      </c>
      <c r="BU2134" t="s">
        <v>681</v>
      </c>
      <c r="BV2134" t="s">
        <v>680</v>
      </c>
    </row>
    <row r="2135" spans="69:74" x14ac:dyDescent="0.25">
      <c r="BQ2135">
        <v>60100042</v>
      </c>
      <c r="BR2135" s="15" t="s">
        <v>2541</v>
      </c>
      <c r="BS2135" t="s">
        <v>2542</v>
      </c>
      <c r="BT2135" t="s">
        <v>2544</v>
      </c>
      <c r="BU2135" t="s">
        <v>681</v>
      </c>
      <c r="BV2135" t="s">
        <v>680</v>
      </c>
    </row>
    <row r="2136" spans="69:74" x14ac:dyDescent="0.25">
      <c r="BQ2136">
        <v>60100052</v>
      </c>
      <c r="BR2136" s="15" t="s">
        <v>2541</v>
      </c>
      <c r="BS2136" t="s">
        <v>2542</v>
      </c>
      <c r="BT2136" t="s">
        <v>2545</v>
      </c>
      <c r="BU2136" t="s">
        <v>681</v>
      </c>
      <c r="BV2136" t="s">
        <v>680</v>
      </c>
    </row>
    <row r="2137" spans="69:74" x14ac:dyDescent="0.25">
      <c r="BQ2137">
        <v>60100032</v>
      </c>
      <c r="BR2137" s="15" t="s">
        <v>2541</v>
      </c>
      <c r="BS2137" t="s">
        <v>2542</v>
      </c>
      <c r="BT2137" t="s">
        <v>2546</v>
      </c>
      <c r="BU2137" t="s">
        <v>681</v>
      </c>
      <c r="BV2137" t="s">
        <v>680</v>
      </c>
    </row>
    <row r="2138" spans="69:74" x14ac:dyDescent="0.25">
      <c r="BQ2138">
        <v>60100062</v>
      </c>
      <c r="BR2138" s="15" t="s">
        <v>2541</v>
      </c>
      <c r="BS2138" t="s">
        <v>2542</v>
      </c>
      <c r="BT2138" t="s">
        <v>2547</v>
      </c>
      <c r="BU2138" t="s">
        <v>681</v>
      </c>
      <c r="BV2138" t="s">
        <v>680</v>
      </c>
    </row>
    <row r="2139" spans="69:74" x14ac:dyDescent="0.25">
      <c r="BQ2139">
        <v>60100083</v>
      </c>
      <c r="BR2139" s="15" t="s">
        <v>2541</v>
      </c>
      <c r="BS2139" t="s">
        <v>2542</v>
      </c>
      <c r="BT2139" t="s">
        <v>2548</v>
      </c>
      <c r="BU2139" t="s">
        <v>682</v>
      </c>
      <c r="BV2139" t="s">
        <v>680</v>
      </c>
    </row>
    <row r="2140" spans="69:74" x14ac:dyDescent="0.25">
      <c r="BQ2140">
        <v>60100093</v>
      </c>
      <c r="BR2140" s="15" t="s">
        <v>2541</v>
      </c>
      <c r="BS2140" t="s">
        <v>2542</v>
      </c>
      <c r="BT2140" t="s">
        <v>2549</v>
      </c>
      <c r="BU2140" t="s">
        <v>682</v>
      </c>
      <c r="BV2140" t="s">
        <v>680</v>
      </c>
    </row>
    <row r="2141" spans="69:74" x14ac:dyDescent="0.25">
      <c r="BQ2141">
        <v>60100073</v>
      </c>
      <c r="BR2141" s="15" t="s">
        <v>2541</v>
      </c>
      <c r="BS2141" t="s">
        <v>2542</v>
      </c>
      <c r="BT2141" t="s">
        <v>2550</v>
      </c>
      <c r="BU2141" t="s">
        <v>682</v>
      </c>
      <c r="BV2141" t="s">
        <v>680</v>
      </c>
    </row>
    <row r="2142" spans="69:74" x14ac:dyDescent="0.25">
      <c r="BQ2142">
        <v>60100013</v>
      </c>
      <c r="BR2142" s="15" t="s">
        <v>2541</v>
      </c>
      <c r="BS2142" t="s">
        <v>2542</v>
      </c>
      <c r="BT2142" t="s">
        <v>2551</v>
      </c>
      <c r="BU2142" t="s">
        <v>682</v>
      </c>
      <c r="BV2142" t="s">
        <v>680</v>
      </c>
    </row>
    <row r="2143" spans="69:74" x14ac:dyDescent="0.25">
      <c r="BQ2143">
        <v>60100022</v>
      </c>
      <c r="BR2143" s="15" t="s">
        <v>2541</v>
      </c>
      <c r="BS2143" t="s">
        <v>2542</v>
      </c>
      <c r="BT2143" t="s">
        <v>2552</v>
      </c>
      <c r="BU2143" t="s">
        <v>681</v>
      </c>
      <c r="BV2143" t="s">
        <v>680</v>
      </c>
    </row>
    <row r="2144" spans="69:74" x14ac:dyDescent="0.25">
      <c r="BQ2144">
        <v>60200012</v>
      </c>
      <c r="BR2144" s="15" t="s">
        <v>2553</v>
      </c>
      <c r="BS2144" t="s">
        <v>2554</v>
      </c>
      <c r="BT2144" t="s">
        <v>2554</v>
      </c>
      <c r="BU2144" t="s">
        <v>681</v>
      </c>
      <c r="BV2144" t="s">
        <v>680</v>
      </c>
    </row>
    <row r="2145" spans="68:74" x14ac:dyDescent="0.25">
      <c r="BQ2145">
        <v>60200013</v>
      </c>
      <c r="BR2145" s="15" t="s">
        <v>2553</v>
      </c>
      <c r="BS2145" t="s">
        <v>2554</v>
      </c>
      <c r="BT2145" t="s">
        <v>2554</v>
      </c>
      <c r="BU2145" t="s">
        <v>682</v>
      </c>
      <c r="BV2145" t="s">
        <v>680</v>
      </c>
    </row>
    <row r="2146" spans="68:74" x14ac:dyDescent="0.25">
      <c r="BQ2146">
        <v>60200023</v>
      </c>
      <c r="BR2146" s="15" t="s">
        <v>2553</v>
      </c>
      <c r="BS2146" t="s">
        <v>2554</v>
      </c>
      <c r="BT2146" t="s">
        <v>2555</v>
      </c>
      <c r="BU2146" t="s">
        <v>682</v>
      </c>
      <c r="BV2146" t="s">
        <v>680</v>
      </c>
    </row>
    <row r="2147" spans="68:74" x14ac:dyDescent="0.25">
      <c r="BQ2147">
        <v>60300012</v>
      </c>
      <c r="BR2147" s="15" t="s">
        <v>2556</v>
      </c>
      <c r="BS2147" t="s">
        <v>2557</v>
      </c>
      <c r="BT2147" t="s">
        <v>2557</v>
      </c>
      <c r="BU2147" t="s">
        <v>681</v>
      </c>
      <c r="BV2147" t="s">
        <v>680</v>
      </c>
    </row>
    <row r="2148" spans="68:74" x14ac:dyDescent="0.25">
      <c r="BQ2148">
        <v>60300013</v>
      </c>
      <c r="BR2148" s="15" t="s">
        <v>2556</v>
      </c>
      <c r="BS2148" t="s">
        <v>2557</v>
      </c>
      <c r="BT2148" t="s">
        <v>2557</v>
      </c>
      <c r="BU2148" t="s">
        <v>682</v>
      </c>
      <c r="BV2148" t="s">
        <v>680</v>
      </c>
    </row>
    <row r="2149" spans="68:74" x14ac:dyDescent="0.25">
      <c r="BQ2149">
        <v>60400013</v>
      </c>
      <c r="BR2149" s="15" t="s">
        <v>2558</v>
      </c>
      <c r="BS2149" t="s">
        <v>2559</v>
      </c>
      <c r="BT2149" t="s">
        <v>2559</v>
      </c>
      <c r="BU2149" t="s">
        <v>682</v>
      </c>
      <c r="BV2149" t="s">
        <v>680</v>
      </c>
    </row>
    <row r="2150" spans="68:74" x14ac:dyDescent="0.25">
      <c r="BQ2150">
        <v>60500092</v>
      </c>
      <c r="BR2150" s="15" t="s">
        <v>2560</v>
      </c>
      <c r="BS2150" t="s">
        <v>2561</v>
      </c>
      <c r="BT2150" t="s">
        <v>2561</v>
      </c>
      <c r="BU2150" t="s">
        <v>681</v>
      </c>
      <c r="BV2150" t="s">
        <v>680</v>
      </c>
    </row>
    <row r="2151" spans="68:74" x14ac:dyDescent="0.25">
      <c r="BQ2151">
        <v>60500013</v>
      </c>
      <c r="BR2151" s="15" t="s">
        <v>2560</v>
      </c>
      <c r="BS2151" t="s">
        <v>2561</v>
      </c>
      <c r="BT2151" t="s">
        <v>2562</v>
      </c>
      <c r="BU2151" t="s">
        <v>682</v>
      </c>
      <c r="BV2151" t="s">
        <v>680</v>
      </c>
    </row>
    <row r="2152" spans="68:74" x14ac:dyDescent="0.25">
      <c r="BQ2152">
        <v>60500023</v>
      </c>
      <c r="BR2152" s="15" t="s">
        <v>2560</v>
      </c>
      <c r="BS2152" t="s">
        <v>2561</v>
      </c>
      <c r="BT2152" t="s">
        <v>2563</v>
      </c>
      <c r="BU2152" t="s">
        <v>682</v>
      </c>
      <c r="BV2152" t="s">
        <v>680</v>
      </c>
    </row>
    <row r="2153" spans="68:74" x14ac:dyDescent="0.25">
      <c r="BQ2153">
        <v>60500033</v>
      </c>
      <c r="BR2153" s="15" t="s">
        <v>2560</v>
      </c>
      <c r="BS2153" t="s">
        <v>2561</v>
      </c>
      <c r="BT2153" t="s">
        <v>2564</v>
      </c>
      <c r="BU2153" t="s">
        <v>682</v>
      </c>
      <c r="BV2153" t="s">
        <v>680</v>
      </c>
    </row>
    <row r="2154" spans="68:74" x14ac:dyDescent="0.25">
      <c r="BQ2154">
        <v>60500042</v>
      </c>
      <c r="BR2154" s="15" t="s">
        <v>2560</v>
      </c>
      <c r="BS2154" t="s">
        <v>2561</v>
      </c>
      <c r="BT2154" t="s">
        <v>2565</v>
      </c>
      <c r="BU2154" t="s">
        <v>681</v>
      </c>
      <c r="BV2154" t="s">
        <v>680</v>
      </c>
    </row>
    <row r="2155" spans="68:74" x14ac:dyDescent="0.25">
      <c r="BQ2155">
        <v>60500053</v>
      </c>
      <c r="BR2155" s="15" t="s">
        <v>2560</v>
      </c>
      <c r="BS2155" t="s">
        <v>2561</v>
      </c>
      <c r="BT2155" t="s">
        <v>2566</v>
      </c>
      <c r="BU2155" t="s">
        <v>682</v>
      </c>
      <c r="BV2155" t="s">
        <v>680</v>
      </c>
    </row>
    <row r="2156" spans="68:74" x14ac:dyDescent="0.25">
      <c r="BQ2156">
        <v>60500063</v>
      </c>
      <c r="BR2156" s="15" t="s">
        <v>2560</v>
      </c>
      <c r="BS2156" t="s">
        <v>2561</v>
      </c>
      <c r="BT2156" t="s">
        <v>2567</v>
      </c>
      <c r="BU2156" t="s">
        <v>682</v>
      </c>
      <c r="BV2156" t="s">
        <v>680</v>
      </c>
    </row>
    <row r="2157" spans="68:74" x14ac:dyDescent="0.25">
      <c r="BQ2157">
        <v>60500073</v>
      </c>
      <c r="BR2157" s="15" t="s">
        <v>2560</v>
      </c>
      <c r="BS2157" t="s">
        <v>2561</v>
      </c>
      <c r="BT2157" t="s">
        <v>2568</v>
      </c>
      <c r="BU2157" t="s">
        <v>682</v>
      </c>
      <c r="BV2157" t="s">
        <v>680</v>
      </c>
    </row>
    <row r="2158" spans="68:74" x14ac:dyDescent="0.25">
      <c r="BQ2158">
        <v>60500083</v>
      </c>
      <c r="BR2158" s="15" t="s">
        <v>2560</v>
      </c>
      <c r="BS2158" t="s">
        <v>2561</v>
      </c>
      <c r="BT2158" t="s">
        <v>2569</v>
      </c>
      <c r="BU2158" t="s">
        <v>682</v>
      </c>
      <c r="BV2158" t="s">
        <v>680</v>
      </c>
    </row>
    <row r="2159" spans="68:74" x14ac:dyDescent="0.25">
      <c r="BQ2159">
        <v>60500103</v>
      </c>
      <c r="BR2159" s="15" t="s">
        <v>2560</v>
      </c>
      <c r="BS2159" t="s">
        <v>2561</v>
      </c>
      <c r="BT2159" t="s">
        <v>2570</v>
      </c>
      <c r="BU2159" t="s">
        <v>682</v>
      </c>
      <c r="BV2159" t="s">
        <v>680</v>
      </c>
    </row>
    <row r="2160" spans="68:74" x14ac:dyDescent="0.25">
      <c r="BP2160">
        <v>12954</v>
      </c>
      <c r="BQ2160">
        <v>70100013</v>
      </c>
      <c r="BR2160" s="15" t="s">
        <v>279</v>
      </c>
      <c r="BS2160" t="s">
        <v>274</v>
      </c>
      <c r="BT2160" t="s">
        <v>274</v>
      </c>
      <c r="BU2160" t="s">
        <v>682</v>
      </c>
      <c r="BV2160" t="s">
        <v>1153</v>
      </c>
    </row>
    <row r="2161" spans="68:74" x14ac:dyDescent="0.25">
      <c r="BP2161">
        <v>12964</v>
      </c>
      <c r="BQ2161">
        <v>70100833</v>
      </c>
      <c r="BR2161" s="15" t="s">
        <v>279</v>
      </c>
      <c r="BS2161" t="s">
        <v>274</v>
      </c>
      <c r="BT2161" t="s">
        <v>2571</v>
      </c>
      <c r="BU2161" t="s">
        <v>682</v>
      </c>
      <c r="BV2161" t="s">
        <v>1153</v>
      </c>
    </row>
    <row r="2162" spans="68:74" x14ac:dyDescent="0.25">
      <c r="BQ2162">
        <v>70100022</v>
      </c>
      <c r="BR2162" s="15" t="s">
        <v>279</v>
      </c>
      <c r="BS2162" t="s">
        <v>274</v>
      </c>
      <c r="BT2162" t="s">
        <v>2572</v>
      </c>
      <c r="BU2162" t="s">
        <v>681</v>
      </c>
      <c r="BV2162" t="s">
        <v>680</v>
      </c>
    </row>
    <row r="2163" spans="68:74" x14ac:dyDescent="0.25">
      <c r="BQ2163">
        <v>70200023</v>
      </c>
      <c r="BR2163" s="15" t="s">
        <v>280</v>
      </c>
      <c r="BS2163" t="s">
        <v>275</v>
      </c>
      <c r="BT2163" t="s">
        <v>275</v>
      </c>
      <c r="BU2163" t="s">
        <v>682</v>
      </c>
      <c r="BV2163" t="s">
        <v>680</v>
      </c>
    </row>
    <row r="2164" spans="68:74" x14ac:dyDescent="0.25">
      <c r="BP2164">
        <v>12090</v>
      </c>
      <c r="BQ2164">
        <v>70300023</v>
      </c>
      <c r="BR2164" s="15" t="s">
        <v>281</v>
      </c>
      <c r="BS2164" t="s">
        <v>276</v>
      </c>
      <c r="BT2164" t="s">
        <v>276</v>
      </c>
      <c r="BU2164" t="s">
        <v>682</v>
      </c>
      <c r="BV2164" t="s">
        <v>1153</v>
      </c>
    </row>
    <row r="2165" spans="68:74" x14ac:dyDescent="0.25">
      <c r="BP2165">
        <v>12092</v>
      </c>
      <c r="BQ2165">
        <v>70300143</v>
      </c>
      <c r="BR2165" s="15" t="s">
        <v>281</v>
      </c>
      <c r="BS2165" t="s">
        <v>276</v>
      </c>
      <c r="BT2165" t="s">
        <v>2573</v>
      </c>
      <c r="BU2165" t="s">
        <v>682</v>
      </c>
      <c r="BV2165" t="s">
        <v>1153</v>
      </c>
    </row>
    <row r="2166" spans="68:74" x14ac:dyDescent="0.25">
      <c r="BQ2166">
        <v>70400112</v>
      </c>
      <c r="BR2166" s="15" t="s">
        <v>282</v>
      </c>
      <c r="BS2166" t="s">
        <v>277</v>
      </c>
      <c r="BT2166" t="s">
        <v>1879</v>
      </c>
      <c r="BU2166" t="s">
        <v>681</v>
      </c>
      <c r="BV2166" t="s">
        <v>680</v>
      </c>
    </row>
    <row r="2167" spans="68:74" x14ac:dyDescent="0.25">
      <c r="BQ2167">
        <v>70400113</v>
      </c>
      <c r="BR2167" s="15" t="s">
        <v>282</v>
      </c>
      <c r="BS2167" t="s">
        <v>277</v>
      </c>
      <c r="BT2167" t="s">
        <v>1879</v>
      </c>
      <c r="BU2167" t="s">
        <v>682</v>
      </c>
      <c r="BV2167" t="s">
        <v>680</v>
      </c>
    </row>
    <row r="2168" spans="68:74" x14ac:dyDescent="0.25">
      <c r="BQ2168">
        <v>70400143</v>
      </c>
      <c r="BR2168" s="15" t="s">
        <v>282</v>
      </c>
      <c r="BS2168" t="s">
        <v>277</v>
      </c>
      <c r="BT2168" t="s">
        <v>2574</v>
      </c>
      <c r="BU2168" t="s">
        <v>682</v>
      </c>
      <c r="BV2168" t="s">
        <v>680</v>
      </c>
    </row>
    <row r="2169" spans="68:74" x14ac:dyDescent="0.25">
      <c r="BQ2169">
        <v>70400022</v>
      </c>
      <c r="BR2169" s="15" t="s">
        <v>282</v>
      </c>
      <c r="BS2169" t="s">
        <v>277</v>
      </c>
      <c r="BT2169" t="s">
        <v>278</v>
      </c>
      <c r="BU2169" t="s">
        <v>681</v>
      </c>
      <c r="BV2169" t="s">
        <v>680</v>
      </c>
    </row>
    <row r="2170" spans="68:74" x14ac:dyDescent="0.25">
      <c r="BQ2170">
        <v>70400023</v>
      </c>
      <c r="BR2170" s="15" t="s">
        <v>282</v>
      </c>
      <c r="BS2170" t="s">
        <v>277</v>
      </c>
      <c r="BT2170" t="s">
        <v>278</v>
      </c>
      <c r="BU2170" t="s">
        <v>682</v>
      </c>
      <c r="BV2170" t="s">
        <v>680</v>
      </c>
    </row>
    <row r="2171" spans="68:74" x14ac:dyDescent="0.25">
      <c r="BQ2171">
        <v>70400032</v>
      </c>
      <c r="BR2171" s="15" t="s">
        <v>282</v>
      </c>
      <c r="BS2171" t="s">
        <v>277</v>
      </c>
      <c r="BT2171" t="s">
        <v>2575</v>
      </c>
      <c r="BU2171" t="s">
        <v>681</v>
      </c>
      <c r="BV2171" t="s">
        <v>680</v>
      </c>
    </row>
    <row r="2172" spans="68:74" x14ac:dyDescent="0.25">
      <c r="BQ2172">
        <v>70400033</v>
      </c>
      <c r="BR2172" s="15" t="s">
        <v>282</v>
      </c>
      <c r="BS2172" t="s">
        <v>277</v>
      </c>
      <c r="BT2172" t="s">
        <v>2575</v>
      </c>
      <c r="BU2172" t="s">
        <v>682</v>
      </c>
      <c r="BV2172" t="s">
        <v>680</v>
      </c>
    </row>
    <row r="2173" spans="68:74" x14ac:dyDescent="0.25">
      <c r="BQ2173">
        <v>7040001304</v>
      </c>
      <c r="BR2173" s="15" t="s">
        <v>282</v>
      </c>
      <c r="BS2173" t="s">
        <v>277</v>
      </c>
      <c r="BT2173" t="s">
        <v>2576</v>
      </c>
      <c r="BU2173" t="s">
        <v>682</v>
      </c>
      <c r="BV2173" t="s">
        <v>1149</v>
      </c>
    </row>
    <row r="2174" spans="68:74" x14ac:dyDescent="0.25">
      <c r="BQ2174">
        <v>7040001301</v>
      </c>
      <c r="BR2174" s="15" t="s">
        <v>282</v>
      </c>
      <c r="BS2174" t="s">
        <v>277</v>
      </c>
      <c r="BT2174" t="s">
        <v>2577</v>
      </c>
      <c r="BU2174" t="s">
        <v>682</v>
      </c>
      <c r="BV2174" t="s">
        <v>1153</v>
      </c>
    </row>
    <row r="2175" spans="68:74" x14ac:dyDescent="0.25">
      <c r="BQ2175">
        <v>7040001302</v>
      </c>
      <c r="BR2175" s="15" t="s">
        <v>282</v>
      </c>
      <c r="BS2175" t="s">
        <v>277</v>
      </c>
      <c r="BT2175" t="s">
        <v>2578</v>
      </c>
      <c r="BU2175" t="s">
        <v>682</v>
      </c>
      <c r="BV2175" t="s">
        <v>1149</v>
      </c>
    </row>
    <row r="2176" spans="68:74" x14ac:dyDescent="0.25">
      <c r="BQ2176">
        <v>7040001302</v>
      </c>
      <c r="BR2176" s="15" t="s">
        <v>282</v>
      </c>
      <c r="BS2176" t="s">
        <v>277</v>
      </c>
      <c r="BT2176" t="s">
        <v>2578</v>
      </c>
      <c r="BU2176" t="s">
        <v>682</v>
      </c>
      <c r="BV2176" t="s">
        <v>1153</v>
      </c>
    </row>
    <row r="2177" spans="68:74" x14ac:dyDescent="0.25">
      <c r="BQ2177">
        <v>70400153</v>
      </c>
      <c r="BR2177" s="15" t="s">
        <v>282</v>
      </c>
      <c r="BS2177" t="s">
        <v>277</v>
      </c>
      <c r="BT2177" t="s">
        <v>2579</v>
      </c>
      <c r="BU2177" t="s">
        <v>682</v>
      </c>
      <c r="BV2177" t="s">
        <v>680</v>
      </c>
    </row>
    <row r="2178" spans="68:74" x14ac:dyDescent="0.25">
      <c r="BQ2178">
        <v>70400162</v>
      </c>
      <c r="BR2178" s="15" t="s">
        <v>282</v>
      </c>
      <c r="BS2178" t="s">
        <v>277</v>
      </c>
      <c r="BT2178" t="s">
        <v>2580</v>
      </c>
      <c r="BU2178" t="s">
        <v>681</v>
      </c>
      <c r="BV2178" t="s">
        <v>680</v>
      </c>
    </row>
    <row r="2179" spans="68:74" x14ac:dyDescent="0.25">
      <c r="BQ2179">
        <v>70400163</v>
      </c>
      <c r="BR2179" s="15" t="s">
        <v>282</v>
      </c>
      <c r="BS2179" t="s">
        <v>277</v>
      </c>
      <c r="BT2179" t="s">
        <v>2580</v>
      </c>
      <c r="BU2179" t="s">
        <v>682</v>
      </c>
      <c r="BV2179" t="s">
        <v>680</v>
      </c>
    </row>
    <row r="2180" spans="68:74" x14ac:dyDescent="0.25">
      <c r="BP2180">
        <v>12966</v>
      </c>
      <c r="BQ2180">
        <v>70400012</v>
      </c>
      <c r="BR2180" s="15" t="s">
        <v>282</v>
      </c>
      <c r="BS2180" t="s">
        <v>277</v>
      </c>
      <c r="BT2180" t="s">
        <v>2581</v>
      </c>
      <c r="BU2180" t="s">
        <v>681</v>
      </c>
      <c r="BV2180" t="s">
        <v>1153</v>
      </c>
    </row>
    <row r="2181" spans="68:74" x14ac:dyDescent="0.25">
      <c r="BQ2181">
        <v>7040001303</v>
      </c>
      <c r="BR2181" s="15" t="s">
        <v>282</v>
      </c>
      <c r="BS2181" t="s">
        <v>277</v>
      </c>
      <c r="BT2181" t="s">
        <v>2582</v>
      </c>
      <c r="BU2181" t="s">
        <v>682</v>
      </c>
      <c r="BV2181" t="s">
        <v>1153</v>
      </c>
    </row>
    <row r="2182" spans="68:74" x14ac:dyDescent="0.25">
      <c r="BQ2182">
        <v>70400042</v>
      </c>
      <c r="BR2182" s="15" t="s">
        <v>282</v>
      </c>
      <c r="BS2182" t="s">
        <v>277</v>
      </c>
      <c r="BT2182" t="s">
        <v>2583</v>
      </c>
      <c r="BU2182" t="s">
        <v>681</v>
      </c>
      <c r="BV2182" t="s">
        <v>680</v>
      </c>
    </row>
    <row r="2183" spans="68:74" x14ac:dyDescent="0.25">
      <c r="BQ2183">
        <v>70400133</v>
      </c>
      <c r="BR2183" s="15" t="s">
        <v>282</v>
      </c>
      <c r="BS2183" t="s">
        <v>277</v>
      </c>
      <c r="BT2183" t="s">
        <v>2584</v>
      </c>
      <c r="BU2183" t="s">
        <v>682</v>
      </c>
      <c r="BV2183" t="s">
        <v>680</v>
      </c>
    </row>
    <row r="2184" spans="68:74" x14ac:dyDescent="0.25">
      <c r="BQ2184">
        <v>7050001304</v>
      </c>
      <c r="BR2184" s="15" t="s">
        <v>283</v>
      </c>
      <c r="BS2184" t="s">
        <v>278</v>
      </c>
      <c r="BT2184" t="s">
        <v>2576</v>
      </c>
      <c r="BU2184" t="s">
        <v>682</v>
      </c>
      <c r="BV2184" t="s">
        <v>680</v>
      </c>
    </row>
    <row r="2185" spans="68:74" x14ac:dyDescent="0.25">
      <c r="BQ2185">
        <v>7050021304</v>
      </c>
      <c r="BR2185" s="15" t="s">
        <v>283</v>
      </c>
      <c r="BS2185" t="s">
        <v>278</v>
      </c>
      <c r="BT2185" t="s">
        <v>2576</v>
      </c>
      <c r="BU2185" t="s">
        <v>682</v>
      </c>
      <c r="BV2185" t="s">
        <v>680</v>
      </c>
    </row>
    <row r="2186" spans="68:74" x14ac:dyDescent="0.25">
      <c r="BQ2186">
        <v>7050001301</v>
      </c>
      <c r="BR2186" s="15" t="s">
        <v>283</v>
      </c>
      <c r="BS2186" t="s">
        <v>278</v>
      </c>
      <c r="BT2186" t="s">
        <v>2577</v>
      </c>
      <c r="BU2186" t="s">
        <v>682</v>
      </c>
      <c r="BV2186" t="s">
        <v>680</v>
      </c>
    </row>
    <row r="2187" spans="68:74" x14ac:dyDescent="0.25">
      <c r="BQ2187">
        <v>7050021301</v>
      </c>
      <c r="BR2187" s="15" t="s">
        <v>283</v>
      </c>
      <c r="BS2187" t="s">
        <v>278</v>
      </c>
      <c r="BT2187" t="s">
        <v>2585</v>
      </c>
      <c r="BU2187" t="s">
        <v>682</v>
      </c>
      <c r="BV2187" t="s">
        <v>680</v>
      </c>
    </row>
    <row r="2188" spans="68:74" x14ac:dyDescent="0.25">
      <c r="BQ2188">
        <v>7050001302</v>
      </c>
      <c r="BR2188" s="15" t="s">
        <v>283</v>
      </c>
      <c r="BS2188" t="s">
        <v>278</v>
      </c>
      <c r="BT2188" t="s">
        <v>2578</v>
      </c>
      <c r="BU2188" t="s">
        <v>682</v>
      </c>
      <c r="BV2188" t="s">
        <v>680</v>
      </c>
    </row>
    <row r="2189" spans="68:74" x14ac:dyDescent="0.25">
      <c r="BQ2189">
        <v>7050021302</v>
      </c>
      <c r="BR2189" s="15" t="s">
        <v>283</v>
      </c>
      <c r="BS2189" t="s">
        <v>278</v>
      </c>
      <c r="BT2189" t="s">
        <v>2586</v>
      </c>
      <c r="BU2189" t="s">
        <v>682</v>
      </c>
      <c r="BV2189" t="s">
        <v>680</v>
      </c>
    </row>
    <row r="2190" spans="68:74" x14ac:dyDescent="0.25">
      <c r="BQ2190">
        <v>70500012</v>
      </c>
      <c r="BR2190" s="15" t="s">
        <v>283</v>
      </c>
      <c r="BS2190" t="s">
        <v>278</v>
      </c>
      <c r="BT2190" t="s">
        <v>2581</v>
      </c>
      <c r="BU2190" t="s">
        <v>681</v>
      </c>
      <c r="BV2190" t="s">
        <v>680</v>
      </c>
    </row>
    <row r="2191" spans="68:74" x14ac:dyDescent="0.25">
      <c r="BQ2191">
        <v>70500212</v>
      </c>
      <c r="BR2191" s="15" t="s">
        <v>283</v>
      </c>
      <c r="BS2191" t="s">
        <v>278</v>
      </c>
      <c r="BT2191" t="s">
        <v>2587</v>
      </c>
      <c r="BU2191" t="s">
        <v>681</v>
      </c>
      <c r="BV2191" t="s">
        <v>680</v>
      </c>
    </row>
    <row r="2192" spans="68:74" x14ac:dyDescent="0.25">
      <c r="BQ2192">
        <v>7050001303</v>
      </c>
      <c r="BR2192" s="15" t="s">
        <v>283</v>
      </c>
      <c r="BS2192" t="s">
        <v>278</v>
      </c>
      <c r="BT2192" t="s">
        <v>2588</v>
      </c>
      <c r="BU2192" t="s">
        <v>682</v>
      </c>
      <c r="BV2192" t="s">
        <v>680</v>
      </c>
    </row>
    <row r="2193" spans="68:74" x14ac:dyDescent="0.25">
      <c r="BQ2193">
        <v>7050021303</v>
      </c>
      <c r="BR2193" s="15" t="s">
        <v>283</v>
      </c>
      <c r="BS2193" t="s">
        <v>278</v>
      </c>
      <c r="BT2193" t="s">
        <v>2582</v>
      </c>
      <c r="BU2193" t="s">
        <v>682</v>
      </c>
      <c r="BV2193" t="s">
        <v>680</v>
      </c>
    </row>
    <row r="2194" spans="68:74" x14ac:dyDescent="0.25">
      <c r="BP2194">
        <v>12969</v>
      </c>
      <c r="BQ2194">
        <v>70500042</v>
      </c>
      <c r="BR2194" s="15" t="s">
        <v>283</v>
      </c>
      <c r="BS2194" t="s">
        <v>278</v>
      </c>
      <c r="BT2194" t="s">
        <v>2589</v>
      </c>
      <c r="BU2194" t="s">
        <v>681</v>
      </c>
      <c r="BV2194" t="s">
        <v>1153</v>
      </c>
    </row>
    <row r="2195" spans="68:74" x14ac:dyDescent="0.25">
      <c r="BQ2195">
        <v>70600012</v>
      </c>
      <c r="BR2195" s="15" t="s">
        <v>2590</v>
      </c>
      <c r="BS2195" t="s">
        <v>2591</v>
      </c>
      <c r="BT2195" t="s">
        <v>2591</v>
      </c>
      <c r="BU2195" t="s">
        <v>681</v>
      </c>
      <c r="BV2195" t="s">
        <v>680</v>
      </c>
    </row>
    <row r="2196" spans="68:74" x14ac:dyDescent="0.25">
      <c r="BQ2196">
        <v>70600013</v>
      </c>
      <c r="BR2196" s="15" t="s">
        <v>2590</v>
      </c>
      <c r="BS2196" t="s">
        <v>2591</v>
      </c>
      <c r="BT2196" t="s">
        <v>2591</v>
      </c>
      <c r="BU2196" t="s">
        <v>682</v>
      </c>
      <c r="BV2196" t="s">
        <v>680</v>
      </c>
    </row>
    <row r="2197" spans="68:74" x14ac:dyDescent="0.25">
      <c r="BQ2197">
        <v>80100053</v>
      </c>
      <c r="BR2197" s="15" t="s">
        <v>2592</v>
      </c>
      <c r="BS2197" t="s">
        <v>2593</v>
      </c>
      <c r="BT2197" t="s">
        <v>2594</v>
      </c>
      <c r="BU2197" t="s">
        <v>682</v>
      </c>
      <c r="BV2197" t="s">
        <v>680</v>
      </c>
    </row>
    <row r="2198" spans="68:74" x14ac:dyDescent="0.25">
      <c r="BQ2198">
        <v>80100093</v>
      </c>
      <c r="BR2198" s="15" t="s">
        <v>2592</v>
      </c>
      <c r="BS2198" t="s">
        <v>2593</v>
      </c>
      <c r="BT2198" t="s">
        <v>2595</v>
      </c>
      <c r="BU2198" t="s">
        <v>682</v>
      </c>
      <c r="BV2198" t="s">
        <v>680</v>
      </c>
    </row>
    <row r="2199" spans="68:74" x14ac:dyDescent="0.25">
      <c r="BQ2199">
        <v>80100013</v>
      </c>
      <c r="BR2199" s="15" t="s">
        <v>2592</v>
      </c>
      <c r="BS2199" t="s">
        <v>2593</v>
      </c>
      <c r="BT2199" t="s">
        <v>2596</v>
      </c>
      <c r="BU2199" t="s">
        <v>682</v>
      </c>
      <c r="BV2199" t="s">
        <v>680</v>
      </c>
    </row>
    <row r="2200" spans="68:74" x14ac:dyDescent="0.25">
      <c r="BQ2200">
        <v>80100083</v>
      </c>
      <c r="BR2200" s="15" t="s">
        <v>2592</v>
      </c>
      <c r="BS2200" t="s">
        <v>2593</v>
      </c>
      <c r="BT2200" t="s">
        <v>2596</v>
      </c>
      <c r="BU2200" t="s">
        <v>682</v>
      </c>
      <c r="BV2200" t="s">
        <v>680</v>
      </c>
    </row>
    <row r="2201" spans="68:74" x14ac:dyDescent="0.25">
      <c r="BQ2201">
        <v>80100112</v>
      </c>
      <c r="BR2201" s="15" t="s">
        <v>2592</v>
      </c>
      <c r="BS2201" t="s">
        <v>2593</v>
      </c>
      <c r="BT2201" t="s">
        <v>2597</v>
      </c>
      <c r="BU2201" t="s">
        <v>681</v>
      </c>
      <c r="BV2201" t="s">
        <v>680</v>
      </c>
    </row>
    <row r="2202" spans="68:74" x14ac:dyDescent="0.25">
      <c r="BQ2202">
        <v>80100033</v>
      </c>
      <c r="BR2202" s="15" t="s">
        <v>2592</v>
      </c>
      <c r="BS2202" t="s">
        <v>2593</v>
      </c>
      <c r="BT2202" t="s">
        <v>2598</v>
      </c>
      <c r="BU2202" t="s">
        <v>682</v>
      </c>
      <c r="BV2202" t="s">
        <v>680</v>
      </c>
    </row>
    <row r="2203" spans="68:74" x14ac:dyDescent="0.25">
      <c r="BQ2203">
        <v>80100073</v>
      </c>
      <c r="BR2203" s="15" t="s">
        <v>2592</v>
      </c>
      <c r="BS2203" t="s">
        <v>2593</v>
      </c>
      <c r="BT2203" t="s">
        <v>2598</v>
      </c>
      <c r="BU2203" t="s">
        <v>682</v>
      </c>
      <c r="BV2203" t="s">
        <v>680</v>
      </c>
    </row>
    <row r="2204" spans="68:74" x14ac:dyDescent="0.25">
      <c r="BQ2204">
        <v>80100132</v>
      </c>
      <c r="BR2204" s="15" t="s">
        <v>2592</v>
      </c>
      <c r="BS2204" t="s">
        <v>2593</v>
      </c>
      <c r="BT2204" t="s">
        <v>2599</v>
      </c>
      <c r="BU2204" t="s">
        <v>681</v>
      </c>
      <c r="BV2204" t="s">
        <v>680</v>
      </c>
    </row>
    <row r="2205" spans="68:74" x14ac:dyDescent="0.25">
      <c r="BQ2205">
        <v>80100043</v>
      </c>
      <c r="BR2205" s="15" t="s">
        <v>2592</v>
      </c>
      <c r="BS2205" t="s">
        <v>2593</v>
      </c>
      <c r="BT2205" t="s">
        <v>2600</v>
      </c>
      <c r="BU2205" t="s">
        <v>682</v>
      </c>
      <c r="BV2205" t="s">
        <v>680</v>
      </c>
    </row>
    <row r="2206" spans="68:74" x14ac:dyDescent="0.25">
      <c r="BQ2206">
        <v>80100063</v>
      </c>
      <c r="BR2206" s="15" t="s">
        <v>2592</v>
      </c>
      <c r="BS2206" t="s">
        <v>2593</v>
      </c>
      <c r="BT2206" t="s">
        <v>2601</v>
      </c>
      <c r="BU2206" t="s">
        <v>682</v>
      </c>
      <c r="BV2206" t="s">
        <v>680</v>
      </c>
    </row>
    <row r="2207" spans="68:74" x14ac:dyDescent="0.25">
      <c r="BQ2207">
        <v>80100023</v>
      </c>
      <c r="BR2207" s="15" t="s">
        <v>2592</v>
      </c>
      <c r="BS2207" t="s">
        <v>2593</v>
      </c>
      <c r="BT2207" t="s">
        <v>2602</v>
      </c>
      <c r="BU2207" t="s">
        <v>682</v>
      </c>
      <c r="BV2207" t="s">
        <v>680</v>
      </c>
    </row>
    <row r="2208" spans="68:74" x14ac:dyDescent="0.25">
      <c r="BQ2208">
        <v>80100103</v>
      </c>
      <c r="BR2208" s="15" t="s">
        <v>2592</v>
      </c>
      <c r="BS2208" t="s">
        <v>2593</v>
      </c>
      <c r="BT2208" t="s">
        <v>2602</v>
      </c>
      <c r="BU2208" t="s">
        <v>682</v>
      </c>
      <c r="BV2208" t="s">
        <v>680</v>
      </c>
    </row>
    <row r="2209" spans="68:74" x14ac:dyDescent="0.25">
      <c r="BQ2209">
        <v>80100123</v>
      </c>
      <c r="BR2209" s="15" t="s">
        <v>2592</v>
      </c>
      <c r="BS2209" t="s">
        <v>2593</v>
      </c>
      <c r="BT2209" t="s">
        <v>2603</v>
      </c>
      <c r="BU2209" t="s">
        <v>682</v>
      </c>
      <c r="BV2209" t="s">
        <v>680</v>
      </c>
    </row>
    <row r="2210" spans="68:74" x14ac:dyDescent="0.25">
      <c r="BQ2210">
        <v>80200442</v>
      </c>
      <c r="BR2210" s="15" t="s">
        <v>286</v>
      </c>
      <c r="BS2210" t="s">
        <v>284</v>
      </c>
      <c r="BT2210" t="s">
        <v>2604</v>
      </c>
      <c r="BU2210" t="s">
        <v>681</v>
      </c>
      <c r="BV2210" t="s">
        <v>680</v>
      </c>
    </row>
    <row r="2211" spans="68:74" x14ac:dyDescent="0.25">
      <c r="BQ2211">
        <v>80200112</v>
      </c>
      <c r="BR2211" s="15" t="s">
        <v>286</v>
      </c>
      <c r="BS2211" t="s">
        <v>284</v>
      </c>
      <c r="BT2211" t="s">
        <v>2605</v>
      </c>
      <c r="BU2211" t="s">
        <v>681</v>
      </c>
      <c r="BV2211" t="s">
        <v>680</v>
      </c>
    </row>
    <row r="2212" spans="68:74" x14ac:dyDescent="0.25">
      <c r="BQ2212">
        <v>80200113</v>
      </c>
      <c r="BR2212" s="15" t="s">
        <v>286</v>
      </c>
      <c r="BS2212" t="s">
        <v>284</v>
      </c>
      <c r="BT2212" t="s">
        <v>2605</v>
      </c>
      <c r="BU2212" t="s">
        <v>682</v>
      </c>
      <c r="BV2212" t="s">
        <v>680</v>
      </c>
    </row>
    <row r="2213" spans="68:74" x14ac:dyDescent="0.25">
      <c r="BP2213">
        <v>12654</v>
      </c>
      <c r="BQ2213">
        <v>80200452</v>
      </c>
      <c r="BR2213" s="15" t="s">
        <v>286</v>
      </c>
      <c r="BS2213" t="s">
        <v>284</v>
      </c>
      <c r="BT2213" t="s">
        <v>2606</v>
      </c>
      <c r="BU2213" t="s">
        <v>681</v>
      </c>
      <c r="BV2213" t="s">
        <v>1153</v>
      </c>
    </row>
    <row r="2214" spans="68:74" x14ac:dyDescent="0.25">
      <c r="BP2214">
        <v>12733</v>
      </c>
      <c r="BQ2214">
        <v>8020045301</v>
      </c>
      <c r="BR2214" s="15" t="s">
        <v>286</v>
      </c>
      <c r="BS2214" t="s">
        <v>284</v>
      </c>
      <c r="BT2214" t="s">
        <v>2607</v>
      </c>
      <c r="BU2214" t="s">
        <v>682</v>
      </c>
      <c r="BV2214" t="s">
        <v>1153</v>
      </c>
    </row>
    <row r="2215" spans="68:74" x14ac:dyDescent="0.25">
      <c r="BP2215">
        <v>12735</v>
      </c>
      <c r="BQ2215">
        <v>8020045302</v>
      </c>
      <c r="BR2215" s="15" t="s">
        <v>286</v>
      </c>
      <c r="BS2215" t="s">
        <v>284</v>
      </c>
      <c r="BT2215" t="s">
        <v>2608</v>
      </c>
      <c r="BU2215" t="s">
        <v>682</v>
      </c>
      <c r="BV2215" t="s">
        <v>1153</v>
      </c>
    </row>
    <row r="2216" spans="68:74" x14ac:dyDescent="0.25">
      <c r="BQ2216">
        <v>80200222</v>
      </c>
      <c r="BR2216" s="15" t="s">
        <v>286</v>
      </c>
      <c r="BS2216" t="s">
        <v>284</v>
      </c>
      <c r="BT2216" t="s">
        <v>2609</v>
      </c>
      <c r="BU2216" t="s">
        <v>681</v>
      </c>
      <c r="BV2216" t="s">
        <v>680</v>
      </c>
    </row>
    <row r="2217" spans="68:74" x14ac:dyDescent="0.25">
      <c r="BQ2217">
        <v>80200223</v>
      </c>
      <c r="BR2217" s="15" t="s">
        <v>286</v>
      </c>
      <c r="BS2217" t="s">
        <v>284</v>
      </c>
      <c r="BT2217" t="s">
        <v>2609</v>
      </c>
      <c r="BU2217" t="s">
        <v>682</v>
      </c>
      <c r="BV2217" t="s">
        <v>680</v>
      </c>
    </row>
    <row r="2218" spans="68:74" x14ac:dyDescent="0.25">
      <c r="BQ2218">
        <v>80200082</v>
      </c>
      <c r="BR2218" s="15" t="s">
        <v>286</v>
      </c>
      <c r="BS2218" t="s">
        <v>284</v>
      </c>
      <c r="BT2218" t="s">
        <v>2610</v>
      </c>
      <c r="BU2218" t="s">
        <v>681</v>
      </c>
      <c r="BV2218" t="s">
        <v>680</v>
      </c>
    </row>
    <row r="2219" spans="68:74" x14ac:dyDescent="0.25">
      <c r="BQ2219">
        <v>80200083</v>
      </c>
      <c r="BR2219" s="15" t="s">
        <v>286</v>
      </c>
      <c r="BS2219" t="s">
        <v>284</v>
      </c>
      <c r="BT2219" t="s">
        <v>2610</v>
      </c>
      <c r="BU2219" t="s">
        <v>682</v>
      </c>
      <c r="BV2219" t="s">
        <v>680</v>
      </c>
    </row>
    <row r="2220" spans="68:74" x14ac:dyDescent="0.25">
      <c r="BQ2220">
        <v>80200143</v>
      </c>
      <c r="BR2220" s="15" t="s">
        <v>286</v>
      </c>
      <c r="BS2220" t="s">
        <v>284</v>
      </c>
      <c r="BT2220" t="s">
        <v>2597</v>
      </c>
      <c r="BU2220" t="s">
        <v>682</v>
      </c>
      <c r="BV2220" t="s">
        <v>680</v>
      </c>
    </row>
    <row r="2221" spans="68:74" x14ac:dyDescent="0.25">
      <c r="BQ2221">
        <v>80200062</v>
      </c>
      <c r="BR2221" s="15" t="s">
        <v>286</v>
      </c>
      <c r="BS2221" t="s">
        <v>284</v>
      </c>
      <c r="BT2221" t="s">
        <v>2611</v>
      </c>
      <c r="BU2221" t="s">
        <v>681</v>
      </c>
      <c r="BV2221" t="s">
        <v>680</v>
      </c>
    </row>
    <row r="2222" spans="68:74" x14ac:dyDescent="0.25">
      <c r="BQ2222">
        <v>80200063</v>
      </c>
      <c r="BR2222" s="15" t="s">
        <v>286</v>
      </c>
      <c r="BS2222" t="s">
        <v>284</v>
      </c>
      <c r="BT2222" t="s">
        <v>2611</v>
      </c>
      <c r="BU2222" t="s">
        <v>682</v>
      </c>
      <c r="BV2222" t="s">
        <v>680</v>
      </c>
    </row>
    <row r="2223" spans="68:74" x14ac:dyDescent="0.25">
      <c r="BQ2223">
        <v>80200302</v>
      </c>
      <c r="BR2223" s="15" t="s">
        <v>286</v>
      </c>
      <c r="BS2223" t="s">
        <v>284</v>
      </c>
      <c r="BT2223" t="s">
        <v>2612</v>
      </c>
      <c r="BU2223" t="s">
        <v>681</v>
      </c>
      <c r="BV2223" t="s">
        <v>680</v>
      </c>
    </row>
    <row r="2224" spans="68:74" x14ac:dyDescent="0.25">
      <c r="BQ2224">
        <v>80200303</v>
      </c>
      <c r="BR2224" s="15" t="s">
        <v>286</v>
      </c>
      <c r="BS2224" t="s">
        <v>284</v>
      </c>
      <c r="BT2224" t="s">
        <v>2612</v>
      </c>
      <c r="BU2224" t="s">
        <v>682</v>
      </c>
      <c r="BV2224" t="s">
        <v>680</v>
      </c>
    </row>
    <row r="2225" spans="69:74" x14ac:dyDescent="0.25">
      <c r="BQ2225">
        <v>80200272</v>
      </c>
      <c r="BR2225" s="15" t="s">
        <v>286</v>
      </c>
      <c r="BS2225" t="s">
        <v>284</v>
      </c>
      <c r="BT2225" t="s">
        <v>2613</v>
      </c>
      <c r="BU2225" t="s">
        <v>681</v>
      </c>
      <c r="BV2225" t="s">
        <v>680</v>
      </c>
    </row>
    <row r="2226" spans="69:74" x14ac:dyDescent="0.25">
      <c r="BQ2226">
        <v>80200273</v>
      </c>
      <c r="BR2226" s="15" t="s">
        <v>286</v>
      </c>
      <c r="BS2226" t="s">
        <v>284</v>
      </c>
      <c r="BT2226" t="s">
        <v>2613</v>
      </c>
      <c r="BU2226" t="s">
        <v>682</v>
      </c>
      <c r="BV2226" t="s">
        <v>680</v>
      </c>
    </row>
    <row r="2227" spans="69:74" x14ac:dyDescent="0.25">
      <c r="BQ2227">
        <v>80200312</v>
      </c>
      <c r="BR2227" s="15" t="s">
        <v>286</v>
      </c>
      <c r="BS2227" t="s">
        <v>284</v>
      </c>
      <c r="BT2227" t="s">
        <v>2614</v>
      </c>
      <c r="BU2227" t="s">
        <v>681</v>
      </c>
      <c r="BV2227" t="s">
        <v>680</v>
      </c>
    </row>
    <row r="2228" spans="69:74" x14ac:dyDescent="0.25">
      <c r="BQ2228">
        <v>80200313</v>
      </c>
      <c r="BR2228" s="15" t="s">
        <v>286</v>
      </c>
      <c r="BS2228" t="s">
        <v>284</v>
      </c>
      <c r="BT2228" t="s">
        <v>2614</v>
      </c>
      <c r="BU2228" t="s">
        <v>682</v>
      </c>
      <c r="BV2228" t="s">
        <v>680</v>
      </c>
    </row>
    <row r="2229" spans="69:74" x14ac:dyDescent="0.25">
      <c r="BQ2229">
        <v>80200322</v>
      </c>
      <c r="BR2229" s="15" t="s">
        <v>286</v>
      </c>
      <c r="BS2229" t="s">
        <v>284</v>
      </c>
      <c r="BT2229" t="s">
        <v>2615</v>
      </c>
      <c r="BU2229" t="s">
        <v>681</v>
      </c>
      <c r="BV2229" t="s">
        <v>680</v>
      </c>
    </row>
    <row r="2230" spans="69:74" x14ac:dyDescent="0.25">
      <c r="BQ2230">
        <v>80200323</v>
      </c>
      <c r="BR2230" s="15" t="s">
        <v>286</v>
      </c>
      <c r="BS2230" t="s">
        <v>284</v>
      </c>
      <c r="BT2230" t="s">
        <v>2615</v>
      </c>
      <c r="BU2230" t="s">
        <v>682</v>
      </c>
      <c r="BV2230" t="s">
        <v>680</v>
      </c>
    </row>
    <row r="2231" spans="69:74" x14ac:dyDescent="0.25">
      <c r="BQ2231">
        <v>80200292</v>
      </c>
      <c r="BR2231" s="15" t="s">
        <v>286</v>
      </c>
      <c r="BS2231" t="s">
        <v>284</v>
      </c>
      <c r="BT2231" t="s">
        <v>2616</v>
      </c>
      <c r="BU2231" t="s">
        <v>681</v>
      </c>
      <c r="BV2231" t="s">
        <v>680</v>
      </c>
    </row>
    <row r="2232" spans="69:74" x14ac:dyDescent="0.25">
      <c r="BQ2232">
        <v>80200293</v>
      </c>
      <c r="BR2232" s="15" t="s">
        <v>286</v>
      </c>
      <c r="BS2232" t="s">
        <v>284</v>
      </c>
      <c r="BT2232" t="s">
        <v>2616</v>
      </c>
      <c r="BU2232" t="s">
        <v>682</v>
      </c>
      <c r="BV2232" t="s">
        <v>680</v>
      </c>
    </row>
    <row r="2233" spans="69:74" x14ac:dyDescent="0.25">
      <c r="BQ2233">
        <v>80200282</v>
      </c>
      <c r="BR2233" s="15" t="s">
        <v>286</v>
      </c>
      <c r="BS2233" t="s">
        <v>284</v>
      </c>
      <c r="BT2233" t="s">
        <v>2617</v>
      </c>
      <c r="BU2233" t="s">
        <v>681</v>
      </c>
      <c r="BV2233" t="s">
        <v>680</v>
      </c>
    </row>
    <row r="2234" spans="69:74" x14ac:dyDescent="0.25">
      <c r="BQ2234">
        <v>80200283</v>
      </c>
      <c r="BR2234" s="15" t="s">
        <v>286</v>
      </c>
      <c r="BS2234" t="s">
        <v>284</v>
      </c>
      <c r="BT2234" t="s">
        <v>2617</v>
      </c>
      <c r="BU2234" t="s">
        <v>682</v>
      </c>
      <c r="BV2234" t="s">
        <v>680</v>
      </c>
    </row>
    <row r="2235" spans="69:74" x14ac:dyDescent="0.25">
      <c r="BQ2235">
        <v>80200072</v>
      </c>
      <c r="BR2235" s="15" t="s">
        <v>286</v>
      </c>
      <c r="BS2235" t="s">
        <v>284</v>
      </c>
      <c r="BT2235" t="s">
        <v>2618</v>
      </c>
      <c r="BU2235" t="s">
        <v>681</v>
      </c>
      <c r="BV2235" t="s">
        <v>680</v>
      </c>
    </row>
    <row r="2236" spans="69:74" x14ac:dyDescent="0.25">
      <c r="BQ2236">
        <v>80200073</v>
      </c>
      <c r="BR2236" s="15" t="s">
        <v>286</v>
      </c>
      <c r="BS2236" t="s">
        <v>284</v>
      </c>
      <c r="BT2236" t="s">
        <v>2618</v>
      </c>
      <c r="BU2236" t="s">
        <v>682</v>
      </c>
      <c r="BV2236" t="s">
        <v>680</v>
      </c>
    </row>
    <row r="2237" spans="69:74" x14ac:dyDescent="0.25">
      <c r="BQ2237">
        <v>80200192</v>
      </c>
      <c r="BR2237" s="15" t="s">
        <v>286</v>
      </c>
      <c r="BS2237" t="s">
        <v>284</v>
      </c>
      <c r="BT2237" t="s">
        <v>2619</v>
      </c>
      <c r="BU2237" t="s">
        <v>681</v>
      </c>
      <c r="BV2237" t="s">
        <v>680</v>
      </c>
    </row>
    <row r="2238" spans="69:74" x14ac:dyDescent="0.25">
      <c r="BQ2238">
        <v>80200193</v>
      </c>
      <c r="BR2238" s="15" t="s">
        <v>286</v>
      </c>
      <c r="BS2238" t="s">
        <v>284</v>
      </c>
      <c r="BT2238" t="s">
        <v>2619</v>
      </c>
      <c r="BU2238" t="s">
        <v>682</v>
      </c>
      <c r="BV2238" t="s">
        <v>680</v>
      </c>
    </row>
    <row r="2239" spans="69:74" x14ac:dyDescent="0.25">
      <c r="BQ2239">
        <v>80200162</v>
      </c>
      <c r="BR2239" s="15" t="s">
        <v>286</v>
      </c>
      <c r="BS2239" t="s">
        <v>284</v>
      </c>
      <c r="BT2239" t="s">
        <v>2620</v>
      </c>
      <c r="BU2239" t="s">
        <v>681</v>
      </c>
      <c r="BV2239" t="s">
        <v>680</v>
      </c>
    </row>
    <row r="2240" spans="69:74" x14ac:dyDescent="0.25">
      <c r="BQ2240">
        <v>80200163</v>
      </c>
      <c r="BR2240" s="15" t="s">
        <v>286</v>
      </c>
      <c r="BS2240" t="s">
        <v>284</v>
      </c>
      <c r="BT2240" t="s">
        <v>2620</v>
      </c>
      <c r="BU2240" t="s">
        <v>682</v>
      </c>
      <c r="BV2240" t="s">
        <v>680</v>
      </c>
    </row>
    <row r="2241" spans="69:74" x14ac:dyDescent="0.25">
      <c r="BQ2241">
        <v>80200122</v>
      </c>
      <c r="BR2241" s="15" t="s">
        <v>286</v>
      </c>
      <c r="BS2241" t="s">
        <v>284</v>
      </c>
      <c r="BT2241" t="s">
        <v>2621</v>
      </c>
      <c r="BU2241" t="s">
        <v>681</v>
      </c>
      <c r="BV2241" t="s">
        <v>680</v>
      </c>
    </row>
    <row r="2242" spans="69:74" x14ac:dyDescent="0.25">
      <c r="BQ2242">
        <v>80200123</v>
      </c>
      <c r="BR2242" s="15" t="s">
        <v>286</v>
      </c>
      <c r="BS2242" t="s">
        <v>284</v>
      </c>
      <c r="BT2242" t="s">
        <v>2621</v>
      </c>
      <c r="BU2242" t="s">
        <v>682</v>
      </c>
      <c r="BV2242" t="s">
        <v>680</v>
      </c>
    </row>
    <row r="2243" spans="69:74" x14ac:dyDescent="0.25">
      <c r="BQ2243">
        <v>80200012</v>
      </c>
      <c r="BR2243" s="15" t="s">
        <v>286</v>
      </c>
      <c r="BS2243" t="s">
        <v>284</v>
      </c>
      <c r="BT2243" t="s">
        <v>2598</v>
      </c>
      <c r="BU2243" t="s">
        <v>681</v>
      </c>
      <c r="BV2243" t="s">
        <v>680</v>
      </c>
    </row>
    <row r="2244" spans="69:74" x14ac:dyDescent="0.25">
      <c r="BQ2244">
        <v>80200423</v>
      </c>
      <c r="BR2244" s="15" t="s">
        <v>286</v>
      </c>
      <c r="BS2244" t="s">
        <v>284</v>
      </c>
      <c r="BT2244" t="s">
        <v>2622</v>
      </c>
      <c r="BU2244" t="s">
        <v>682</v>
      </c>
      <c r="BV2244" t="s">
        <v>680</v>
      </c>
    </row>
    <row r="2245" spans="69:74" x14ac:dyDescent="0.25">
      <c r="BQ2245">
        <v>80200182</v>
      </c>
      <c r="BR2245" s="15" t="s">
        <v>286</v>
      </c>
      <c r="BS2245" t="s">
        <v>284</v>
      </c>
      <c r="BT2245" t="s">
        <v>2623</v>
      </c>
      <c r="BU2245" t="s">
        <v>681</v>
      </c>
      <c r="BV2245" t="s">
        <v>680</v>
      </c>
    </row>
    <row r="2246" spans="69:74" x14ac:dyDescent="0.25">
      <c r="BQ2246">
        <v>80200183</v>
      </c>
      <c r="BR2246" s="15" t="s">
        <v>286</v>
      </c>
      <c r="BS2246" t="s">
        <v>284</v>
      </c>
      <c r="BT2246" t="s">
        <v>2623</v>
      </c>
      <c r="BU2246" t="s">
        <v>682</v>
      </c>
      <c r="BV2246" t="s">
        <v>680</v>
      </c>
    </row>
    <row r="2247" spans="69:74" x14ac:dyDescent="0.25">
      <c r="BQ2247">
        <v>80200232</v>
      </c>
      <c r="BR2247" s="15" t="s">
        <v>286</v>
      </c>
      <c r="BS2247" t="s">
        <v>284</v>
      </c>
      <c r="BT2247" t="s">
        <v>2624</v>
      </c>
      <c r="BU2247" t="s">
        <v>681</v>
      </c>
      <c r="BV2247" t="s">
        <v>680</v>
      </c>
    </row>
    <row r="2248" spans="69:74" x14ac:dyDescent="0.25">
      <c r="BQ2248">
        <v>80200233</v>
      </c>
      <c r="BR2248" s="15" t="s">
        <v>286</v>
      </c>
      <c r="BS2248" t="s">
        <v>284</v>
      </c>
      <c r="BT2248" t="s">
        <v>2624</v>
      </c>
      <c r="BU2248" t="s">
        <v>682</v>
      </c>
      <c r="BV2248" t="s">
        <v>680</v>
      </c>
    </row>
    <row r="2249" spans="69:74" x14ac:dyDescent="0.25">
      <c r="BQ2249">
        <v>80200462</v>
      </c>
      <c r="BR2249" s="15" t="s">
        <v>286</v>
      </c>
      <c r="BS2249" t="s">
        <v>284</v>
      </c>
      <c r="BT2249" t="s">
        <v>2625</v>
      </c>
      <c r="BU2249" t="s">
        <v>681</v>
      </c>
      <c r="BV2249" t="s">
        <v>680</v>
      </c>
    </row>
    <row r="2250" spans="69:74" x14ac:dyDescent="0.25">
      <c r="BQ2250">
        <v>80200472</v>
      </c>
      <c r="BR2250" s="15" t="s">
        <v>286</v>
      </c>
      <c r="BS2250" t="s">
        <v>284</v>
      </c>
      <c r="BT2250" t="s">
        <v>2626</v>
      </c>
      <c r="BU2250" t="s">
        <v>681</v>
      </c>
      <c r="BV2250" t="s">
        <v>680</v>
      </c>
    </row>
    <row r="2251" spans="69:74" x14ac:dyDescent="0.25">
      <c r="BQ2251">
        <v>80200473</v>
      </c>
      <c r="BR2251" s="15" t="s">
        <v>286</v>
      </c>
      <c r="BS2251" t="s">
        <v>284</v>
      </c>
      <c r="BT2251" t="s">
        <v>2626</v>
      </c>
      <c r="BU2251" t="s">
        <v>682</v>
      </c>
      <c r="BV2251" t="s">
        <v>680</v>
      </c>
    </row>
    <row r="2252" spans="69:74" x14ac:dyDescent="0.25">
      <c r="BQ2252">
        <v>80200132</v>
      </c>
      <c r="BR2252" s="15" t="s">
        <v>286</v>
      </c>
      <c r="BS2252" t="s">
        <v>284</v>
      </c>
      <c r="BT2252" t="s">
        <v>2627</v>
      </c>
      <c r="BU2252" t="s">
        <v>681</v>
      </c>
      <c r="BV2252" t="s">
        <v>680</v>
      </c>
    </row>
    <row r="2253" spans="69:74" x14ac:dyDescent="0.25">
      <c r="BQ2253">
        <v>80200133</v>
      </c>
      <c r="BR2253" s="15" t="s">
        <v>286</v>
      </c>
      <c r="BS2253" t="s">
        <v>284</v>
      </c>
      <c r="BT2253" t="s">
        <v>2627</v>
      </c>
      <c r="BU2253" t="s">
        <v>682</v>
      </c>
      <c r="BV2253" t="s">
        <v>680</v>
      </c>
    </row>
    <row r="2254" spans="69:74" x14ac:dyDescent="0.25">
      <c r="BQ2254">
        <v>80200482</v>
      </c>
      <c r="BR2254" s="15" t="s">
        <v>286</v>
      </c>
      <c r="BS2254" t="s">
        <v>284</v>
      </c>
      <c r="BT2254" t="s">
        <v>2628</v>
      </c>
      <c r="BU2254" t="s">
        <v>681</v>
      </c>
      <c r="BV2254" t="s">
        <v>680</v>
      </c>
    </row>
    <row r="2255" spans="69:74" x14ac:dyDescent="0.25">
      <c r="BQ2255">
        <v>80200492</v>
      </c>
      <c r="BR2255" s="15" t="s">
        <v>286</v>
      </c>
      <c r="BS2255" t="s">
        <v>284</v>
      </c>
      <c r="BT2255" t="s">
        <v>2629</v>
      </c>
      <c r="BU2255" t="s">
        <v>681</v>
      </c>
      <c r="BV2255" t="s">
        <v>680</v>
      </c>
    </row>
    <row r="2256" spans="69:74" x14ac:dyDescent="0.25">
      <c r="BQ2256">
        <v>80200212</v>
      </c>
      <c r="BR2256" s="15" t="s">
        <v>286</v>
      </c>
      <c r="BS2256" t="s">
        <v>284</v>
      </c>
      <c r="BT2256" t="s">
        <v>2630</v>
      </c>
      <c r="BU2256" t="s">
        <v>681</v>
      </c>
      <c r="BV2256" t="s">
        <v>680</v>
      </c>
    </row>
    <row r="2257" spans="69:74" x14ac:dyDescent="0.25">
      <c r="BQ2257">
        <v>80200213</v>
      </c>
      <c r="BR2257" s="15" t="s">
        <v>286</v>
      </c>
      <c r="BS2257" t="s">
        <v>284</v>
      </c>
      <c r="BT2257" t="s">
        <v>2630</v>
      </c>
      <c r="BU2257" t="s">
        <v>682</v>
      </c>
      <c r="BV2257" t="s">
        <v>680</v>
      </c>
    </row>
    <row r="2258" spans="69:74" x14ac:dyDescent="0.25">
      <c r="BQ2258">
        <v>80200342</v>
      </c>
      <c r="BR2258" s="15" t="s">
        <v>286</v>
      </c>
      <c r="BS2258" t="s">
        <v>284</v>
      </c>
      <c r="BT2258" t="s">
        <v>2631</v>
      </c>
      <c r="BU2258" t="s">
        <v>681</v>
      </c>
      <c r="BV2258" t="s">
        <v>680</v>
      </c>
    </row>
    <row r="2259" spans="69:74" x14ac:dyDescent="0.25">
      <c r="BQ2259">
        <v>80200343</v>
      </c>
      <c r="BR2259" s="15" t="s">
        <v>286</v>
      </c>
      <c r="BS2259" t="s">
        <v>284</v>
      </c>
      <c r="BT2259" t="s">
        <v>2631</v>
      </c>
      <c r="BU2259" t="s">
        <v>682</v>
      </c>
      <c r="BV2259" t="s">
        <v>680</v>
      </c>
    </row>
    <row r="2260" spans="69:74" x14ac:dyDescent="0.25">
      <c r="BQ2260">
        <v>80200372</v>
      </c>
      <c r="BR2260" s="15" t="s">
        <v>286</v>
      </c>
      <c r="BS2260" t="s">
        <v>284</v>
      </c>
      <c r="BT2260" t="s">
        <v>2632</v>
      </c>
      <c r="BU2260" t="s">
        <v>681</v>
      </c>
      <c r="BV2260" t="s">
        <v>680</v>
      </c>
    </row>
    <row r="2261" spans="69:74" x14ac:dyDescent="0.25">
      <c r="BQ2261">
        <v>80200373</v>
      </c>
      <c r="BR2261" s="15" t="s">
        <v>286</v>
      </c>
      <c r="BS2261" t="s">
        <v>284</v>
      </c>
      <c r="BT2261" t="s">
        <v>2632</v>
      </c>
      <c r="BU2261" t="s">
        <v>682</v>
      </c>
      <c r="BV2261" t="s">
        <v>680</v>
      </c>
    </row>
    <row r="2262" spans="69:74" x14ac:dyDescent="0.25">
      <c r="BQ2262">
        <v>80200332</v>
      </c>
      <c r="BR2262" s="15" t="s">
        <v>286</v>
      </c>
      <c r="BS2262" t="s">
        <v>284</v>
      </c>
      <c r="BT2262" t="s">
        <v>2633</v>
      </c>
      <c r="BU2262" t="s">
        <v>681</v>
      </c>
      <c r="BV2262" t="s">
        <v>680</v>
      </c>
    </row>
    <row r="2263" spans="69:74" x14ac:dyDescent="0.25">
      <c r="BQ2263">
        <v>80200333</v>
      </c>
      <c r="BR2263" s="15" t="s">
        <v>286</v>
      </c>
      <c r="BS2263" t="s">
        <v>284</v>
      </c>
      <c r="BT2263" t="s">
        <v>2633</v>
      </c>
      <c r="BU2263" t="s">
        <v>682</v>
      </c>
      <c r="BV2263" t="s">
        <v>680</v>
      </c>
    </row>
    <row r="2264" spans="69:74" x14ac:dyDescent="0.25">
      <c r="BQ2264">
        <v>80200262</v>
      </c>
      <c r="BR2264" s="15" t="s">
        <v>286</v>
      </c>
      <c r="BS2264" t="s">
        <v>284</v>
      </c>
      <c r="BT2264" t="s">
        <v>2634</v>
      </c>
      <c r="BU2264" t="s">
        <v>681</v>
      </c>
      <c r="BV2264" t="s">
        <v>680</v>
      </c>
    </row>
    <row r="2265" spans="69:74" x14ac:dyDescent="0.25">
      <c r="BQ2265">
        <v>80200263</v>
      </c>
      <c r="BR2265" s="15" t="s">
        <v>286</v>
      </c>
      <c r="BS2265" t="s">
        <v>284</v>
      </c>
      <c r="BT2265" t="s">
        <v>2634</v>
      </c>
      <c r="BU2265" t="s">
        <v>682</v>
      </c>
      <c r="BV2265" t="s">
        <v>680</v>
      </c>
    </row>
    <row r="2266" spans="69:74" x14ac:dyDescent="0.25">
      <c r="BQ2266">
        <v>80200352</v>
      </c>
      <c r="BR2266" s="15" t="s">
        <v>286</v>
      </c>
      <c r="BS2266" t="s">
        <v>284</v>
      </c>
      <c r="BT2266" t="s">
        <v>2634</v>
      </c>
      <c r="BU2266" t="s">
        <v>681</v>
      </c>
      <c r="BV2266" t="s">
        <v>680</v>
      </c>
    </row>
    <row r="2267" spans="69:74" x14ac:dyDescent="0.25">
      <c r="BQ2267">
        <v>80200353</v>
      </c>
      <c r="BR2267" s="15" t="s">
        <v>286</v>
      </c>
      <c r="BS2267" t="s">
        <v>284</v>
      </c>
      <c r="BT2267" t="s">
        <v>2634</v>
      </c>
      <c r="BU2267" t="s">
        <v>682</v>
      </c>
      <c r="BV2267" t="s">
        <v>680</v>
      </c>
    </row>
    <row r="2268" spans="69:74" x14ac:dyDescent="0.25">
      <c r="BQ2268">
        <v>80200362</v>
      </c>
      <c r="BR2268" s="15" t="s">
        <v>286</v>
      </c>
      <c r="BS2268" t="s">
        <v>284</v>
      </c>
      <c r="BT2268" t="s">
        <v>2635</v>
      </c>
      <c r="BU2268" t="s">
        <v>681</v>
      </c>
      <c r="BV2268" t="s">
        <v>680</v>
      </c>
    </row>
    <row r="2269" spans="69:74" x14ac:dyDescent="0.25">
      <c r="BQ2269">
        <v>80200363</v>
      </c>
      <c r="BR2269" s="15" t="s">
        <v>286</v>
      </c>
      <c r="BS2269" t="s">
        <v>284</v>
      </c>
      <c r="BT2269" t="s">
        <v>2635</v>
      </c>
      <c r="BU2269" t="s">
        <v>682</v>
      </c>
      <c r="BV2269" t="s">
        <v>680</v>
      </c>
    </row>
    <row r="2270" spans="69:74" x14ac:dyDescent="0.25">
      <c r="BQ2270">
        <v>80200412</v>
      </c>
      <c r="BR2270" s="15" t="s">
        <v>286</v>
      </c>
      <c r="BS2270" t="s">
        <v>284</v>
      </c>
      <c r="BT2270" t="s">
        <v>2636</v>
      </c>
      <c r="BU2270" t="s">
        <v>681</v>
      </c>
      <c r="BV2270" t="s">
        <v>680</v>
      </c>
    </row>
    <row r="2271" spans="69:74" x14ac:dyDescent="0.25">
      <c r="BQ2271">
        <v>80200413</v>
      </c>
      <c r="BR2271" s="15" t="s">
        <v>286</v>
      </c>
      <c r="BS2271" t="s">
        <v>284</v>
      </c>
      <c r="BT2271" t="s">
        <v>2636</v>
      </c>
      <c r="BU2271" t="s">
        <v>682</v>
      </c>
      <c r="BV2271" t="s">
        <v>680</v>
      </c>
    </row>
    <row r="2272" spans="69:74" x14ac:dyDescent="0.25">
      <c r="BQ2272">
        <v>80200052</v>
      </c>
      <c r="BR2272" s="15" t="s">
        <v>286</v>
      </c>
      <c r="BS2272" t="s">
        <v>284</v>
      </c>
      <c r="BT2272" t="s">
        <v>2637</v>
      </c>
      <c r="BU2272" t="s">
        <v>681</v>
      </c>
      <c r="BV2272" t="s">
        <v>680</v>
      </c>
    </row>
    <row r="2273" spans="69:74" x14ac:dyDescent="0.25">
      <c r="BQ2273">
        <v>80200053</v>
      </c>
      <c r="BR2273" s="15" t="s">
        <v>286</v>
      </c>
      <c r="BS2273" t="s">
        <v>284</v>
      </c>
      <c r="BT2273" t="s">
        <v>2637</v>
      </c>
      <c r="BU2273" t="s">
        <v>682</v>
      </c>
      <c r="BV2273" t="s">
        <v>680</v>
      </c>
    </row>
    <row r="2274" spans="69:74" x14ac:dyDescent="0.25">
      <c r="BQ2274">
        <v>80200402</v>
      </c>
      <c r="BR2274" s="15" t="s">
        <v>286</v>
      </c>
      <c r="BS2274" t="s">
        <v>284</v>
      </c>
      <c r="BT2274" t="s">
        <v>2638</v>
      </c>
      <c r="BU2274" t="s">
        <v>681</v>
      </c>
      <c r="BV2274" t="s">
        <v>680</v>
      </c>
    </row>
    <row r="2275" spans="69:74" x14ac:dyDescent="0.25">
      <c r="BQ2275">
        <v>80200403</v>
      </c>
      <c r="BR2275" s="15" t="s">
        <v>286</v>
      </c>
      <c r="BS2275" t="s">
        <v>284</v>
      </c>
      <c r="BT2275" t="s">
        <v>2638</v>
      </c>
      <c r="BU2275" t="s">
        <v>682</v>
      </c>
      <c r="BV2275" t="s">
        <v>680</v>
      </c>
    </row>
    <row r="2276" spans="69:74" x14ac:dyDescent="0.25">
      <c r="BQ2276">
        <v>80200382</v>
      </c>
      <c r="BR2276" s="15" t="s">
        <v>286</v>
      </c>
      <c r="BS2276" t="s">
        <v>284</v>
      </c>
      <c r="BT2276" t="s">
        <v>2639</v>
      </c>
      <c r="BU2276" t="s">
        <v>681</v>
      </c>
      <c r="BV2276" t="s">
        <v>680</v>
      </c>
    </row>
    <row r="2277" spans="69:74" x14ac:dyDescent="0.25">
      <c r="BQ2277">
        <v>80200383</v>
      </c>
      <c r="BR2277" s="15" t="s">
        <v>286</v>
      </c>
      <c r="BS2277" t="s">
        <v>284</v>
      </c>
      <c r="BT2277" t="s">
        <v>2639</v>
      </c>
      <c r="BU2277" t="s">
        <v>682</v>
      </c>
      <c r="BV2277" t="s">
        <v>680</v>
      </c>
    </row>
    <row r="2278" spans="69:74" x14ac:dyDescent="0.25">
      <c r="BQ2278">
        <v>80200392</v>
      </c>
      <c r="BR2278" s="15" t="s">
        <v>286</v>
      </c>
      <c r="BS2278" t="s">
        <v>284</v>
      </c>
      <c r="BT2278" t="s">
        <v>2640</v>
      </c>
      <c r="BU2278" t="s">
        <v>681</v>
      </c>
      <c r="BV2278" t="s">
        <v>680</v>
      </c>
    </row>
    <row r="2279" spans="69:74" x14ac:dyDescent="0.25">
      <c r="BQ2279">
        <v>80200393</v>
      </c>
      <c r="BR2279" s="15" t="s">
        <v>286</v>
      </c>
      <c r="BS2279" t="s">
        <v>284</v>
      </c>
      <c r="BT2279" t="s">
        <v>2640</v>
      </c>
      <c r="BU2279" t="s">
        <v>682</v>
      </c>
      <c r="BV2279" t="s">
        <v>680</v>
      </c>
    </row>
    <row r="2280" spans="69:74" x14ac:dyDescent="0.25">
      <c r="BQ2280">
        <v>80200202</v>
      </c>
      <c r="BR2280" s="15" t="s">
        <v>286</v>
      </c>
      <c r="BS2280" t="s">
        <v>284</v>
      </c>
      <c r="BT2280" t="s">
        <v>2641</v>
      </c>
      <c r="BU2280" t="s">
        <v>681</v>
      </c>
      <c r="BV2280" t="s">
        <v>680</v>
      </c>
    </row>
    <row r="2281" spans="69:74" x14ac:dyDescent="0.25">
      <c r="BQ2281">
        <v>80200203</v>
      </c>
      <c r="BR2281" s="15" t="s">
        <v>286</v>
      </c>
      <c r="BS2281" t="s">
        <v>284</v>
      </c>
      <c r="BT2281" t="s">
        <v>2641</v>
      </c>
      <c r="BU2281" t="s">
        <v>682</v>
      </c>
      <c r="BV2281" t="s">
        <v>680</v>
      </c>
    </row>
    <row r="2282" spans="69:74" x14ac:dyDescent="0.25">
      <c r="BQ2282">
        <v>80200152</v>
      </c>
      <c r="BR2282" s="15" t="s">
        <v>286</v>
      </c>
      <c r="BS2282" t="s">
        <v>284</v>
      </c>
      <c r="BT2282" t="s">
        <v>2642</v>
      </c>
      <c r="BU2282" t="s">
        <v>681</v>
      </c>
      <c r="BV2282" t="s">
        <v>680</v>
      </c>
    </row>
    <row r="2283" spans="69:74" x14ac:dyDescent="0.25">
      <c r="BQ2283">
        <v>80200153</v>
      </c>
      <c r="BR2283" s="15" t="s">
        <v>286</v>
      </c>
      <c r="BS2283" t="s">
        <v>284</v>
      </c>
      <c r="BT2283" t="s">
        <v>2642</v>
      </c>
      <c r="BU2283" t="s">
        <v>682</v>
      </c>
      <c r="BV2283" t="s">
        <v>680</v>
      </c>
    </row>
    <row r="2284" spans="69:74" x14ac:dyDescent="0.25">
      <c r="BQ2284">
        <v>80200432</v>
      </c>
      <c r="BR2284" s="15" t="s">
        <v>286</v>
      </c>
      <c r="BS2284" t="s">
        <v>284</v>
      </c>
      <c r="BT2284" t="s">
        <v>2643</v>
      </c>
      <c r="BU2284" t="s">
        <v>681</v>
      </c>
      <c r="BV2284" t="s">
        <v>680</v>
      </c>
    </row>
    <row r="2285" spans="69:74" x14ac:dyDescent="0.25">
      <c r="BQ2285">
        <v>80200433</v>
      </c>
      <c r="BR2285" s="15" t="s">
        <v>286</v>
      </c>
      <c r="BS2285" t="s">
        <v>284</v>
      </c>
      <c r="BT2285" t="s">
        <v>2643</v>
      </c>
      <c r="BU2285" t="s">
        <v>682</v>
      </c>
      <c r="BV2285" t="s">
        <v>680</v>
      </c>
    </row>
    <row r="2286" spans="69:74" x14ac:dyDescent="0.25">
      <c r="BQ2286">
        <v>80200243</v>
      </c>
      <c r="BR2286" s="15" t="s">
        <v>286</v>
      </c>
      <c r="BS2286" t="s">
        <v>284</v>
      </c>
      <c r="BT2286" t="s">
        <v>2644</v>
      </c>
      <c r="BU2286" t="s">
        <v>682</v>
      </c>
      <c r="BV2286" t="s">
        <v>680</v>
      </c>
    </row>
    <row r="2287" spans="69:74" x14ac:dyDescent="0.25">
      <c r="BQ2287">
        <v>80200102</v>
      </c>
      <c r="BR2287" s="15" t="s">
        <v>286</v>
      </c>
      <c r="BS2287" t="s">
        <v>284</v>
      </c>
      <c r="BT2287" t="s">
        <v>2645</v>
      </c>
      <c r="BU2287" t="s">
        <v>681</v>
      </c>
      <c r="BV2287" t="s">
        <v>680</v>
      </c>
    </row>
    <row r="2288" spans="69:74" x14ac:dyDescent="0.25">
      <c r="BQ2288">
        <v>80200103</v>
      </c>
      <c r="BR2288" s="15" t="s">
        <v>286</v>
      </c>
      <c r="BS2288" t="s">
        <v>284</v>
      </c>
      <c r="BT2288" t="s">
        <v>2645</v>
      </c>
      <c r="BU2288" t="s">
        <v>682</v>
      </c>
      <c r="BV2288" t="s">
        <v>680</v>
      </c>
    </row>
    <row r="2289" spans="68:74" x14ac:dyDescent="0.25">
      <c r="BQ2289">
        <v>80200092</v>
      </c>
      <c r="BR2289" s="15" t="s">
        <v>286</v>
      </c>
      <c r="BS2289" t="s">
        <v>284</v>
      </c>
      <c r="BT2289" t="s">
        <v>2646</v>
      </c>
      <c r="BU2289" t="s">
        <v>681</v>
      </c>
      <c r="BV2289" t="s">
        <v>680</v>
      </c>
    </row>
    <row r="2290" spans="68:74" x14ac:dyDescent="0.25">
      <c r="BQ2290">
        <v>80200093</v>
      </c>
      <c r="BR2290" s="15" t="s">
        <v>286</v>
      </c>
      <c r="BS2290" t="s">
        <v>284</v>
      </c>
      <c r="BT2290" t="s">
        <v>2646</v>
      </c>
      <c r="BU2290" t="s">
        <v>682</v>
      </c>
      <c r="BV2290" t="s">
        <v>680</v>
      </c>
    </row>
    <row r="2291" spans="68:74" x14ac:dyDescent="0.25">
      <c r="BQ2291">
        <v>80200022</v>
      </c>
      <c r="BR2291" s="15" t="s">
        <v>286</v>
      </c>
      <c r="BS2291" t="s">
        <v>284</v>
      </c>
      <c r="BT2291" t="s">
        <v>2647</v>
      </c>
      <c r="BU2291" t="s">
        <v>681</v>
      </c>
      <c r="BV2291" t="s">
        <v>680</v>
      </c>
    </row>
    <row r="2292" spans="68:74" x14ac:dyDescent="0.25">
      <c r="BQ2292">
        <v>80200023</v>
      </c>
      <c r="BR2292" s="15" t="s">
        <v>286</v>
      </c>
      <c r="BS2292" t="s">
        <v>284</v>
      </c>
      <c r="BT2292" t="s">
        <v>2647</v>
      </c>
      <c r="BU2292" t="s">
        <v>682</v>
      </c>
      <c r="BV2292" t="s">
        <v>680</v>
      </c>
    </row>
    <row r="2293" spans="68:74" x14ac:dyDescent="0.25">
      <c r="BQ2293">
        <v>80200253</v>
      </c>
      <c r="BR2293" s="15" t="s">
        <v>286</v>
      </c>
      <c r="BS2293" t="s">
        <v>284</v>
      </c>
      <c r="BT2293" t="s">
        <v>2647</v>
      </c>
      <c r="BU2293" t="s">
        <v>682</v>
      </c>
      <c r="BV2293" t="s">
        <v>680</v>
      </c>
    </row>
    <row r="2294" spans="68:74" x14ac:dyDescent="0.25">
      <c r="BQ2294">
        <v>80200172</v>
      </c>
      <c r="BR2294" s="15" t="s">
        <v>286</v>
      </c>
      <c r="BS2294" t="s">
        <v>284</v>
      </c>
      <c r="BT2294" t="s">
        <v>2648</v>
      </c>
      <c r="BU2294" t="s">
        <v>681</v>
      </c>
      <c r="BV2294" t="s">
        <v>680</v>
      </c>
    </row>
    <row r="2295" spans="68:74" x14ac:dyDescent="0.25">
      <c r="BQ2295">
        <v>80200173</v>
      </c>
      <c r="BR2295" s="15" t="s">
        <v>286</v>
      </c>
      <c r="BS2295" t="s">
        <v>284</v>
      </c>
      <c r="BT2295" t="s">
        <v>2648</v>
      </c>
      <c r="BU2295" t="s">
        <v>682</v>
      </c>
      <c r="BV2295" t="s">
        <v>680</v>
      </c>
    </row>
    <row r="2296" spans="68:74" x14ac:dyDescent="0.25">
      <c r="BQ2296">
        <v>80200042</v>
      </c>
      <c r="BR2296" s="15" t="s">
        <v>286</v>
      </c>
      <c r="BS2296" t="s">
        <v>284</v>
      </c>
      <c r="BT2296" t="s">
        <v>2649</v>
      </c>
      <c r="BU2296" t="s">
        <v>681</v>
      </c>
      <c r="BV2296" t="s">
        <v>680</v>
      </c>
    </row>
    <row r="2297" spans="68:74" x14ac:dyDescent="0.25">
      <c r="BQ2297">
        <v>80200043</v>
      </c>
      <c r="BR2297" s="15" t="s">
        <v>286</v>
      </c>
      <c r="BS2297" t="s">
        <v>284</v>
      </c>
      <c r="BT2297" t="s">
        <v>2649</v>
      </c>
      <c r="BU2297" t="s">
        <v>682</v>
      </c>
      <c r="BV2297" t="s">
        <v>680</v>
      </c>
    </row>
    <row r="2298" spans="68:74" x14ac:dyDescent="0.25">
      <c r="BQ2298">
        <v>80200033</v>
      </c>
      <c r="BR2298" s="15" t="s">
        <v>286</v>
      </c>
      <c r="BS2298" t="s">
        <v>284</v>
      </c>
      <c r="BT2298" t="s">
        <v>2650</v>
      </c>
      <c r="BU2298" t="s">
        <v>682</v>
      </c>
      <c r="BV2298" t="s">
        <v>680</v>
      </c>
    </row>
    <row r="2299" spans="68:74" x14ac:dyDescent="0.25">
      <c r="BP2299">
        <v>67129</v>
      </c>
      <c r="BQ2299">
        <v>8030118302</v>
      </c>
      <c r="BR2299" s="15" t="s">
        <v>287</v>
      </c>
      <c r="BS2299" t="s">
        <v>285</v>
      </c>
      <c r="BT2299" t="s">
        <v>2651</v>
      </c>
      <c r="BU2299" t="s">
        <v>682</v>
      </c>
      <c r="BV2299" t="s">
        <v>1153</v>
      </c>
    </row>
    <row r="2300" spans="68:74" x14ac:dyDescent="0.25">
      <c r="BP2300">
        <v>586099</v>
      </c>
      <c r="BQ2300">
        <v>80301663</v>
      </c>
      <c r="BR2300" s="15" t="s">
        <v>287</v>
      </c>
      <c r="BS2300" t="s">
        <v>285</v>
      </c>
      <c r="BT2300" t="s">
        <v>4683</v>
      </c>
      <c r="BU2300" t="s">
        <v>682</v>
      </c>
      <c r="BV2300" t="s">
        <v>1153</v>
      </c>
    </row>
    <row r="2301" spans="68:74" x14ac:dyDescent="0.25">
      <c r="BQ2301">
        <v>80300032</v>
      </c>
      <c r="BR2301" s="15" t="s">
        <v>287</v>
      </c>
      <c r="BS2301" t="s">
        <v>285</v>
      </c>
      <c r="BT2301" t="s">
        <v>2652</v>
      </c>
      <c r="BU2301" t="s">
        <v>681</v>
      </c>
      <c r="BV2301" t="s">
        <v>680</v>
      </c>
    </row>
    <row r="2302" spans="68:74" x14ac:dyDescent="0.25">
      <c r="BQ2302">
        <v>80300033</v>
      </c>
      <c r="BR2302" s="15" t="s">
        <v>287</v>
      </c>
      <c r="BS2302" t="s">
        <v>285</v>
      </c>
      <c r="BT2302" t="s">
        <v>2652</v>
      </c>
      <c r="BU2302" t="s">
        <v>682</v>
      </c>
      <c r="BV2302" t="s">
        <v>680</v>
      </c>
    </row>
    <row r="2303" spans="68:74" x14ac:dyDescent="0.25">
      <c r="BQ2303">
        <v>80300043</v>
      </c>
      <c r="BR2303" s="15" t="s">
        <v>287</v>
      </c>
      <c r="BS2303" t="s">
        <v>285</v>
      </c>
      <c r="BT2303" t="s">
        <v>2653</v>
      </c>
      <c r="BU2303" t="s">
        <v>682</v>
      </c>
      <c r="BV2303" t="s">
        <v>680</v>
      </c>
    </row>
    <row r="2304" spans="68:74" x14ac:dyDescent="0.25">
      <c r="BQ2304">
        <v>80300083</v>
      </c>
      <c r="BR2304" s="15" t="s">
        <v>287</v>
      </c>
      <c r="BS2304" t="s">
        <v>285</v>
      </c>
      <c r="BT2304" t="s">
        <v>2653</v>
      </c>
      <c r="BU2304" t="s">
        <v>682</v>
      </c>
      <c r="BV2304" t="s">
        <v>680</v>
      </c>
    </row>
    <row r="2305" spans="68:74" x14ac:dyDescent="0.25">
      <c r="BQ2305">
        <v>80300022</v>
      </c>
      <c r="BR2305" s="15" t="s">
        <v>287</v>
      </c>
      <c r="BS2305" t="s">
        <v>285</v>
      </c>
      <c r="BT2305" t="s">
        <v>2654</v>
      </c>
      <c r="BU2305" t="s">
        <v>681</v>
      </c>
      <c r="BV2305" t="s">
        <v>680</v>
      </c>
    </row>
    <row r="2306" spans="68:74" x14ac:dyDescent="0.25">
      <c r="BQ2306">
        <v>80300023</v>
      </c>
      <c r="BR2306" s="15" t="s">
        <v>287</v>
      </c>
      <c r="BS2306" t="s">
        <v>285</v>
      </c>
      <c r="BT2306" t="s">
        <v>2654</v>
      </c>
      <c r="BU2306" t="s">
        <v>682</v>
      </c>
      <c r="BV2306" t="s">
        <v>680</v>
      </c>
    </row>
    <row r="2307" spans="68:74" x14ac:dyDescent="0.25">
      <c r="BQ2307">
        <v>80300482</v>
      </c>
      <c r="BR2307" s="15" t="s">
        <v>287</v>
      </c>
      <c r="BS2307" t="s">
        <v>285</v>
      </c>
      <c r="BT2307" t="s">
        <v>2655</v>
      </c>
      <c r="BU2307" t="s">
        <v>681</v>
      </c>
      <c r="BV2307" t="s">
        <v>680</v>
      </c>
    </row>
    <row r="2308" spans="68:74" x14ac:dyDescent="0.25">
      <c r="BP2308">
        <v>12736</v>
      </c>
      <c r="BQ2308">
        <v>8030118301</v>
      </c>
      <c r="BR2308" s="15" t="s">
        <v>287</v>
      </c>
      <c r="BS2308" t="s">
        <v>285</v>
      </c>
      <c r="BT2308" t="s">
        <v>2656</v>
      </c>
      <c r="BU2308" t="s">
        <v>682</v>
      </c>
      <c r="BV2308" t="s">
        <v>1149</v>
      </c>
    </row>
    <row r="2309" spans="68:74" x14ac:dyDescent="0.25">
      <c r="BQ2309">
        <v>80300093</v>
      </c>
      <c r="BR2309" s="15" t="s">
        <v>287</v>
      </c>
      <c r="BS2309" t="s">
        <v>285</v>
      </c>
      <c r="BT2309" t="s">
        <v>2657</v>
      </c>
      <c r="BU2309" t="s">
        <v>682</v>
      </c>
      <c r="BV2309" t="s">
        <v>680</v>
      </c>
    </row>
    <row r="2310" spans="68:74" x14ac:dyDescent="0.25">
      <c r="BQ2310">
        <v>80300433</v>
      </c>
      <c r="BR2310" s="15" t="s">
        <v>287</v>
      </c>
      <c r="BS2310" t="s">
        <v>285</v>
      </c>
      <c r="BT2310" t="s">
        <v>2657</v>
      </c>
      <c r="BU2310" t="s">
        <v>682</v>
      </c>
      <c r="BV2310" t="s">
        <v>680</v>
      </c>
    </row>
    <row r="2311" spans="68:74" x14ac:dyDescent="0.25">
      <c r="BQ2311">
        <v>80300392</v>
      </c>
      <c r="BR2311" s="15" t="s">
        <v>287</v>
      </c>
      <c r="BS2311" t="s">
        <v>285</v>
      </c>
      <c r="BT2311" t="s">
        <v>2658</v>
      </c>
      <c r="BU2311" t="s">
        <v>681</v>
      </c>
      <c r="BV2311" t="s">
        <v>680</v>
      </c>
    </row>
    <row r="2312" spans="68:74" x14ac:dyDescent="0.25">
      <c r="BQ2312">
        <v>80300393</v>
      </c>
      <c r="BR2312" s="15" t="s">
        <v>287</v>
      </c>
      <c r="BS2312" t="s">
        <v>285</v>
      </c>
      <c r="BT2312" t="s">
        <v>2658</v>
      </c>
      <c r="BU2312" t="s">
        <v>682</v>
      </c>
      <c r="BV2312" t="s">
        <v>680</v>
      </c>
    </row>
    <row r="2313" spans="68:74" x14ac:dyDescent="0.25">
      <c r="BQ2313">
        <v>80300402</v>
      </c>
      <c r="BR2313" s="15" t="s">
        <v>287</v>
      </c>
      <c r="BS2313" t="s">
        <v>285</v>
      </c>
      <c r="BT2313" t="s">
        <v>2659</v>
      </c>
      <c r="BU2313" t="s">
        <v>681</v>
      </c>
      <c r="BV2313" t="s">
        <v>680</v>
      </c>
    </row>
    <row r="2314" spans="68:74" x14ac:dyDescent="0.25">
      <c r="BQ2314">
        <v>80300403</v>
      </c>
      <c r="BR2314" s="15" t="s">
        <v>287</v>
      </c>
      <c r="BS2314" t="s">
        <v>285</v>
      </c>
      <c r="BT2314" t="s">
        <v>2659</v>
      </c>
      <c r="BU2314" t="s">
        <v>682</v>
      </c>
      <c r="BV2314" t="s">
        <v>680</v>
      </c>
    </row>
    <row r="2315" spans="68:74" x14ac:dyDescent="0.25">
      <c r="BQ2315">
        <v>80300062</v>
      </c>
      <c r="BR2315" s="15" t="s">
        <v>287</v>
      </c>
      <c r="BS2315" t="s">
        <v>285</v>
      </c>
      <c r="BT2315" t="s">
        <v>2660</v>
      </c>
      <c r="BU2315" t="s">
        <v>681</v>
      </c>
      <c r="BV2315" t="s">
        <v>680</v>
      </c>
    </row>
    <row r="2316" spans="68:74" x14ac:dyDescent="0.25">
      <c r="BQ2316">
        <v>80300063</v>
      </c>
      <c r="BR2316" s="15" t="s">
        <v>287</v>
      </c>
      <c r="BS2316" t="s">
        <v>285</v>
      </c>
      <c r="BT2316" t="s">
        <v>2660</v>
      </c>
      <c r="BU2316" t="s">
        <v>682</v>
      </c>
      <c r="BV2316" t="s">
        <v>680</v>
      </c>
    </row>
    <row r="2317" spans="68:74" x14ac:dyDescent="0.25">
      <c r="BQ2317">
        <v>80300052</v>
      </c>
      <c r="BR2317" s="15" t="s">
        <v>287</v>
      </c>
      <c r="BS2317" t="s">
        <v>285</v>
      </c>
      <c r="BT2317" t="s">
        <v>2661</v>
      </c>
      <c r="BU2317" t="s">
        <v>681</v>
      </c>
      <c r="BV2317" t="s">
        <v>680</v>
      </c>
    </row>
    <row r="2318" spans="68:74" x14ac:dyDescent="0.25">
      <c r="BQ2318">
        <v>80300053</v>
      </c>
      <c r="BR2318" s="15" t="s">
        <v>287</v>
      </c>
      <c r="BS2318" t="s">
        <v>285</v>
      </c>
      <c r="BT2318" t="s">
        <v>2661</v>
      </c>
      <c r="BU2318" t="s">
        <v>682</v>
      </c>
      <c r="BV2318" t="s">
        <v>680</v>
      </c>
    </row>
    <row r="2319" spans="68:74" x14ac:dyDescent="0.25">
      <c r="BQ2319">
        <v>80300292</v>
      </c>
      <c r="BR2319" s="15" t="s">
        <v>287</v>
      </c>
      <c r="BS2319" t="s">
        <v>285</v>
      </c>
      <c r="BT2319" t="s">
        <v>2662</v>
      </c>
      <c r="BU2319" t="s">
        <v>681</v>
      </c>
      <c r="BV2319" t="s">
        <v>680</v>
      </c>
    </row>
    <row r="2320" spans="68:74" x14ac:dyDescent="0.25">
      <c r="BQ2320">
        <v>80300293</v>
      </c>
      <c r="BR2320" s="15" t="s">
        <v>287</v>
      </c>
      <c r="BS2320" t="s">
        <v>285</v>
      </c>
      <c r="BT2320" t="s">
        <v>2662</v>
      </c>
      <c r="BU2320" t="s">
        <v>682</v>
      </c>
      <c r="BV2320" t="s">
        <v>680</v>
      </c>
    </row>
    <row r="2321" spans="69:74" x14ac:dyDescent="0.25">
      <c r="BQ2321">
        <v>80300342</v>
      </c>
      <c r="BR2321" s="15" t="s">
        <v>287</v>
      </c>
      <c r="BS2321" t="s">
        <v>285</v>
      </c>
      <c r="BT2321" t="s">
        <v>2663</v>
      </c>
      <c r="BU2321" t="s">
        <v>681</v>
      </c>
      <c r="BV2321" t="s">
        <v>680</v>
      </c>
    </row>
    <row r="2322" spans="69:74" x14ac:dyDescent="0.25">
      <c r="BQ2322">
        <v>80300343</v>
      </c>
      <c r="BR2322" s="15" t="s">
        <v>287</v>
      </c>
      <c r="BS2322" t="s">
        <v>285</v>
      </c>
      <c r="BT2322" t="s">
        <v>2663</v>
      </c>
      <c r="BU2322" t="s">
        <v>682</v>
      </c>
      <c r="BV2322" t="s">
        <v>680</v>
      </c>
    </row>
    <row r="2323" spans="69:74" x14ac:dyDescent="0.25">
      <c r="BQ2323">
        <v>80300262</v>
      </c>
      <c r="BR2323" s="15" t="s">
        <v>287</v>
      </c>
      <c r="BS2323" t="s">
        <v>285</v>
      </c>
      <c r="BT2323" t="s">
        <v>2664</v>
      </c>
      <c r="BU2323" t="s">
        <v>681</v>
      </c>
      <c r="BV2323" t="s">
        <v>680</v>
      </c>
    </row>
    <row r="2324" spans="69:74" x14ac:dyDescent="0.25">
      <c r="BQ2324">
        <v>80300263</v>
      </c>
      <c r="BR2324" s="15" t="s">
        <v>287</v>
      </c>
      <c r="BS2324" t="s">
        <v>285</v>
      </c>
      <c r="BT2324" t="s">
        <v>2664</v>
      </c>
      <c r="BU2324" t="s">
        <v>682</v>
      </c>
      <c r="BV2324" t="s">
        <v>680</v>
      </c>
    </row>
    <row r="2325" spans="69:74" x14ac:dyDescent="0.25">
      <c r="BQ2325">
        <v>80300272</v>
      </c>
      <c r="BR2325" s="15" t="s">
        <v>287</v>
      </c>
      <c r="BS2325" t="s">
        <v>285</v>
      </c>
      <c r="BT2325" t="s">
        <v>2665</v>
      </c>
      <c r="BU2325" t="s">
        <v>681</v>
      </c>
      <c r="BV2325" t="s">
        <v>680</v>
      </c>
    </row>
    <row r="2326" spans="69:74" x14ac:dyDescent="0.25">
      <c r="BQ2326">
        <v>80300273</v>
      </c>
      <c r="BR2326" s="15" t="s">
        <v>287</v>
      </c>
      <c r="BS2326" t="s">
        <v>285</v>
      </c>
      <c r="BT2326" t="s">
        <v>2665</v>
      </c>
      <c r="BU2326" t="s">
        <v>682</v>
      </c>
      <c r="BV2326" t="s">
        <v>680</v>
      </c>
    </row>
    <row r="2327" spans="69:74" x14ac:dyDescent="0.25">
      <c r="BQ2327">
        <v>80300322</v>
      </c>
      <c r="BR2327" s="15" t="s">
        <v>287</v>
      </c>
      <c r="BS2327" t="s">
        <v>285</v>
      </c>
      <c r="BT2327" t="s">
        <v>2666</v>
      </c>
      <c r="BU2327" t="s">
        <v>681</v>
      </c>
      <c r="BV2327" t="s">
        <v>680</v>
      </c>
    </row>
    <row r="2328" spans="69:74" x14ac:dyDescent="0.25">
      <c r="BQ2328">
        <v>80300323</v>
      </c>
      <c r="BR2328" s="15" t="s">
        <v>287</v>
      </c>
      <c r="BS2328" t="s">
        <v>285</v>
      </c>
      <c r="BT2328" t="s">
        <v>2666</v>
      </c>
      <c r="BU2328" t="s">
        <v>682</v>
      </c>
      <c r="BV2328" t="s">
        <v>680</v>
      </c>
    </row>
    <row r="2329" spans="69:74" x14ac:dyDescent="0.25">
      <c r="BQ2329">
        <v>80300252</v>
      </c>
      <c r="BR2329" s="15" t="s">
        <v>287</v>
      </c>
      <c r="BS2329" t="s">
        <v>285</v>
      </c>
      <c r="BT2329" t="s">
        <v>2667</v>
      </c>
      <c r="BU2329" t="s">
        <v>681</v>
      </c>
      <c r="BV2329" t="s">
        <v>680</v>
      </c>
    </row>
    <row r="2330" spans="69:74" x14ac:dyDescent="0.25">
      <c r="BQ2330">
        <v>80300253</v>
      </c>
      <c r="BR2330" s="15" t="s">
        <v>287</v>
      </c>
      <c r="BS2330" t="s">
        <v>285</v>
      </c>
      <c r="BT2330" t="s">
        <v>2667</v>
      </c>
      <c r="BU2330" t="s">
        <v>682</v>
      </c>
      <c r="BV2330" t="s">
        <v>680</v>
      </c>
    </row>
    <row r="2331" spans="69:74" x14ac:dyDescent="0.25">
      <c r="BQ2331">
        <v>80300282</v>
      </c>
      <c r="BR2331" s="15" t="s">
        <v>287</v>
      </c>
      <c r="BS2331" t="s">
        <v>285</v>
      </c>
      <c r="BT2331" t="s">
        <v>2668</v>
      </c>
      <c r="BU2331" t="s">
        <v>681</v>
      </c>
      <c r="BV2331" t="s">
        <v>680</v>
      </c>
    </row>
    <row r="2332" spans="69:74" x14ac:dyDescent="0.25">
      <c r="BQ2332">
        <v>80300283</v>
      </c>
      <c r="BR2332" s="15" t="s">
        <v>287</v>
      </c>
      <c r="BS2332" t="s">
        <v>285</v>
      </c>
      <c r="BT2332" t="s">
        <v>2668</v>
      </c>
      <c r="BU2332" t="s">
        <v>682</v>
      </c>
      <c r="BV2332" t="s">
        <v>680</v>
      </c>
    </row>
    <row r="2333" spans="69:74" x14ac:dyDescent="0.25">
      <c r="BQ2333">
        <v>80300312</v>
      </c>
      <c r="BR2333" s="15" t="s">
        <v>287</v>
      </c>
      <c r="BS2333" t="s">
        <v>285</v>
      </c>
      <c r="BT2333" t="s">
        <v>2669</v>
      </c>
      <c r="BU2333" t="s">
        <v>681</v>
      </c>
      <c r="BV2333" t="s">
        <v>680</v>
      </c>
    </row>
    <row r="2334" spans="69:74" x14ac:dyDescent="0.25">
      <c r="BQ2334">
        <v>80300313</v>
      </c>
      <c r="BR2334" s="15" t="s">
        <v>287</v>
      </c>
      <c r="BS2334" t="s">
        <v>285</v>
      </c>
      <c r="BT2334" t="s">
        <v>2669</v>
      </c>
      <c r="BU2334" t="s">
        <v>682</v>
      </c>
      <c r="BV2334" t="s">
        <v>680</v>
      </c>
    </row>
    <row r="2335" spans="69:74" x14ac:dyDescent="0.25">
      <c r="BQ2335">
        <v>80300232</v>
      </c>
      <c r="BR2335" s="15" t="s">
        <v>287</v>
      </c>
      <c r="BS2335" t="s">
        <v>285</v>
      </c>
      <c r="BT2335" t="s">
        <v>2670</v>
      </c>
      <c r="BU2335" t="s">
        <v>681</v>
      </c>
      <c r="BV2335" t="s">
        <v>680</v>
      </c>
    </row>
    <row r="2336" spans="69:74" x14ac:dyDescent="0.25">
      <c r="BQ2336">
        <v>80300233</v>
      </c>
      <c r="BR2336" s="15" t="s">
        <v>287</v>
      </c>
      <c r="BS2336" t="s">
        <v>285</v>
      </c>
      <c r="BT2336" t="s">
        <v>2670</v>
      </c>
      <c r="BU2336" t="s">
        <v>682</v>
      </c>
      <c r="BV2336" t="s">
        <v>680</v>
      </c>
    </row>
    <row r="2337" spans="69:74" x14ac:dyDescent="0.25">
      <c r="BQ2337">
        <v>80300352</v>
      </c>
      <c r="BR2337" s="15" t="s">
        <v>287</v>
      </c>
      <c r="BS2337" t="s">
        <v>285</v>
      </c>
      <c r="BT2337" t="s">
        <v>2671</v>
      </c>
      <c r="BU2337" t="s">
        <v>681</v>
      </c>
      <c r="BV2337" t="s">
        <v>680</v>
      </c>
    </row>
    <row r="2338" spans="69:74" x14ac:dyDescent="0.25">
      <c r="BQ2338">
        <v>80300353</v>
      </c>
      <c r="BR2338" s="15" t="s">
        <v>287</v>
      </c>
      <c r="BS2338" t="s">
        <v>285</v>
      </c>
      <c r="BT2338" t="s">
        <v>2671</v>
      </c>
      <c r="BU2338" t="s">
        <v>682</v>
      </c>
      <c r="BV2338" t="s">
        <v>680</v>
      </c>
    </row>
    <row r="2339" spans="69:74" x14ac:dyDescent="0.25">
      <c r="BQ2339">
        <v>80300372</v>
      </c>
      <c r="BR2339" s="15" t="s">
        <v>287</v>
      </c>
      <c r="BS2339" t="s">
        <v>285</v>
      </c>
      <c r="BT2339" t="s">
        <v>2672</v>
      </c>
      <c r="BU2339" t="s">
        <v>681</v>
      </c>
      <c r="BV2339" t="s">
        <v>680</v>
      </c>
    </row>
    <row r="2340" spans="69:74" x14ac:dyDescent="0.25">
      <c r="BQ2340">
        <v>80300373</v>
      </c>
      <c r="BR2340" s="15" t="s">
        <v>287</v>
      </c>
      <c r="BS2340" t="s">
        <v>285</v>
      </c>
      <c r="BT2340" t="s">
        <v>2672</v>
      </c>
      <c r="BU2340" t="s">
        <v>682</v>
      </c>
      <c r="BV2340" t="s">
        <v>680</v>
      </c>
    </row>
    <row r="2341" spans="69:74" x14ac:dyDescent="0.25">
      <c r="BQ2341">
        <v>80300382</v>
      </c>
      <c r="BR2341" s="15" t="s">
        <v>287</v>
      </c>
      <c r="BS2341" t="s">
        <v>285</v>
      </c>
      <c r="BT2341" t="s">
        <v>2673</v>
      </c>
      <c r="BU2341" t="s">
        <v>681</v>
      </c>
      <c r="BV2341" t="s">
        <v>680</v>
      </c>
    </row>
    <row r="2342" spans="69:74" x14ac:dyDescent="0.25">
      <c r="BQ2342">
        <v>80300383</v>
      </c>
      <c r="BR2342" s="15" t="s">
        <v>287</v>
      </c>
      <c r="BS2342" t="s">
        <v>285</v>
      </c>
      <c r="BT2342" t="s">
        <v>2673</v>
      </c>
      <c r="BU2342" t="s">
        <v>682</v>
      </c>
      <c r="BV2342" t="s">
        <v>680</v>
      </c>
    </row>
    <row r="2343" spans="69:74" x14ac:dyDescent="0.25">
      <c r="BQ2343">
        <v>80300332</v>
      </c>
      <c r="BR2343" s="15" t="s">
        <v>287</v>
      </c>
      <c r="BS2343" t="s">
        <v>285</v>
      </c>
      <c r="BT2343" t="s">
        <v>2674</v>
      </c>
      <c r="BU2343" t="s">
        <v>681</v>
      </c>
      <c r="BV2343" t="s">
        <v>680</v>
      </c>
    </row>
    <row r="2344" spans="69:74" x14ac:dyDescent="0.25">
      <c r="BQ2344">
        <v>80300333</v>
      </c>
      <c r="BR2344" s="15" t="s">
        <v>287</v>
      </c>
      <c r="BS2344" t="s">
        <v>285</v>
      </c>
      <c r="BT2344" t="s">
        <v>2674</v>
      </c>
      <c r="BU2344" t="s">
        <v>682</v>
      </c>
      <c r="BV2344" t="s">
        <v>680</v>
      </c>
    </row>
    <row r="2345" spans="69:74" x14ac:dyDescent="0.25">
      <c r="BQ2345">
        <v>80300302</v>
      </c>
      <c r="BR2345" s="15" t="s">
        <v>287</v>
      </c>
      <c r="BS2345" t="s">
        <v>285</v>
      </c>
      <c r="BT2345" t="s">
        <v>2675</v>
      </c>
      <c r="BU2345" t="s">
        <v>681</v>
      </c>
      <c r="BV2345" t="s">
        <v>680</v>
      </c>
    </row>
    <row r="2346" spans="69:74" x14ac:dyDescent="0.25">
      <c r="BQ2346">
        <v>80300303</v>
      </c>
      <c r="BR2346" s="15" t="s">
        <v>287</v>
      </c>
      <c r="BS2346" t="s">
        <v>285</v>
      </c>
      <c r="BT2346" t="s">
        <v>2675</v>
      </c>
      <c r="BU2346" t="s">
        <v>682</v>
      </c>
      <c r="BV2346" t="s">
        <v>680</v>
      </c>
    </row>
    <row r="2347" spans="69:74" x14ac:dyDescent="0.25">
      <c r="BQ2347">
        <v>80300242</v>
      </c>
      <c r="BR2347" s="15" t="s">
        <v>287</v>
      </c>
      <c r="BS2347" t="s">
        <v>285</v>
      </c>
      <c r="BT2347" t="s">
        <v>2676</v>
      </c>
      <c r="BU2347" t="s">
        <v>681</v>
      </c>
      <c r="BV2347" t="s">
        <v>680</v>
      </c>
    </row>
    <row r="2348" spans="69:74" x14ac:dyDescent="0.25">
      <c r="BQ2348">
        <v>80300243</v>
      </c>
      <c r="BR2348" s="15" t="s">
        <v>287</v>
      </c>
      <c r="BS2348" t="s">
        <v>285</v>
      </c>
      <c r="BT2348" t="s">
        <v>2676</v>
      </c>
      <c r="BU2348" t="s">
        <v>682</v>
      </c>
      <c r="BV2348" t="s">
        <v>680</v>
      </c>
    </row>
    <row r="2349" spans="69:74" x14ac:dyDescent="0.25">
      <c r="BQ2349">
        <v>80300362</v>
      </c>
      <c r="BR2349" s="15" t="s">
        <v>287</v>
      </c>
      <c r="BS2349" t="s">
        <v>285</v>
      </c>
      <c r="BT2349" t="s">
        <v>2677</v>
      </c>
      <c r="BU2349" t="s">
        <v>681</v>
      </c>
      <c r="BV2349" t="s">
        <v>680</v>
      </c>
    </row>
    <row r="2350" spans="69:74" x14ac:dyDescent="0.25">
      <c r="BQ2350">
        <v>80300363</v>
      </c>
      <c r="BR2350" s="15" t="s">
        <v>287</v>
      </c>
      <c r="BS2350" t="s">
        <v>285</v>
      </c>
      <c r="BT2350" t="s">
        <v>2677</v>
      </c>
      <c r="BU2350" t="s">
        <v>682</v>
      </c>
      <c r="BV2350" t="s">
        <v>680</v>
      </c>
    </row>
    <row r="2351" spans="69:74" x14ac:dyDescent="0.25">
      <c r="BQ2351">
        <v>80300072</v>
      </c>
      <c r="BR2351" s="15" t="s">
        <v>287</v>
      </c>
      <c r="BS2351" t="s">
        <v>285</v>
      </c>
      <c r="BT2351" t="s">
        <v>2678</v>
      </c>
      <c r="BU2351" t="s">
        <v>681</v>
      </c>
      <c r="BV2351" t="s">
        <v>680</v>
      </c>
    </row>
    <row r="2352" spans="69:74" x14ac:dyDescent="0.25">
      <c r="BQ2352">
        <v>80300073</v>
      </c>
      <c r="BR2352" s="15" t="s">
        <v>287</v>
      </c>
      <c r="BS2352" t="s">
        <v>285</v>
      </c>
      <c r="BT2352" t="s">
        <v>2678</v>
      </c>
      <c r="BU2352" t="s">
        <v>682</v>
      </c>
      <c r="BV2352" t="s">
        <v>680</v>
      </c>
    </row>
    <row r="2353" spans="68:74" x14ac:dyDescent="0.25">
      <c r="BQ2353">
        <v>80300103</v>
      </c>
      <c r="BR2353" s="15" t="s">
        <v>287</v>
      </c>
      <c r="BS2353" t="s">
        <v>285</v>
      </c>
      <c r="BT2353" t="s">
        <v>2598</v>
      </c>
      <c r="BU2353" t="s">
        <v>682</v>
      </c>
      <c r="BV2353" t="s">
        <v>680</v>
      </c>
    </row>
    <row r="2354" spans="68:74" x14ac:dyDescent="0.25">
      <c r="BQ2354">
        <v>80300423</v>
      </c>
      <c r="BR2354" s="15" t="s">
        <v>287</v>
      </c>
      <c r="BS2354" t="s">
        <v>285</v>
      </c>
      <c r="BT2354" t="s">
        <v>2598</v>
      </c>
      <c r="BU2354" t="s">
        <v>682</v>
      </c>
      <c r="BV2354" t="s">
        <v>680</v>
      </c>
    </row>
    <row r="2355" spans="68:74" x14ac:dyDescent="0.25">
      <c r="BQ2355">
        <v>80300492</v>
      </c>
      <c r="BR2355" s="15" t="s">
        <v>287</v>
      </c>
      <c r="BS2355" t="s">
        <v>285</v>
      </c>
      <c r="BT2355" t="s">
        <v>1307</v>
      </c>
      <c r="BU2355" t="s">
        <v>681</v>
      </c>
      <c r="BV2355" t="s">
        <v>680</v>
      </c>
    </row>
    <row r="2356" spans="68:74" x14ac:dyDescent="0.25">
      <c r="BP2356">
        <v>288563</v>
      </c>
      <c r="BQ2356">
        <v>80301503</v>
      </c>
      <c r="BR2356" s="15" t="s">
        <v>287</v>
      </c>
      <c r="BS2356" t="s">
        <v>285</v>
      </c>
      <c r="BT2356" t="s">
        <v>2679</v>
      </c>
      <c r="BU2356" t="s">
        <v>682</v>
      </c>
      <c r="BV2356" t="s">
        <v>1153</v>
      </c>
    </row>
    <row r="2357" spans="68:74" x14ac:dyDescent="0.25">
      <c r="BQ2357">
        <v>80300502</v>
      </c>
      <c r="BR2357" s="15" t="s">
        <v>287</v>
      </c>
      <c r="BS2357" t="s">
        <v>285</v>
      </c>
      <c r="BT2357" t="s">
        <v>2680</v>
      </c>
      <c r="BU2357" t="s">
        <v>681</v>
      </c>
      <c r="BV2357" t="s">
        <v>680</v>
      </c>
    </row>
    <row r="2358" spans="68:74" x14ac:dyDescent="0.25">
      <c r="BP2358">
        <v>12657</v>
      </c>
      <c r="BQ2358">
        <v>80301182</v>
      </c>
      <c r="BR2358" s="15" t="s">
        <v>287</v>
      </c>
      <c r="BS2358" t="s">
        <v>285</v>
      </c>
      <c r="BT2358" t="s">
        <v>2681</v>
      </c>
      <c r="BU2358" t="s">
        <v>681</v>
      </c>
      <c r="BV2358" t="s">
        <v>1153</v>
      </c>
    </row>
    <row r="2359" spans="68:74" x14ac:dyDescent="0.25">
      <c r="BQ2359">
        <v>80300513</v>
      </c>
      <c r="BR2359" s="15" t="s">
        <v>287</v>
      </c>
      <c r="BS2359" t="s">
        <v>285</v>
      </c>
      <c r="BT2359" t="s">
        <v>2682</v>
      </c>
      <c r="BU2359" t="s">
        <v>682</v>
      </c>
      <c r="BV2359" t="s">
        <v>680</v>
      </c>
    </row>
    <row r="2360" spans="68:74" x14ac:dyDescent="0.25">
      <c r="BQ2360">
        <v>80300122</v>
      </c>
      <c r="BR2360" s="15" t="s">
        <v>287</v>
      </c>
      <c r="BS2360" t="s">
        <v>285</v>
      </c>
      <c r="BT2360" t="s">
        <v>2683</v>
      </c>
      <c r="BU2360" t="s">
        <v>681</v>
      </c>
      <c r="BV2360" t="s">
        <v>680</v>
      </c>
    </row>
    <row r="2361" spans="68:74" x14ac:dyDescent="0.25">
      <c r="BQ2361">
        <v>80300123</v>
      </c>
      <c r="BR2361" s="15" t="s">
        <v>287</v>
      </c>
      <c r="BS2361" t="s">
        <v>285</v>
      </c>
      <c r="BT2361" t="s">
        <v>2683</v>
      </c>
      <c r="BU2361" t="s">
        <v>682</v>
      </c>
      <c r="BV2361" t="s">
        <v>680</v>
      </c>
    </row>
    <row r="2362" spans="68:74" x14ac:dyDescent="0.25">
      <c r="BQ2362">
        <v>80300012</v>
      </c>
      <c r="BR2362" s="15" t="s">
        <v>287</v>
      </c>
      <c r="BS2362" t="s">
        <v>285</v>
      </c>
      <c r="BT2362" t="s">
        <v>2601</v>
      </c>
      <c r="BU2362" t="s">
        <v>681</v>
      </c>
      <c r="BV2362" t="s">
        <v>680</v>
      </c>
    </row>
    <row r="2363" spans="68:74" x14ac:dyDescent="0.25">
      <c r="BQ2363">
        <v>80300013</v>
      </c>
      <c r="BR2363" s="15" t="s">
        <v>287</v>
      </c>
      <c r="BS2363" t="s">
        <v>285</v>
      </c>
      <c r="BT2363" t="s">
        <v>2601</v>
      </c>
      <c r="BU2363" t="s">
        <v>682</v>
      </c>
      <c r="BV2363" t="s">
        <v>680</v>
      </c>
    </row>
    <row r="2364" spans="68:74" x14ac:dyDescent="0.25">
      <c r="BQ2364">
        <v>80300413</v>
      </c>
      <c r="BR2364" s="15" t="s">
        <v>287</v>
      </c>
      <c r="BS2364" t="s">
        <v>285</v>
      </c>
      <c r="BT2364" t="s">
        <v>2601</v>
      </c>
      <c r="BU2364" t="s">
        <v>682</v>
      </c>
      <c r="BV2364" t="s">
        <v>680</v>
      </c>
    </row>
    <row r="2365" spans="68:74" x14ac:dyDescent="0.25">
      <c r="BQ2365">
        <v>80300443</v>
      </c>
      <c r="BR2365" s="15" t="s">
        <v>287</v>
      </c>
      <c r="BS2365" t="s">
        <v>285</v>
      </c>
      <c r="BT2365" t="s">
        <v>2684</v>
      </c>
      <c r="BU2365" t="s">
        <v>682</v>
      </c>
      <c r="BV2365" t="s">
        <v>680</v>
      </c>
    </row>
    <row r="2366" spans="68:74" x14ac:dyDescent="0.25">
      <c r="BQ2366">
        <v>80300453</v>
      </c>
      <c r="BR2366" s="15" t="s">
        <v>287</v>
      </c>
      <c r="BS2366" t="s">
        <v>285</v>
      </c>
      <c r="BT2366" t="s">
        <v>2684</v>
      </c>
      <c r="BU2366" t="s">
        <v>682</v>
      </c>
      <c r="BV2366" t="s">
        <v>680</v>
      </c>
    </row>
    <row r="2367" spans="68:74" x14ac:dyDescent="0.25">
      <c r="BQ2367">
        <v>80300202</v>
      </c>
      <c r="BR2367" s="15" t="s">
        <v>287</v>
      </c>
      <c r="BS2367" t="s">
        <v>285</v>
      </c>
      <c r="BT2367" t="s">
        <v>2685</v>
      </c>
      <c r="BU2367" t="s">
        <v>681</v>
      </c>
      <c r="BV2367" t="s">
        <v>680</v>
      </c>
    </row>
    <row r="2368" spans="68:74" x14ac:dyDescent="0.25">
      <c r="BQ2368">
        <v>80300203</v>
      </c>
      <c r="BR2368" s="15" t="s">
        <v>287</v>
      </c>
      <c r="BS2368" t="s">
        <v>285</v>
      </c>
      <c r="BT2368" t="s">
        <v>2685</v>
      </c>
      <c r="BU2368" t="s">
        <v>682</v>
      </c>
      <c r="BV2368" t="s">
        <v>680</v>
      </c>
    </row>
    <row r="2369" spans="69:74" x14ac:dyDescent="0.25">
      <c r="BQ2369">
        <v>80300192</v>
      </c>
      <c r="BR2369" s="15" t="s">
        <v>287</v>
      </c>
      <c r="BS2369" t="s">
        <v>285</v>
      </c>
      <c r="BT2369" t="s">
        <v>2686</v>
      </c>
      <c r="BU2369" t="s">
        <v>681</v>
      </c>
      <c r="BV2369" t="s">
        <v>680</v>
      </c>
    </row>
    <row r="2370" spans="69:74" x14ac:dyDescent="0.25">
      <c r="BQ2370">
        <v>80300193</v>
      </c>
      <c r="BR2370" s="15" t="s">
        <v>287</v>
      </c>
      <c r="BS2370" t="s">
        <v>285</v>
      </c>
      <c r="BT2370" t="s">
        <v>2686</v>
      </c>
      <c r="BU2370" t="s">
        <v>682</v>
      </c>
      <c r="BV2370" t="s">
        <v>680</v>
      </c>
    </row>
    <row r="2371" spans="69:74" x14ac:dyDescent="0.25">
      <c r="BQ2371">
        <v>80300212</v>
      </c>
      <c r="BR2371" s="15" t="s">
        <v>287</v>
      </c>
      <c r="BS2371" t="s">
        <v>285</v>
      </c>
      <c r="BT2371" t="s">
        <v>2687</v>
      </c>
      <c r="BU2371" t="s">
        <v>681</v>
      </c>
      <c r="BV2371" t="s">
        <v>680</v>
      </c>
    </row>
    <row r="2372" spans="69:74" x14ac:dyDescent="0.25">
      <c r="BQ2372">
        <v>80300213</v>
      </c>
      <c r="BR2372" s="15" t="s">
        <v>287</v>
      </c>
      <c r="BS2372" t="s">
        <v>285</v>
      </c>
      <c r="BT2372" t="s">
        <v>2687</v>
      </c>
      <c r="BU2372" t="s">
        <v>682</v>
      </c>
      <c r="BV2372" t="s">
        <v>680</v>
      </c>
    </row>
    <row r="2373" spans="69:74" x14ac:dyDescent="0.25">
      <c r="BQ2373">
        <v>80300132</v>
      </c>
      <c r="BR2373" s="15" t="s">
        <v>287</v>
      </c>
      <c r="BS2373" t="s">
        <v>285</v>
      </c>
      <c r="BT2373" t="s">
        <v>2688</v>
      </c>
      <c r="BU2373" t="s">
        <v>681</v>
      </c>
      <c r="BV2373" t="s">
        <v>680</v>
      </c>
    </row>
    <row r="2374" spans="69:74" x14ac:dyDescent="0.25">
      <c r="BQ2374">
        <v>80300133</v>
      </c>
      <c r="BR2374" s="15" t="s">
        <v>287</v>
      </c>
      <c r="BS2374" t="s">
        <v>285</v>
      </c>
      <c r="BT2374" t="s">
        <v>2688</v>
      </c>
      <c r="BU2374" t="s">
        <v>682</v>
      </c>
      <c r="BV2374" t="s">
        <v>680</v>
      </c>
    </row>
    <row r="2375" spans="69:74" x14ac:dyDescent="0.25">
      <c r="BQ2375">
        <v>80300142</v>
      </c>
      <c r="BR2375" s="15" t="s">
        <v>287</v>
      </c>
      <c r="BS2375" t="s">
        <v>285</v>
      </c>
      <c r="BT2375" t="s">
        <v>2689</v>
      </c>
      <c r="BU2375" t="s">
        <v>681</v>
      </c>
      <c r="BV2375" t="s">
        <v>680</v>
      </c>
    </row>
    <row r="2376" spans="69:74" x14ac:dyDescent="0.25">
      <c r="BQ2376">
        <v>80300143</v>
      </c>
      <c r="BR2376" s="15" t="s">
        <v>287</v>
      </c>
      <c r="BS2376" t="s">
        <v>285</v>
      </c>
      <c r="BT2376" t="s">
        <v>2689</v>
      </c>
      <c r="BU2376" t="s">
        <v>682</v>
      </c>
      <c r="BV2376" t="s">
        <v>680</v>
      </c>
    </row>
    <row r="2377" spans="69:74" x14ac:dyDescent="0.25">
      <c r="BQ2377">
        <v>80300162</v>
      </c>
      <c r="BR2377" s="15" t="s">
        <v>287</v>
      </c>
      <c r="BS2377" t="s">
        <v>285</v>
      </c>
      <c r="BT2377" t="s">
        <v>2690</v>
      </c>
      <c r="BU2377" t="s">
        <v>681</v>
      </c>
      <c r="BV2377" t="s">
        <v>680</v>
      </c>
    </row>
    <row r="2378" spans="69:74" x14ac:dyDescent="0.25">
      <c r="BQ2378">
        <v>80300163</v>
      </c>
      <c r="BR2378" s="15" t="s">
        <v>287</v>
      </c>
      <c r="BS2378" t="s">
        <v>285</v>
      </c>
      <c r="BT2378" t="s">
        <v>2690</v>
      </c>
      <c r="BU2378" t="s">
        <v>682</v>
      </c>
      <c r="BV2378" t="s">
        <v>680</v>
      </c>
    </row>
    <row r="2379" spans="69:74" x14ac:dyDescent="0.25">
      <c r="BQ2379">
        <v>80300172</v>
      </c>
      <c r="BR2379" s="15" t="s">
        <v>287</v>
      </c>
      <c r="BS2379" t="s">
        <v>285</v>
      </c>
      <c r="BT2379" t="s">
        <v>2691</v>
      </c>
      <c r="BU2379" t="s">
        <v>681</v>
      </c>
      <c r="BV2379" t="s">
        <v>680</v>
      </c>
    </row>
    <row r="2380" spans="69:74" x14ac:dyDescent="0.25">
      <c r="BQ2380">
        <v>80300173</v>
      </c>
      <c r="BR2380" s="15" t="s">
        <v>287</v>
      </c>
      <c r="BS2380" t="s">
        <v>285</v>
      </c>
      <c r="BT2380" t="s">
        <v>2691</v>
      </c>
      <c r="BU2380" t="s">
        <v>682</v>
      </c>
      <c r="BV2380" t="s">
        <v>680</v>
      </c>
    </row>
    <row r="2381" spans="69:74" x14ac:dyDescent="0.25">
      <c r="BQ2381">
        <v>80300222</v>
      </c>
      <c r="BR2381" s="15" t="s">
        <v>287</v>
      </c>
      <c r="BS2381" t="s">
        <v>285</v>
      </c>
      <c r="BT2381" t="s">
        <v>2692</v>
      </c>
      <c r="BU2381" t="s">
        <v>681</v>
      </c>
      <c r="BV2381" t="s">
        <v>680</v>
      </c>
    </row>
    <row r="2382" spans="69:74" x14ac:dyDescent="0.25">
      <c r="BQ2382">
        <v>80300223</v>
      </c>
      <c r="BR2382" s="15" t="s">
        <v>287</v>
      </c>
      <c r="BS2382" t="s">
        <v>285</v>
      </c>
      <c r="BT2382" t="s">
        <v>2692</v>
      </c>
      <c r="BU2382" t="s">
        <v>682</v>
      </c>
      <c r="BV2382" t="s">
        <v>680</v>
      </c>
    </row>
    <row r="2383" spans="69:74" x14ac:dyDescent="0.25">
      <c r="BQ2383">
        <v>80300152</v>
      </c>
      <c r="BR2383" s="15" t="s">
        <v>287</v>
      </c>
      <c r="BS2383" t="s">
        <v>285</v>
      </c>
      <c r="BT2383" t="s">
        <v>2693</v>
      </c>
      <c r="BU2383" t="s">
        <v>681</v>
      </c>
      <c r="BV2383" t="s">
        <v>680</v>
      </c>
    </row>
    <row r="2384" spans="69:74" x14ac:dyDescent="0.25">
      <c r="BQ2384">
        <v>80300153</v>
      </c>
      <c r="BR2384" s="15" t="s">
        <v>287</v>
      </c>
      <c r="BS2384" t="s">
        <v>285</v>
      </c>
      <c r="BT2384" t="s">
        <v>2693</v>
      </c>
      <c r="BU2384" t="s">
        <v>682</v>
      </c>
      <c r="BV2384" t="s">
        <v>680</v>
      </c>
    </row>
    <row r="2385" spans="69:74" x14ac:dyDescent="0.25">
      <c r="BQ2385">
        <v>80300182</v>
      </c>
      <c r="BR2385" s="15" t="s">
        <v>287</v>
      </c>
      <c r="BS2385" t="s">
        <v>285</v>
      </c>
      <c r="BT2385" t="s">
        <v>2694</v>
      </c>
      <c r="BU2385" t="s">
        <v>681</v>
      </c>
      <c r="BV2385" t="s">
        <v>680</v>
      </c>
    </row>
    <row r="2386" spans="69:74" x14ac:dyDescent="0.25">
      <c r="BQ2386">
        <v>80300183</v>
      </c>
      <c r="BR2386" s="15" t="s">
        <v>287</v>
      </c>
      <c r="BS2386" t="s">
        <v>285</v>
      </c>
      <c r="BT2386" t="s">
        <v>2694</v>
      </c>
      <c r="BU2386" t="s">
        <v>682</v>
      </c>
      <c r="BV2386" t="s">
        <v>680</v>
      </c>
    </row>
    <row r="2387" spans="69:74" x14ac:dyDescent="0.25">
      <c r="BQ2387">
        <v>80300112</v>
      </c>
      <c r="BR2387" s="15" t="s">
        <v>287</v>
      </c>
      <c r="BS2387" t="s">
        <v>285</v>
      </c>
      <c r="BT2387" t="s">
        <v>2695</v>
      </c>
      <c r="BU2387" t="s">
        <v>681</v>
      </c>
      <c r="BV2387" t="s">
        <v>680</v>
      </c>
    </row>
    <row r="2388" spans="69:74" x14ac:dyDescent="0.25">
      <c r="BQ2388">
        <v>80300113</v>
      </c>
      <c r="BR2388" s="15" t="s">
        <v>287</v>
      </c>
      <c r="BS2388" t="s">
        <v>285</v>
      </c>
      <c r="BT2388" t="s">
        <v>2695</v>
      </c>
      <c r="BU2388" t="s">
        <v>682</v>
      </c>
      <c r="BV2388" t="s">
        <v>680</v>
      </c>
    </row>
    <row r="2389" spans="69:74" x14ac:dyDescent="0.25">
      <c r="BQ2389">
        <v>80300463</v>
      </c>
      <c r="BR2389" s="15" t="s">
        <v>287</v>
      </c>
      <c r="BS2389" t="s">
        <v>285</v>
      </c>
      <c r="BT2389" t="s">
        <v>2696</v>
      </c>
      <c r="BU2389" t="s">
        <v>682</v>
      </c>
      <c r="BV2389" t="s">
        <v>680</v>
      </c>
    </row>
    <row r="2390" spans="69:74" x14ac:dyDescent="0.25">
      <c r="BQ2390">
        <v>80300473</v>
      </c>
      <c r="BR2390" s="15" t="s">
        <v>287</v>
      </c>
      <c r="BS2390" t="s">
        <v>285</v>
      </c>
      <c r="BT2390" t="s">
        <v>2696</v>
      </c>
      <c r="BU2390" t="s">
        <v>682</v>
      </c>
      <c r="BV2390" t="s">
        <v>680</v>
      </c>
    </row>
    <row r="2391" spans="69:74" x14ac:dyDescent="0.25">
      <c r="BQ2391">
        <v>80400442</v>
      </c>
      <c r="BR2391" s="15" t="s">
        <v>2697</v>
      </c>
      <c r="BS2391" t="s">
        <v>2698</v>
      </c>
      <c r="BT2391" t="s">
        <v>2699</v>
      </c>
      <c r="BU2391" t="s">
        <v>681</v>
      </c>
      <c r="BV2391" t="s">
        <v>680</v>
      </c>
    </row>
    <row r="2392" spans="69:74" x14ac:dyDescent="0.25">
      <c r="BQ2392">
        <v>80400452</v>
      </c>
      <c r="BR2392" s="15" t="s">
        <v>2697</v>
      </c>
      <c r="BS2392" t="s">
        <v>2698</v>
      </c>
      <c r="BT2392" t="s">
        <v>2700</v>
      </c>
      <c r="BU2392" t="s">
        <v>681</v>
      </c>
      <c r="BV2392" t="s">
        <v>680</v>
      </c>
    </row>
    <row r="2393" spans="69:74" x14ac:dyDescent="0.25">
      <c r="BQ2393">
        <v>80400012</v>
      </c>
      <c r="BR2393" s="15" t="s">
        <v>2697</v>
      </c>
      <c r="BS2393" t="s">
        <v>2698</v>
      </c>
      <c r="BT2393" t="s">
        <v>2701</v>
      </c>
      <c r="BU2393" t="s">
        <v>681</v>
      </c>
      <c r="BV2393" t="s">
        <v>680</v>
      </c>
    </row>
    <row r="2394" spans="69:74" x14ac:dyDescent="0.25">
      <c r="BQ2394">
        <v>80400022</v>
      </c>
      <c r="BR2394" s="15" t="s">
        <v>2697</v>
      </c>
      <c r="BS2394" t="s">
        <v>2698</v>
      </c>
      <c r="BT2394" t="s">
        <v>2702</v>
      </c>
      <c r="BU2394" t="s">
        <v>681</v>
      </c>
      <c r="BV2394" t="s">
        <v>680</v>
      </c>
    </row>
    <row r="2395" spans="69:74" x14ac:dyDescent="0.25">
      <c r="BQ2395">
        <v>80400032</v>
      </c>
      <c r="BR2395" s="15" t="s">
        <v>2697</v>
      </c>
      <c r="BS2395" t="s">
        <v>2698</v>
      </c>
      <c r="BT2395" t="s">
        <v>2703</v>
      </c>
      <c r="BU2395" t="s">
        <v>681</v>
      </c>
      <c r="BV2395" t="s">
        <v>680</v>
      </c>
    </row>
    <row r="2396" spans="69:74" x14ac:dyDescent="0.25">
      <c r="BQ2396">
        <v>80400033</v>
      </c>
      <c r="BR2396" s="15" t="s">
        <v>2697</v>
      </c>
      <c r="BS2396" t="s">
        <v>2698</v>
      </c>
      <c r="BT2396" t="s">
        <v>2703</v>
      </c>
      <c r="BU2396" t="s">
        <v>682</v>
      </c>
      <c r="BV2396" t="s">
        <v>680</v>
      </c>
    </row>
    <row r="2397" spans="69:74" x14ac:dyDescent="0.25">
      <c r="BQ2397">
        <v>80400462</v>
      </c>
      <c r="BR2397" s="15" t="s">
        <v>2697</v>
      </c>
      <c r="BS2397" t="s">
        <v>2698</v>
      </c>
      <c r="BT2397" t="s">
        <v>2704</v>
      </c>
      <c r="BU2397" t="s">
        <v>681</v>
      </c>
      <c r="BV2397" t="s">
        <v>680</v>
      </c>
    </row>
    <row r="2398" spans="69:74" x14ac:dyDescent="0.25">
      <c r="BQ2398">
        <v>80400042</v>
      </c>
      <c r="BR2398" s="15" t="s">
        <v>2697</v>
      </c>
      <c r="BS2398" t="s">
        <v>2698</v>
      </c>
      <c r="BT2398" t="s">
        <v>2705</v>
      </c>
      <c r="BU2398" t="s">
        <v>681</v>
      </c>
      <c r="BV2398" t="s">
        <v>680</v>
      </c>
    </row>
    <row r="2399" spans="69:74" x14ac:dyDescent="0.25">
      <c r="BQ2399">
        <v>80400052</v>
      </c>
      <c r="BR2399" s="15" t="s">
        <v>2697</v>
      </c>
      <c r="BS2399" t="s">
        <v>2698</v>
      </c>
      <c r="BT2399" t="s">
        <v>2706</v>
      </c>
      <c r="BU2399" t="s">
        <v>681</v>
      </c>
      <c r="BV2399" t="s">
        <v>680</v>
      </c>
    </row>
    <row r="2400" spans="69:74" x14ac:dyDescent="0.25">
      <c r="BQ2400">
        <v>80400053</v>
      </c>
      <c r="BR2400" s="15" t="s">
        <v>2697</v>
      </c>
      <c r="BS2400" t="s">
        <v>2698</v>
      </c>
      <c r="BT2400" t="s">
        <v>2706</v>
      </c>
      <c r="BU2400" t="s">
        <v>682</v>
      </c>
      <c r="BV2400" t="s">
        <v>680</v>
      </c>
    </row>
    <row r="2401" spans="69:74" x14ac:dyDescent="0.25">
      <c r="BQ2401">
        <v>80400423</v>
      </c>
      <c r="BR2401" s="15" t="s">
        <v>2697</v>
      </c>
      <c r="BS2401" t="s">
        <v>2698</v>
      </c>
      <c r="BT2401" t="s">
        <v>2706</v>
      </c>
      <c r="BU2401" t="s">
        <v>682</v>
      </c>
      <c r="BV2401" t="s">
        <v>680</v>
      </c>
    </row>
    <row r="2402" spans="69:74" x14ac:dyDescent="0.25">
      <c r="BQ2402">
        <v>80400472</v>
      </c>
      <c r="BR2402" s="15" t="s">
        <v>2697</v>
      </c>
      <c r="BS2402" t="s">
        <v>2698</v>
      </c>
      <c r="BT2402" t="s">
        <v>2707</v>
      </c>
      <c r="BU2402" t="s">
        <v>681</v>
      </c>
      <c r="BV2402" t="s">
        <v>680</v>
      </c>
    </row>
    <row r="2403" spans="69:74" x14ac:dyDescent="0.25">
      <c r="BQ2403">
        <v>80400483</v>
      </c>
      <c r="BR2403" s="15" t="s">
        <v>2697</v>
      </c>
      <c r="BS2403" t="s">
        <v>2698</v>
      </c>
      <c r="BT2403" t="s">
        <v>2708</v>
      </c>
      <c r="BU2403" t="s">
        <v>682</v>
      </c>
      <c r="BV2403" t="s">
        <v>680</v>
      </c>
    </row>
    <row r="2404" spans="69:74" x14ac:dyDescent="0.25">
      <c r="BQ2404">
        <v>80400062</v>
      </c>
      <c r="BR2404" s="15" t="s">
        <v>2697</v>
      </c>
      <c r="BS2404" t="s">
        <v>2698</v>
      </c>
      <c r="BT2404" t="s">
        <v>2709</v>
      </c>
      <c r="BU2404" t="s">
        <v>681</v>
      </c>
      <c r="BV2404" t="s">
        <v>680</v>
      </c>
    </row>
    <row r="2405" spans="69:74" x14ac:dyDescent="0.25">
      <c r="BQ2405">
        <v>80400492</v>
      </c>
      <c r="BR2405" s="15" t="s">
        <v>2697</v>
      </c>
      <c r="BS2405" t="s">
        <v>2698</v>
      </c>
      <c r="BT2405" t="s">
        <v>2710</v>
      </c>
      <c r="BU2405" t="s">
        <v>681</v>
      </c>
      <c r="BV2405" t="s">
        <v>680</v>
      </c>
    </row>
    <row r="2406" spans="69:74" x14ac:dyDescent="0.25">
      <c r="BQ2406">
        <v>80400503</v>
      </c>
      <c r="BR2406" s="15" t="s">
        <v>2697</v>
      </c>
      <c r="BS2406" t="s">
        <v>2698</v>
      </c>
      <c r="BT2406" t="s">
        <v>2711</v>
      </c>
      <c r="BU2406" t="s">
        <v>682</v>
      </c>
      <c r="BV2406" t="s">
        <v>680</v>
      </c>
    </row>
    <row r="2407" spans="69:74" x14ac:dyDescent="0.25">
      <c r="BQ2407">
        <v>80400072</v>
      </c>
      <c r="BR2407" s="15" t="s">
        <v>2697</v>
      </c>
      <c r="BS2407" t="s">
        <v>2698</v>
      </c>
      <c r="BT2407" t="s">
        <v>2712</v>
      </c>
      <c r="BU2407" t="s">
        <v>681</v>
      </c>
      <c r="BV2407" t="s">
        <v>680</v>
      </c>
    </row>
    <row r="2408" spans="69:74" x14ac:dyDescent="0.25">
      <c r="BQ2408">
        <v>80400073</v>
      </c>
      <c r="BR2408" s="15" t="s">
        <v>2697</v>
      </c>
      <c r="BS2408" t="s">
        <v>2698</v>
      </c>
      <c r="BT2408" t="s">
        <v>2712</v>
      </c>
      <c r="BU2408" t="s">
        <v>682</v>
      </c>
      <c r="BV2408" t="s">
        <v>680</v>
      </c>
    </row>
    <row r="2409" spans="69:74" x14ac:dyDescent="0.25">
      <c r="BQ2409">
        <v>80400403</v>
      </c>
      <c r="BR2409" s="15" t="s">
        <v>2697</v>
      </c>
      <c r="BS2409" t="s">
        <v>2698</v>
      </c>
      <c r="BT2409" t="s">
        <v>2712</v>
      </c>
      <c r="BU2409" t="s">
        <v>682</v>
      </c>
      <c r="BV2409" t="s">
        <v>680</v>
      </c>
    </row>
    <row r="2410" spans="69:74" x14ac:dyDescent="0.25">
      <c r="BQ2410">
        <v>80400082</v>
      </c>
      <c r="BR2410" s="15" t="s">
        <v>2697</v>
      </c>
      <c r="BS2410" t="s">
        <v>2698</v>
      </c>
      <c r="BT2410" t="s">
        <v>2713</v>
      </c>
      <c r="BU2410" t="s">
        <v>681</v>
      </c>
      <c r="BV2410" t="s">
        <v>680</v>
      </c>
    </row>
    <row r="2411" spans="69:74" x14ac:dyDescent="0.25">
      <c r="BQ2411">
        <v>80400083</v>
      </c>
      <c r="BR2411" s="15" t="s">
        <v>2697</v>
      </c>
      <c r="BS2411" t="s">
        <v>2698</v>
      </c>
      <c r="BT2411" t="s">
        <v>2713</v>
      </c>
      <c r="BU2411" t="s">
        <v>682</v>
      </c>
      <c r="BV2411" t="s">
        <v>680</v>
      </c>
    </row>
    <row r="2412" spans="69:74" x14ac:dyDescent="0.25">
      <c r="BQ2412">
        <v>80400092</v>
      </c>
      <c r="BR2412" s="15" t="s">
        <v>2697</v>
      </c>
      <c r="BS2412" t="s">
        <v>2698</v>
      </c>
      <c r="BT2412" t="s">
        <v>2714</v>
      </c>
      <c r="BU2412" t="s">
        <v>681</v>
      </c>
      <c r="BV2412" t="s">
        <v>680</v>
      </c>
    </row>
    <row r="2413" spans="69:74" x14ac:dyDescent="0.25">
      <c r="BQ2413">
        <v>80400093</v>
      </c>
      <c r="BR2413" s="15" t="s">
        <v>2697</v>
      </c>
      <c r="BS2413" t="s">
        <v>2698</v>
      </c>
      <c r="BT2413" t="s">
        <v>2714</v>
      </c>
      <c r="BU2413" t="s">
        <v>682</v>
      </c>
      <c r="BV2413" t="s">
        <v>680</v>
      </c>
    </row>
    <row r="2414" spans="69:74" x14ac:dyDescent="0.25">
      <c r="BQ2414">
        <v>80400102</v>
      </c>
      <c r="BR2414" s="15" t="s">
        <v>2697</v>
      </c>
      <c r="BS2414" t="s">
        <v>2698</v>
      </c>
      <c r="BT2414" t="s">
        <v>2715</v>
      </c>
      <c r="BU2414" t="s">
        <v>681</v>
      </c>
      <c r="BV2414" t="s">
        <v>680</v>
      </c>
    </row>
    <row r="2415" spans="69:74" x14ac:dyDescent="0.25">
      <c r="BQ2415">
        <v>80400103</v>
      </c>
      <c r="BR2415" s="15" t="s">
        <v>2697</v>
      </c>
      <c r="BS2415" t="s">
        <v>2698</v>
      </c>
      <c r="BT2415" t="s">
        <v>2715</v>
      </c>
      <c r="BU2415" t="s">
        <v>682</v>
      </c>
      <c r="BV2415" t="s">
        <v>680</v>
      </c>
    </row>
    <row r="2416" spans="69:74" x14ac:dyDescent="0.25">
      <c r="BQ2416">
        <v>80400112</v>
      </c>
      <c r="BR2416" s="15" t="s">
        <v>2697</v>
      </c>
      <c r="BS2416" t="s">
        <v>2698</v>
      </c>
      <c r="BT2416" t="s">
        <v>2716</v>
      </c>
      <c r="BU2416" t="s">
        <v>681</v>
      </c>
      <c r="BV2416" t="s">
        <v>680</v>
      </c>
    </row>
    <row r="2417" spans="69:74" x14ac:dyDescent="0.25">
      <c r="BQ2417">
        <v>80400373</v>
      </c>
      <c r="BR2417" s="15" t="s">
        <v>2697</v>
      </c>
      <c r="BS2417" t="s">
        <v>2698</v>
      </c>
      <c r="BT2417" t="s">
        <v>2717</v>
      </c>
      <c r="BU2417" t="s">
        <v>682</v>
      </c>
      <c r="BV2417" t="s">
        <v>680</v>
      </c>
    </row>
    <row r="2418" spans="69:74" x14ac:dyDescent="0.25">
      <c r="BQ2418">
        <v>80400122</v>
      </c>
      <c r="BR2418" s="15" t="s">
        <v>2697</v>
      </c>
      <c r="BS2418" t="s">
        <v>2698</v>
      </c>
      <c r="BT2418" t="s">
        <v>2718</v>
      </c>
      <c r="BU2418" t="s">
        <v>681</v>
      </c>
      <c r="BV2418" t="s">
        <v>680</v>
      </c>
    </row>
    <row r="2419" spans="69:74" x14ac:dyDescent="0.25">
      <c r="BQ2419">
        <v>80400132</v>
      </c>
      <c r="BR2419" s="15" t="s">
        <v>2697</v>
      </c>
      <c r="BS2419" t="s">
        <v>2698</v>
      </c>
      <c r="BT2419" t="s">
        <v>2719</v>
      </c>
      <c r="BU2419" t="s">
        <v>681</v>
      </c>
      <c r="BV2419" t="s">
        <v>680</v>
      </c>
    </row>
    <row r="2420" spans="69:74" x14ac:dyDescent="0.25">
      <c r="BQ2420">
        <v>80400133</v>
      </c>
      <c r="BR2420" s="15" t="s">
        <v>2697</v>
      </c>
      <c r="BS2420" t="s">
        <v>2698</v>
      </c>
      <c r="BT2420" t="s">
        <v>2719</v>
      </c>
      <c r="BU2420" t="s">
        <v>682</v>
      </c>
      <c r="BV2420" t="s">
        <v>680</v>
      </c>
    </row>
    <row r="2421" spans="69:74" x14ac:dyDescent="0.25">
      <c r="BQ2421">
        <v>80400353</v>
      </c>
      <c r="BR2421" s="15" t="s">
        <v>2697</v>
      </c>
      <c r="BS2421" t="s">
        <v>2698</v>
      </c>
      <c r="BT2421" t="s">
        <v>2720</v>
      </c>
      <c r="BU2421" t="s">
        <v>682</v>
      </c>
      <c r="BV2421" t="s">
        <v>680</v>
      </c>
    </row>
    <row r="2422" spans="69:74" x14ac:dyDescent="0.25">
      <c r="BQ2422">
        <v>80400142</v>
      </c>
      <c r="BR2422" s="15" t="s">
        <v>2697</v>
      </c>
      <c r="BS2422" t="s">
        <v>2698</v>
      </c>
      <c r="BT2422" t="s">
        <v>2721</v>
      </c>
      <c r="BU2422" t="s">
        <v>681</v>
      </c>
      <c r="BV2422" t="s">
        <v>680</v>
      </c>
    </row>
    <row r="2423" spans="69:74" x14ac:dyDescent="0.25">
      <c r="BQ2423">
        <v>80400143</v>
      </c>
      <c r="BR2423" s="15" t="s">
        <v>2697</v>
      </c>
      <c r="BS2423" t="s">
        <v>2698</v>
      </c>
      <c r="BT2423" t="s">
        <v>2721</v>
      </c>
      <c r="BU2423" t="s">
        <v>682</v>
      </c>
      <c r="BV2423" t="s">
        <v>680</v>
      </c>
    </row>
    <row r="2424" spans="69:74" x14ac:dyDescent="0.25">
      <c r="BQ2424">
        <v>80400152</v>
      </c>
      <c r="BR2424" s="15" t="s">
        <v>2697</v>
      </c>
      <c r="BS2424" t="s">
        <v>2698</v>
      </c>
      <c r="BT2424" t="s">
        <v>2722</v>
      </c>
      <c r="BU2424" t="s">
        <v>681</v>
      </c>
      <c r="BV2424" t="s">
        <v>680</v>
      </c>
    </row>
    <row r="2425" spans="69:74" x14ac:dyDescent="0.25">
      <c r="BQ2425">
        <v>80400153</v>
      </c>
      <c r="BR2425" s="15" t="s">
        <v>2697</v>
      </c>
      <c r="BS2425" t="s">
        <v>2698</v>
      </c>
      <c r="BT2425" t="s">
        <v>2722</v>
      </c>
      <c r="BU2425" t="s">
        <v>682</v>
      </c>
      <c r="BV2425" t="s">
        <v>680</v>
      </c>
    </row>
    <row r="2426" spans="69:74" x14ac:dyDescent="0.25">
      <c r="BQ2426">
        <v>80400383</v>
      </c>
      <c r="BR2426" s="15" t="s">
        <v>2697</v>
      </c>
      <c r="BS2426" t="s">
        <v>2698</v>
      </c>
      <c r="BT2426" t="s">
        <v>2722</v>
      </c>
      <c r="BU2426" t="s">
        <v>682</v>
      </c>
      <c r="BV2426" t="s">
        <v>680</v>
      </c>
    </row>
    <row r="2427" spans="69:74" x14ac:dyDescent="0.25">
      <c r="BQ2427">
        <v>80400162</v>
      </c>
      <c r="BR2427" s="15" t="s">
        <v>2697</v>
      </c>
      <c r="BS2427" t="s">
        <v>2698</v>
      </c>
      <c r="BT2427" t="s">
        <v>2723</v>
      </c>
      <c r="BU2427" t="s">
        <v>681</v>
      </c>
      <c r="BV2427" t="s">
        <v>680</v>
      </c>
    </row>
    <row r="2428" spans="69:74" x14ac:dyDescent="0.25">
      <c r="BQ2428">
        <v>80400172</v>
      </c>
      <c r="BR2428" s="15" t="s">
        <v>2697</v>
      </c>
      <c r="BS2428" t="s">
        <v>2698</v>
      </c>
      <c r="BT2428" t="s">
        <v>2724</v>
      </c>
      <c r="BU2428" t="s">
        <v>681</v>
      </c>
      <c r="BV2428" t="s">
        <v>680</v>
      </c>
    </row>
    <row r="2429" spans="69:74" x14ac:dyDescent="0.25">
      <c r="BQ2429">
        <v>80400343</v>
      </c>
      <c r="BR2429" s="15" t="s">
        <v>2697</v>
      </c>
      <c r="BS2429" t="s">
        <v>2698</v>
      </c>
      <c r="BT2429" t="s">
        <v>2725</v>
      </c>
      <c r="BU2429" t="s">
        <v>682</v>
      </c>
      <c r="BV2429" t="s">
        <v>680</v>
      </c>
    </row>
    <row r="2430" spans="69:74" x14ac:dyDescent="0.25">
      <c r="BQ2430">
        <v>80400182</v>
      </c>
      <c r="BR2430" s="15" t="s">
        <v>2697</v>
      </c>
      <c r="BS2430" t="s">
        <v>2698</v>
      </c>
      <c r="BT2430" t="s">
        <v>2726</v>
      </c>
      <c r="BU2430" t="s">
        <v>681</v>
      </c>
      <c r="BV2430" t="s">
        <v>680</v>
      </c>
    </row>
    <row r="2431" spans="69:74" x14ac:dyDescent="0.25">
      <c r="BQ2431">
        <v>80400192</v>
      </c>
      <c r="BR2431" s="15" t="s">
        <v>2697</v>
      </c>
      <c r="BS2431" t="s">
        <v>2698</v>
      </c>
      <c r="BT2431" t="s">
        <v>2727</v>
      </c>
      <c r="BU2431" t="s">
        <v>681</v>
      </c>
      <c r="BV2431" t="s">
        <v>680</v>
      </c>
    </row>
    <row r="2432" spans="69:74" x14ac:dyDescent="0.25">
      <c r="BQ2432">
        <v>80400202</v>
      </c>
      <c r="BR2432" s="15" t="s">
        <v>2697</v>
      </c>
      <c r="BS2432" t="s">
        <v>2698</v>
      </c>
      <c r="BT2432" t="s">
        <v>2728</v>
      </c>
      <c r="BU2432" t="s">
        <v>681</v>
      </c>
      <c r="BV2432" t="s">
        <v>680</v>
      </c>
    </row>
    <row r="2433" spans="69:74" x14ac:dyDescent="0.25">
      <c r="BQ2433">
        <v>80400212</v>
      </c>
      <c r="BR2433" s="15" t="s">
        <v>2697</v>
      </c>
      <c r="BS2433" t="s">
        <v>2698</v>
      </c>
      <c r="BT2433" t="s">
        <v>2729</v>
      </c>
      <c r="BU2433" t="s">
        <v>681</v>
      </c>
      <c r="BV2433" t="s">
        <v>680</v>
      </c>
    </row>
    <row r="2434" spans="69:74" x14ac:dyDescent="0.25">
      <c r="BQ2434">
        <v>80400222</v>
      </c>
      <c r="BR2434" s="15" t="s">
        <v>2697</v>
      </c>
      <c r="BS2434" t="s">
        <v>2698</v>
      </c>
      <c r="BT2434" t="s">
        <v>2730</v>
      </c>
      <c r="BU2434" t="s">
        <v>681</v>
      </c>
      <c r="BV2434" t="s">
        <v>680</v>
      </c>
    </row>
    <row r="2435" spans="69:74" x14ac:dyDescent="0.25">
      <c r="BQ2435">
        <v>80400232</v>
      </c>
      <c r="BR2435" s="15" t="s">
        <v>2697</v>
      </c>
      <c r="BS2435" t="s">
        <v>2698</v>
      </c>
      <c r="BT2435" t="s">
        <v>2731</v>
      </c>
      <c r="BU2435" t="s">
        <v>681</v>
      </c>
      <c r="BV2435" t="s">
        <v>680</v>
      </c>
    </row>
    <row r="2436" spans="69:74" x14ac:dyDescent="0.25">
      <c r="BQ2436">
        <v>80400233</v>
      </c>
      <c r="BR2436" s="15" t="s">
        <v>2697</v>
      </c>
      <c r="BS2436" t="s">
        <v>2698</v>
      </c>
      <c r="BT2436" t="s">
        <v>2731</v>
      </c>
      <c r="BU2436" t="s">
        <v>682</v>
      </c>
      <c r="BV2436" t="s">
        <v>680</v>
      </c>
    </row>
    <row r="2437" spans="69:74" x14ac:dyDescent="0.25">
      <c r="BQ2437">
        <v>80400363</v>
      </c>
      <c r="BR2437" s="15" t="s">
        <v>2697</v>
      </c>
      <c r="BS2437" t="s">
        <v>2698</v>
      </c>
      <c r="BT2437" t="s">
        <v>2732</v>
      </c>
      <c r="BU2437" t="s">
        <v>682</v>
      </c>
      <c r="BV2437" t="s">
        <v>680</v>
      </c>
    </row>
    <row r="2438" spans="69:74" x14ac:dyDescent="0.25">
      <c r="BQ2438">
        <v>80400513</v>
      </c>
      <c r="BR2438" s="15" t="s">
        <v>2697</v>
      </c>
      <c r="BS2438" t="s">
        <v>2698</v>
      </c>
      <c r="BT2438" t="s">
        <v>2733</v>
      </c>
      <c r="BU2438" t="s">
        <v>682</v>
      </c>
      <c r="BV2438" t="s">
        <v>680</v>
      </c>
    </row>
    <row r="2439" spans="69:74" x14ac:dyDescent="0.25">
      <c r="BQ2439">
        <v>80400242</v>
      </c>
      <c r="BR2439" s="15" t="s">
        <v>2697</v>
      </c>
      <c r="BS2439" t="s">
        <v>2698</v>
      </c>
      <c r="BT2439" t="s">
        <v>2734</v>
      </c>
      <c r="BU2439" t="s">
        <v>681</v>
      </c>
      <c r="BV2439" t="s">
        <v>680</v>
      </c>
    </row>
    <row r="2440" spans="69:74" x14ac:dyDescent="0.25">
      <c r="BQ2440">
        <v>80400243</v>
      </c>
      <c r="BR2440" s="15" t="s">
        <v>2697</v>
      </c>
      <c r="BS2440" t="s">
        <v>2698</v>
      </c>
      <c r="BT2440" t="s">
        <v>2734</v>
      </c>
      <c r="BU2440" t="s">
        <v>682</v>
      </c>
      <c r="BV2440" t="s">
        <v>680</v>
      </c>
    </row>
    <row r="2441" spans="69:74" x14ac:dyDescent="0.25">
      <c r="BQ2441">
        <v>80400413</v>
      </c>
      <c r="BR2441" s="15" t="s">
        <v>2697</v>
      </c>
      <c r="BS2441" t="s">
        <v>2698</v>
      </c>
      <c r="BT2441" t="s">
        <v>2734</v>
      </c>
      <c r="BU2441" t="s">
        <v>682</v>
      </c>
      <c r="BV2441" t="s">
        <v>680</v>
      </c>
    </row>
    <row r="2442" spans="69:74" x14ac:dyDescent="0.25">
      <c r="BQ2442">
        <v>80400252</v>
      </c>
      <c r="BR2442" s="15" t="s">
        <v>2697</v>
      </c>
      <c r="BS2442" t="s">
        <v>2698</v>
      </c>
      <c r="BT2442" t="s">
        <v>2735</v>
      </c>
      <c r="BU2442" t="s">
        <v>681</v>
      </c>
      <c r="BV2442" t="s">
        <v>680</v>
      </c>
    </row>
    <row r="2443" spans="69:74" x14ac:dyDescent="0.25">
      <c r="BQ2443">
        <v>80400522</v>
      </c>
      <c r="BR2443" s="15" t="s">
        <v>2697</v>
      </c>
      <c r="BS2443" t="s">
        <v>2698</v>
      </c>
      <c r="BT2443" t="s">
        <v>2736</v>
      </c>
      <c r="BU2443" t="s">
        <v>681</v>
      </c>
      <c r="BV2443" t="s">
        <v>680</v>
      </c>
    </row>
    <row r="2444" spans="69:74" x14ac:dyDescent="0.25">
      <c r="BQ2444">
        <v>80400432</v>
      </c>
      <c r="BR2444" s="15" t="s">
        <v>2697</v>
      </c>
      <c r="BS2444" t="s">
        <v>2698</v>
      </c>
      <c r="BT2444" t="s">
        <v>2737</v>
      </c>
      <c r="BU2444" t="s">
        <v>681</v>
      </c>
      <c r="BV2444" t="s">
        <v>680</v>
      </c>
    </row>
    <row r="2445" spans="69:74" x14ac:dyDescent="0.25">
      <c r="BQ2445">
        <v>80400262</v>
      </c>
      <c r="BR2445" s="15" t="s">
        <v>2697</v>
      </c>
      <c r="BS2445" t="s">
        <v>2698</v>
      </c>
      <c r="BT2445" t="s">
        <v>2738</v>
      </c>
      <c r="BU2445" t="s">
        <v>681</v>
      </c>
      <c r="BV2445" t="s">
        <v>680</v>
      </c>
    </row>
    <row r="2446" spans="69:74" x14ac:dyDescent="0.25">
      <c r="BQ2446">
        <v>80400263</v>
      </c>
      <c r="BR2446" s="15" t="s">
        <v>2697</v>
      </c>
      <c r="BS2446" t="s">
        <v>2698</v>
      </c>
      <c r="BT2446" t="s">
        <v>2738</v>
      </c>
      <c r="BU2446" t="s">
        <v>682</v>
      </c>
      <c r="BV2446" t="s">
        <v>680</v>
      </c>
    </row>
    <row r="2447" spans="69:74" x14ac:dyDescent="0.25">
      <c r="BQ2447">
        <v>80400272</v>
      </c>
      <c r="BR2447" s="15" t="s">
        <v>2697</v>
      </c>
      <c r="BS2447" t="s">
        <v>2698</v>
      </c>
      <c r="BT2447" t="s">
        <v>2739</v>
      </c>
      <c r="BU2447" t="s">
        <v>681</v>
      </c>
      <c r="BV2447" t="s">
        <v>680</v>
      </c>
    </row>
    <row r="2448" spans="69:74" x14ac:dyDescent="0.25">
      <c r="BQ2448">
        <v>80400282</v>
      </c>
      <c r="BR2448" s="15" t="s">
        <v>2697</v>
      </c>
      <c r="BS2448" t="s">
        <v>2698</v>
      </c>
      <c r="BT2448" t="s">
        <v>2740</v>
      </c>
      <c r="BU2448" t="s">
        <v>681</v>
      </c>
      <c r="BV2448" t="s">
        <v>680</v>
      </c>
    </row>
    <row r="2449" spans="69:74" x14ac:dyDescent="0.25">
      <c r="BQ2449">
        <v>80400292</v>
      </c>
      <c r="BR2449" s="15" t="s">
        <v>2697</v>
      </c>
      <c r="BS2449" t="s">
        <v>2698</v>
      </c>
      <c r="BT2449" t="s">
        <v>2741</v>
      </c>
      <c r="BU2449" t="s">
        <v>681</v>
      </c>
      <c r="BV2449" t="s">
        <v>680</v>
      </c>
    </row>
    <row r="2450" spans="69:74" x14ac:dyDescent="0.25">
      <c r="BQ2450">
        <v>80400293</v>
      </c>
      <c r="BR2450" s="15" t="s">
        <v>2697</v>
      </c>
      <c r="BS2450" t="s">
        <v>2698</v>
      </c>
      <c r="BT2450" t="s">
        <v>2741</v>
      </c>
      <c r="BU2450" t="s">
        <v>682</v>
      </c>
      <c r="BV2450" t="s">
        <v>680</v>
      </c>
    </row>
    <row r="2451" spans="69:74" x14ac:dyDescent="0.25">
      <c r="BQ2451">
        <v>80400393</v>
      </c>
      <c r="BR2451" s="15" t="s">
        <v>2697</v>
      </c>
      <c r="BS2451" t="s">
        <v>2698</v>
      </c>
      <c r="BT2451" t="s">
        <v>2741</v>
      </c>
      <c r="BU2451" t="s">
        <v>682</v>
      </c>
      <c r="BV2451" t="s">
        <v>680</v>
      </c>
    </row>
    <row r="2452" spans="69:74" x14ac:dyDescent="0.25">
      <c r="BQ2452">
        <v>80400302</v>
      </c>
      <c r="BR2452" s="15" t="s">
        <v>2697</v>
      </c>
      <c r="BS2452" t="s">
        <v>2698</v>
      </c>
      <c r="BT2452" t="s">
        <v>2742</v>
      </c>
      <c r="BU2452" t="s">
        <v>681</v>
      </c>
      <c r="BV2452" t="s">
        <v>680</v>
      </c>
    </row>
    <row r="2453" spans="69:74" x14ac:dyDescent="0.25">
      <c r="BQ2453">
        <v>80400303</v>
      </c>
      <c r="BR2453" s="15" t="s">
        <v>2697</v>
      </c>
      <c r="BS2453" t="s">
        <v>2698</v>
      </c>
      <c r="BT2453" t="s">
        <v>2742</v>
      </c>
      <c r="BU2453" t="s">
        <v>682</v>
      </c>
      <c r="BV2453" t="s">
        <v>680</v>
      </c>
    </row>
    <row r="2454" spans="69:74" x14ac:dyDescent="0.25">
      <c r="BQ2454">
        <v>80400533</v>
      </c>
      <c r="BR2454" s="15" t="s">
        <v>2697</v>
      </c>
      <c r="BS2454" t="s">
        <v>2698</v>
      </c>
      <c r="BT2454" t="s">
        <v>2743</v>
      </c>
      <c r="BU2454" t="s">
        <v>682</v>
      </c>
      <c r="BV2454" t="s">
        <v>680</v>
      </c>
    </row>
    <row r="2455" spans="69:74" x14ac:dyDescent="0.25">
      <c r="BQ2455">
        <v>80400312</v>
      </c>
      <c r="BR2455" s="15" t="s">
        <v>2697</v>
      </c>
      <c r="BS2455" t="s">
        <v>2698</v>
      </c>
      <c r="BT2455" t="s">
        <v>2744</v>
      </c>
      <c r="BU2455" t="s">
        <v>681</v>
      </c>
      <c r="BV2455" t="s">
        <v>680</v>
      </c>
    </row>
    <row r="2456" spans="69:74" x14ac:dyDescent="0.25">
      <c r="BQ2456">
        <v>80400313</v>
      </c>
      <c r="BR2456" s="15" t="s">
        <v>2697</v>
      </c>
      <c r="BS2456" t="s">
        <v>2698</v>
      </c>
      <c r="BT2456" t="s">
        <v>2744</v>
      </c>
      <c r="BU2456" t="s">
        <v>682</v>
      </c>
      <c r="BV2456" t="s">
        <v>680</v>
      </c>
    </row>
    <row r="2457" spans="69:74" x14ac:dyDescent="0.25">
      <c r="BQ2457">
        <v>80400322</v>
      </c>
      <c r="BR2457" s="15" t="s">
        <v>2697</v>
      </c>
      <c r="BS2457" t="s">
        <v>2698</v>
      </c>
      <c r="BT2457" t="s">
        <v>2649</v>
      </c>
      <c r="BU2457" t="s">
        <v>681</v>
      </c>
      <c r="BV2457" t="s">
        <v>680</v>
      </c>
    </row>
    <row r="2458" spans="69:74" x14ac:dyDescent="0.25">
      <c r="BQ2458">
        <v>80400332</v>
      </c>
      <c r="BR2458" s="15" t="s">
        <v>2697</v>
      </c>
      <c r="BS2458" t="s">
        <v>2698</v>
      </c>
      <c r="BT2458" t="s">
        <v>2745</v>
      </c>
      <c r="BU2458" t="s">
        <v>681</v>
      </c>
      <c r="BV2458" t="s">
        <v>680</v>
      </c>
    </row>
    <row r="2459" spans="69:74" x14ac:dyDescent="0.25">
      <c r="BQ2459">
        <v>90100092</v>
      </c>
      <c r="BR2459" s="15" t="s">
        <v>2746</v>
      </c>
      <c r="BS2459" t="s">
        <v>2747</v>
      </c>
      <c r="BT2459" t="s">
        <v>2748</v>
      </c>
      <c r="BU2459" t="s">
        <v>681</v>
      </c>
      <c r="BV2459" t="s">
        <v>680</v>
      </c>
    </row>
    <row r="2460" spans="69:74" x14ac:dyDescent="0.25">
      <c r="BQ2460">
        <v>90100093</v>
      </c>
      <c r="BR2460" s="15" t="s">
        <v>2746</v>
      </c>
      <c r="BS2460" t="s">
        <v>2747</v>
      </c>
      <c r="BT2460" t="s">
        <v>2748</v>
      </c>
      <c r="BU2460" t="s">
        <v>682</v>
      </c>
      <c r="BV2460" t="s">
        <v>680</v>
      </c>
    </row>
    <row r="2461" spans="69:74" x14ac:dyDescent="0.25">
      <c r="BQ2461">
        <v>90100042</v>
      </c>
      <c r="BR2461" s="15" t="s">
        <v>2746</v>
      </c>
      <c r="BS2461" t="s">
        <v>2747</v>
      </c>
      <c r="BT2461" t="s">
        <v>2749</v>
      </c>
      <c r="BU2461" t="s">
        <v>681</v>
      </c>
      <c r="BV2461" t="s">
        <v>680</v>
      </c>
    </row>
    <row r="2462" spans="69:74" x14ac:dyDescent="0.25">
      <c r="BQ2462">
        <v>90100082</v>
      </c>
      <c r="BR2462" s="15" t="s">
        <v>2746</v>
      </c>
      <c r="BS2462" t="s">
        <v>2747</v>
      </c>
      <c r="BT2462" t="s">
        <v>2750</v>
      </c>
      <c r="BU2462" t="s">
        <v>681</v>
      </c>
      <c r="BV2462" t="s">
        <v>680</v>
      </c>
    </row>
    <row r="2463" spans="69:74" x14ac:dyDescent="0.25">
      <c r="BQ2463">
        <v>90100083</v>
      </c>
      <c r="BR2463" s="15" t="s">
        <v>2746</v>
      </c>
      <c r="BS2463" t="s">
        <v>2747</v>
      </c>
      <c r="BT2463" t="s">
        <v>2750</v>
      </c>
      <c r="BU2463" t="s">
        <v>682</v>
      </c>
      <c r="BV2463" t="s">
        <v>680</v>
      </c>
    </row>
    <row r="2464" spans="69:74" x14ac:dyDescent="0.25">
      <c r="BQ2464">
        <v>90100012</v>
      </c>
      <c r="BR2464" s="15" t="s">
        <v>2746</v>
      </c>
      <c r="BS2464" t="s">
        <v>2747</v>
      </c>
      <c r="BT2464" t="s">
        <v>2751</v>
      </c>
      <c r="BU2464" t="s">
        <v>681</v>
      </c>
      <c r="BV2464" t="s">
        <v>680</v>
      </c>
    </row>
    <row r="2465" spans="69:74" x14ac:dyDescent="0.25">
      <c r="BQ2465">
        <v>90100013</v>
      </c>
      <c r="BR2465" s="15" t="s">
        <v>2746</v>
      </c>
      <c r="BS2465" t="s">
        <v>2747</v>
      </c>
      <c r="BT2465" t="s">
        <v>2751</v>
      </c>
      <c r="BU2465" t="s">
        <v>682</v>
      </c>
      <c r="BV2465" t="s">
        <v>680</v>
      </c>
    </row>
    <row r="2466" spans="69:74" x14ac:dyDescent="0.25">
      <c r="BQ2466">
        <v>90100053</v>
      </c>
      <c r="BR2466" s="15" t="s">
        <v>2746</v>
      </c>
      <c r="BS2466" t="s">
        <v>2747</v>
      </c>
      <c r="BT2466" t="s">
        <v>2752</v>
      </c>
      <c r="BU2466" t="s">
        <v>682</v>
      </c>
      <c r="BV2466" t="s">
        <v>680</v>
      </c>
    </row>
    <row r="2467" spans="69:74" x14ac:dyDescent="0.25">
      <c r="BQ2467">
        <v>90100063</v>
      </c>
      <c r="BR2467" s="15" t="s">
        <v>2746</v>
      </c>
      <c r="BS2467" t="s">
        <v>2747</v>
      </c>
      <c r="BT2467" t="s">
        <v>2753</v>
      </c>
      <c r="BU2467" t="s">
        <v>682</v>
      </c>
      <c r="BV2467" t="s">
        <v>680</v>
      </c>
    </row>
    <row r="2468" spans="69:74" x14ac:dyDescent="0.25">
      <c r="BQ2468">
        <v>90100072</v>
      </c>
      <c r="BR2468" s="15" t="s">
        <v>2746</v>
      </c>
      <c r="BS2468" t="s">
        <v>2747</v>
      </c>
      <c r="BT2468" t="s">
        <v>2754</v>
      </c>
      <c r="BU2468" t="s">
        <v>681</v>
      </c>
      <c r="BV2468" t="s">
        <v>680</v>
      </c>
    </row>
    <row r="2469" spans="69:74" x14ac:dyDescent="0.25">
      <c r="BQ2469">
        <v>90100073</v>
      </c>
      <c r="BR2469" s="15" t="s">
        <v>2746</v>
      </c>
      <c r="BS2469" t="s">
        <v>2747</v>
      </c>
      <c r="BT2469" t="s">
        <v>2754</v>
      </c>
      <c r="BU2469" t="s">
        <v>682</v>
      </c>
      <c r="BV2469" t="s">
        <v>680</v>
      </c>
    </row>
    <row r="2470" spans="69:74" x14ac:dyDescent="0.25">
      <c r="BQ2470">
        <v>90100022</v>
      </c>
      <c r="BR2470" s="15" t="s">
        <v>2746</v>
      </c>
      <c r="BS2470" t="s">
        <v>2747</v>
      </c>
      <c r="BT2470" t="s">
        <v>2747</v>
      </c>
      <c r="BU2470" t="s">
        <v>681</v>
      </c>
      <c r="BV2470" t="s">
        <v>680</v>
      </c>
    </row>
    <row r="2471" spans="69:74" x14ac:dyDescent="0.25">
      <c r="BQ2471">
        <v>90100023</v>
      </c>
      <c r="BR2471" s="15" t="s">
        <v>2746</v>
      </c>
      <c r="BS2471" t="s">
        <v>2747</v>
      </c>
      <c r="BT2471" t="s">
        <v>2747</v>
      </c>
      <c r="BU2471" t="s">
        <v>682</v>
      </c>
      <c r="BV2471" t="s">
        <v>680</v>
      </c>
    </row>
    <row r="2472" spans="69:74" x14ac:dyDescent="0.25">
      <c r="BQ2472">
        <v>90100032</v>
      </c>
      <c r="BR2472" s="15" t="s">
        <v>2746</v>
      </c>
      <c r="BS2472" t="s">
        <v>2747</v>
      </c>
      <c r="BT2472" t="s">
        <v>2755</v>
      </c>
      <c r="BU2472" t="s">
        <v>681</v>
      </c>
      <c r="BV2472" t="s">
        <v>680</v>
      </c>
    </row>
    <row r="2473" spans="69:74" x14ac:dyDescent="0.25">
      <c r="BQ2473">
        <v>90100033</v>
      </c>
      <c r="BR2473" s="15" t="s">
        <v>2746</v>
      </c>
      <c r="BS2473" t="s">
        <v>2747</v>
      </c>
      <c r="BT2473" t="s">
        <v>2755</v>
      </c>
      <c r="BU2473" t="s">
        <v>682</v>
      </c>
      <c r="BV2473" t="s">
        <v>680</v>
      </c>
    </row>
    <row r="2474" spans="69:74" x14ac:dyDescent="0.25">
      <c r="BQ2474">
        <v>90200083</v>
      </c>
      <c r="BR2474" s="15" t="s">
        <v>2756</v>
      </c>
      <c r="BS2474" t="s">
        <v>2757</v>
      </c>
      <c r="BT2474" t="s">
        <v>2758</v>
      </c>
      <c r="BU2474" t="s">
        <v>682</v>
      </c>
      <c r="BV2474" t="s">
        <v>680</v>
      </c>
    </row>
    <row r="2475" spans="69:74" x14ac:dyDescent="0.25">
      <c r="BQ2475">
        <v>90200062</v>
      </c>
      <c r="BR2475" s="15" t="s">
        <v>2756</v>
      </c>
      <c r="BS2475" t="s">
        <v>2757</v>
      </c>
      <c r="BT2475" t="s">
        <v>2759</v>
      </c>
      <c r="BU2475" t="s">
        <v>681</v>
      </c>
      <c r="BV2475" t="s">
        <v>680</v>
      </c>
    </row>
    <row r="2476" spans="69:74" x14ac:dyDescent="0.25">
      <c r="BQ2476">
        <v>90200072</v>
      </c>
      <c r="BR2476" s="15" t="s">
        <v>2756</v>
      </c>
      <c r="BS2476" t="s">
        <v>2757</v>
      </c>
      <c r="BT2476" t="s">
        <v>2760</v>
      </c>
      <c r="BU2476" t="s">
        <v>681</v>
      </c>
      <c r="BV2476" t="s">
        <v>680</v>
      </c>
    </row>
    <row r="2477" spans="69:74" x14ac:dyDescent="0.25">
      <c r="BQ2477">
        <v>90200012</v>
      </c>
      <c r="BR2477" s="15" t="s">
        <v>2756</v>
      </c>
      <c r="BS2477" t="s">
        <v>2757</v>
      </c>
      <c r="BT2477" t="s">
        <v>2761</v>
      </c>
      <c r="BU2477" t="s">
        <v>681</v>
      </c>
      <c r="BV2477" t="s">
        <v>680</v>
      </c>
    </row>
    <row r="2478" spans="69:74" x14ac:dyDescent="0.25">
      <c r="BQ2478">
        <v>90200052</v>
      </c>
      <c r="BR2478" s="15" t="s">
        <v>2756</v>
      </c>
      <c r="BS2478" t="s">
        <v>2757</v>
      </c>
      <c r="BT2478" t="s">
        <v>2762</v>
      </c>
      <c r="BU2478" t="s">
        <v>681</v>
      </c>
      <c r="BV2478" t="s">
        <v>680</v>
      </c>
    </row>
    <row r="2479" spans="69:74" x14ac:dyDescent="0.25">
      <c r="BQ2479">
        <v>90200022</v>
      </c>
      <c r="BR2479" s="15" t="s">
        <v>2756</v>
      </c>
      <c r="BS2479" t="s">
        <v>2757</v>
      </c>
      <c r="BT2479" t="s">
        <v>2763</v>
      </c>
      <c r="BU2479" t="s">
        <v>681</v>
      </c>
      <c r="BV2479" t="s">
        <v>680</v>
      </c>
    </row>
    <row r="2480" spans="69:74" x14ac:dyDescent="0.25">
      <c r="BQ2480">
        <v>90200032</v>
      </c>
      <c r="BR2480" s="15" t="s">
        <v>2756</v>
      </c>
      <c r="BS2480" t="s">
        <v>2757</v>
      </c>
      <c r="BT2480" t="s">
        <v>2764</v>
      </c>
      <c r="BU2480" t="s">
        <v>681</v>
      </c>
      <c r="BV2480" t="s">
        <v>680</v>
      </c>
    </row>
    <row r="2481" spans="69:74" x14ac:dyDescent="0.25">
      <c r="BQ2481">
        <v>90200042</v>
      </c>
      <c r="BR2481" s="15" t="s">
        <v>2756</v>
      </c>
      <c r="BS2481" t="s">
        <v>2757</v>
      </c>
      <c r="BT2481" t="s">
        <v>2765</v>
      </c>
      <c r="BU2481" t="s">
        <v>681</v>
      </c>
      <c r="BV2481" t="s">
        <v>680</v>
      </c>
    </row>
  </sheetData>
  <phoneticPr fontId="129" type="noConversion"/>
  <conditionalFormatting sqref="BB4:BC20">
    <cfRule type="iconSet" priority="1">
      <iconSet iconSet="3Symbols2" showValue="0">
        <cfvo type="percent" val="0"/>
        <cfvo type="num" val="1" gte="0"/>
        <cfvo type="num" val="1"/>
      </iconSet>
    </cfRule>
  </conditionalFormatting>
  <pageMargins left="0.7" right="0.7" top="0.75" bottom="0.75" header="0.3" footer="0.3"/>
  <pageSetup paperSize="9" orientation="portrait"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61603-8215-4D27-9BD9-2B56ADFD3A8E}">
  <sheetPr codeName="Sheet4">
    <tabColor rgb="FFFFFF00"/>
  </sheetPr>
  <dimension ref="E6:EP88"/>
  <sheetViews>
    <sheetView workbookViewId="0">
      <selection activeCell="AL16" sqref="AL16"/>
    </sheetView>
  </sheetViews>
  <sheetFormatPr defaultRowHeight="15" x14ac:dyDescent="0.25"/>
  <cols>
    <col min="1" max="4" width="3" customWidth="1"/>
    <col min="5" max="5" width="10.85546875" bestFit="1" customWidth="1"/>
    <col min="6" max="6" width="10" bestFit="1" customWidth="1"/>
    <col min="7" max="7" width="4.42578125" bestFit="1" customWidth="1"/>
    <col min="8" max="8" width="3.42578125" bestFit="1" customWidth="1"/>
    <col min="9" max="9" width="29.85546875" customWidth="1"/>
    <col min="10" max="10" width="48" customWidth="1"/>
    <col min="11" max="11" width="9.5703125" bestFit="1" customWidth="1"/>
    <col min="12" max="12" width="5" bestFit="1" customWidth="1"/>
    <col min="13" max="13" width="5.42578125" bestFit="1" customWidth="1"/>
    <col min="14" max="14" width="10" bestFit="1" customWidth="1"/>
    <col min="15" max="15" width="9.5703125" bestFit="1" customWidth="1"/>
    <col min="16" max="16" width="8.140625" bestFit="1" customWidth="1"/>
    <col min="17" max="17" width="12.140625" bestFit="1" customWidth="1"/>
    <col min="18" max="18" width="5.7109375" bestFit="1" customWidth="1"/>
    <col min="19" max="19" width="9.5703125" bestFit="1" customWidth="1"/>
    <col min="20" max="20" width="10.140625" bestFit="1" customWidth="1"/>
    <col min="22" max="22" width="8.5703125" bestFit="1" customWidth="1"/>
    <col min="23" max="23" width="7.85546875" bestFit="1" customWidth="1"/>
    <col min="24" max="24" width="5.28515625" bestFit="1" customWidth="1"/>
    <col min="25" max="26" width="9.85546875" bestFit="1" customWidth="1"/>
    <col min="27" max="27" width="5.85546875" bestFit="1" customWidth="1"/>
    <col min="28" max="28" width="9.85546875" bestFit="1" customWidth="1"/>
    <col min="29" max="29" width="10.140625" bestFit="1" customWidth="1"/>
    <col min="30" max="31" width="6.42578125" customWidth="1"/>
    <col min="32" max="32" width="8.42578125" bestFit="1" customWidth="1"/>
    <col min="33" max="33" width="12.28515625" bestFit="1" customWidth="1"/>
    <col min="34" max="34" width="9.85546875" bestFit="1" customWidth="1"/>
    <col min="35" max="36" width="6.42578125" customWidth="1"/>
    <col min="37" max="37" width="9.140625" customWidth="1"/>
    <col min="38" max="38" width="22" customWidth="1"/>
    <col min="39" max="39" width="20.28515625" customWidth="1"/>
    <col min="40" max="40" width="9.28515625" customWidth="1"/>
    <col min="41" max="41" width="16.7109375" bestFit="1" customWidth="1"/>
    <col min="42" max="44" width="3.5703125" customWidth="1"/>
    <col min="45" max="45" width="10" bestFit="1" customWidth="1"/>
    <col min="47" max="47" width="4" bestFit="1" customWidth="1"/>
    <col min="48" max="48" width="3.85546875" customWidth="1"/>
    <col min="49" max="49" width="38.85546875" bestFit="1" customWidth="1"/>
    <col min="50" max="50" width="15.42578125" bestFit="1" customWidth="1"/>
    <col min="51" max="51" width="8.5703125" customWidth="1"/>
    <col min="52" max="52" width="9.28515625" customWidth="1"/>
    <col min="53" max="53" width="4.85546875" bestFit="1" customWidth="1"/>
    <col min="54" max="54" width="10" bestFit="1" customWidth="1"/>
    <col min="55" max="55" width="8.85546875" bestFit="1" customWidth="1"/>
    <col min="56" max="56" width="22.7109375" bestFit="1" customWidth="1"/>
    <col min="57" max="57" width="6" bestFit="1" customWidth="1"/>
    <col min="58" max="58" width="4.5703125" bestFit="1" customWidth="1"/>
    <col min="59" max="59" width="10.28515625" bestFit="1" customWidth="1"/>
    <col min="60" max="60" width="10.140625" bestFit="1" customWidth="1"/>
    <col min="64" max="64" width="13.140625" bestFit="1" customWidth="1"/>
    <col min="65" max="65" width="11.28515625" bestFit="1" customWidth="1"/>
    <col min="66" max="66" width="8.140625" bestFit="1" customWidth="1"/>
    <col min="67" max="67" width="6.5703125" bestFit="1" customWidth="1"/>
    <col min="68" max="68" width="7.85546875" bestFit="1" customWidth="1"/>
    <col min="69" max="69" width="9.85546875" bestFit="1" customWidth="1"/>
    <col min="70" max="70" width="10.140625" bestFit="1" customWidth="1"/>
    <col min="71" max="71" width="4" bestFit="1" customWidth="1"/>
    <col min="72" max="72" width="4" customWidth="1"/>
    <col min="73" max="74" width="9.85546875" bestFit="1" customWidth="1"/>
    <col min="75" max="75" width="4" bestFit="1" customWidth="1"/>
    <col min="76" max="76" width="4.28515625" bestFit="1" customWidth="1"/>
    <col min="77" max="77" width="10.140625" customWidth="1"/>
    <col min="78" max="78" width="29.28515625" customWidth="1"/>
    <col min="79" max="79" width="15.42578125" bestFit="1" customWidth="1"/>
    <col min="80" max="80" width="8.85546875" bestFit="1" customWidth="1"/>
    <col min="81" max="81" width="29.28515625" customWidth="1"/>
    <col min="82" max="84" width="4.5703125" customWidth="1"/>
    <col min="85" max="85" width="10" bestFit="1" customWidth="1"/>
    <col min="86" max="86" width="9.42578125" bestFit="1" customWidth="1"/>
    <col min="87" max="87" width="4.28515625" bestFit="1" customWidth="1"/>
    <col min="88" max="88" width="2.7109375" bestFit="1" customWidth="1"/>
    <col min="89" max="89" width="28.28515625" customWidth="1"/>
    <col min="90" max="90" width="9.5703125" bestFit="1" customWidth="1"/>
    <col min="91" max="91" width="12.85546875" bestFit="1" customWidth="1"/>
    <col min="92" max="92" width="9.140625" bestFit="1" customWidth="1"/>
    <col min="93" max="93" width="10.140625" bestFit="1" customWidth="1"/>
    <col min="94" max="94" width="4.28515625" bestFit="1" customWidth="1"/>
    <col min="95" max="95" width="9.85546875" bestFit="1" customWidth="1"/>
    <col min="96" max="96" width="6.28515625" bestFit="1" customWidth="1"/>
    <col min="97" max="99" width="4.5703125" customWidth="1"/>
    <col min="100" max="100" width="8.42578125" bestFit="1" customWidth="1"/>
    <col min="101" max="101" width="16.85546875" bestFit="1" customWidth="1"/>
    <col min="102" max="102" width="32.28515625" bestFit="1" customWidth="1"/>
    <col min="104" max="104" width="35.28515625" customWidth="1"/>
    <col min="110" max="110" width="13.85546875" bestFit="1" customWidth="1"/>
    <col min="111" max="111" width="9.85546875" bestFit="1" customWidth="1"/>
    <col min="112" max="112" width="9.42578125" bestFit="1" customWidth="1"/>
    <col min="113" max="113" width="6.28515625" bestFit="1" customWidth="1"/>
    <col min="114" max="114" width="5.7109375" bestFit="1" customWidth="1"/>
    <col min="115" max="115" width="10.5703125" bestFit="1" customWidth="1"/>
    <col min="116" max="116" width="10.7109375" bestFit="1" customWidth="1"/>
    <col min="117" max="117" width="5.5703125" bestFit="1" customWidth="1"/>
    <col min="118" max="118" width="8.5703125" bestFit="1" customWidth="1"/>
    <col min="119" max="119" width="9.28515625" bestFit="1" customWidth="1"/>
    <col min="120" max="120" width="8" bestFit="1" customWidth="1"/>
    <col min="121" max="121" width="10" bestFit="1" customWidth="1"/>
    <col min="122" max="122" width="9.42578125" bestFit="1" customWidth="1"/>
    <col min="123" max="125" width="4.5703125" customWidth="1"/>
    <col min="126" max="126" width="18" bestFit="1" customWidth="1"/>
    <col min="127" max="127" width="22.42578125" bestFit="1" customWidth="1"/>
    <col min="128" max="128" width="28.28515625" bestFit="1" customWidth="1"/>
    <col min="129" max="129" width="5" bestFit="1" customWidth="1"/>
    <col min="130" max="130" width="11.42578125" bestFit="1" customWidth="1"/>
    <col min="131" max="131" width="7.5703125" bestFit="1" customWidth="1"/>
    <col min="132" max="132" width="11.7109375" bestFit="1" customWidth="1"/>
    <col min="133" max="133" width="9.28515625" bestFit="1" customWidth="1"/>
    <col min="134" max="134" width="9.85546875" bestFit="1" customWidth="1"/>
    <col min="135" max="135" width="8.140625" bestFit="1" customWidth="1"/>
    <col min="136" max="136" width="12.42578125" bestFit="1" customWidth="1"/>
    <col min="137" max="137" width="11.7109375" bestFit="1" customWidth="1"/>
    <col min="138" max="138" width="5.28515625" bestFit="1" customWidth="1"/>
    <col min="139" max="139" width="9.85546875" bestFit="1" customWidth="1"/>
    <col min="140" max="140" width="10.28515625" bestFit="1" customWidth="1"/>
    <col min="141" max="141" width="10.28515625" customWidth="1"/>
    <col min="142" max="142" width="10" bestFit="1" customWidth="1"/>
    <col min="143" max="143" width="5.85546875" bestFit="1" customWidth="1"/>
    <col min="144" max="144" width="8.42578125" bestFit="1" customWidth="1"/>
    <col min="145" max="145" width="12.28515625" bestFit="1" customWidth="1"/>
    <col min="146" max="146" width="9.85546875" bestFit="1" customWidth="1"/>
  </cols>
  <sheetData>
    <row r="6" spans="5:146" x14ac:dyDescent="0.25">
      <c r="AW6" t="s">
        <v>971</v>
      </c>
      <c r="CK6" t="s">
        <v>1000</v>
      </c>
    </row>
    <row r="7" spans="5:146" x14ac:dyDescent="0.25">
      <c r="J7" t="s">
        <v>969</v>
      </c>
    </row>
    <row r="9" spans="5:146" ht="15.75" thickBot="1" x14ac:dyDescent="0.3"/>
    <row r="10" spans="5:146" ht="17.25" customHeight="1" thickBot="1" x14ac:dyDescent="0.35">
      <c r="E10" s="2900" t="s">
        <v>133</v>
      </c>
      <c r="F10" s="2900" t="s">
        <v>135</v>
      </c>
      <c r="G10" s="2900" t="s">
        <v>405</v>
      </c>
      <c r="H10" s="2898" t="s">
        <v>573</v>
      </c>
      <c r="I10" s="2589" t="s">
        <v>16</v>
      </c>
      <c r="J10" s="2902" t="s">
        <v>965</v>
      </c>
      <c r="K10" s="2903" t="s">
        <v>18</v>
      </c>
      <c r="L10" s="2584" t="s">
        <v>19</v>
      </c>
      <c r="M10" s="2575" t="s">
        <v>20</v>
      </c>
      <c r="N10" s="2575" t="s">
        <v>562</v>
      </c>
      <c r="O10" s="2587" t="s">
        <v>502</v>
      </c>
      <c r="P10" s="2590" t="s">
        <v>2797</v>
      </c>
      <c r="Q10" s="2591"/>
      <c r="R10" s="2584" t="s">
        <v>21</v>
      </c>
      <c r="S10" s="2607" t="s">
        <v>468</v>
      </c>
      <c r="T10" s="2609" t="s">
        <v>309</v>
      </c>
      <c r="U10" s="2589" t="s">
        <v>332</v>
      </c>
      <c r="V10" s="2575"/>
      <c r="W10" s="2587"/>
      <c r="X10" s="2879" t="s">
        <v>313</v>
      </c>
      <c r="Y10" s="2880"/>
      <c r="Z10" s="2880"/>
      <c r="AA10" s="2879" t="s">
        <v>310</v>
      </c>
      <c r="AB10" s="2880"/>
      <c r="AC10" s="2880"/>
      <c r="AD10" s="2880"/>
      <c r="AE10" s="2881"/>
      <c r="AF10" s="2879" t="s">
        <v>336</v>
      </c>
      <c r="AG10" s="2880"/>
      <c r="AH10" s="2880"/>
      <c r="AI10" s="2880"/>
      <c r="AJ10" s="2881"/>
      <c r="AK10" s="2879" t="s">
        <v>207</v>
      </c>
      <c r="AL10" s="2880"/>
      <c r="AM10" s="2880"/>
      <c r="AN10" s="2880"/>
      <c r="AO10" s="2881"/>
      <c r="AS10" s="348"/>
      <c r="AT10" s="348"/>
      <c r="AU10" s="348"/>
      <c r="AV10" s="348"/>
      <c r="AW10" s="2643" t="s">
        <v>22</v>
      </c>
      <c r="AX10" s="2897" t="s">
        <v>972</v>
      </c>
      <c r="AY10" s="2644" t="s">
        <v>18</v>
      </c>
      <c r="AZ10" s="2643" t="s">
        <v>19</v>
      </c>
      <c r="BA10" s="2607" t="s">
        <v>20</v>
      </c>
      <c r="BB10" s="2575" t="s">
        <v>562</v>
      </c>
      <c r="BC10" s="2605" t="s">
        <v>502</v>
      </c>
      <c r="BD10" s="2604" t="s">
        <v>551</v>
      </c>
      <c r="BE10" s="2605"/>
      <c r="BF10" s="2606"/>
      <c r="BG10" s="2639" t="s">
        <v>468</v>
      </c>
      <c r="BH10" s="2641" t="s">
        <v>309</v>
      </c>
      <c r="BI10" s="2643" t="s">
        <v>332</v>
      </c>
      <c r="BJ10" s="2607"/>
      <c r="BK10" s="2644"/>
      <c r="BL10" s="2888" t="s">
        <v>568</v>
      </c>
      <c r="BM10" s="2889"/>
      <c r="BN10" s="2889"/>
      <c r="BO10" s="2890"/>
      <c r="BP10" s="2888" t="s">
        <v>313</v>
      </c>
      <c r="BQ10" s="2890"/>
      <c r="BR10" s="2888" t="s">
        <v>310</v>
      </c>
      <c r="BS10" s="2889"/>
      <c r="BT10" s="2890"/>
      <c r="BU10" s="2601" t="s">
        <v>336</v>
      </c>
      <c r="BV10" s="2602"/>
      <c r="BW10" s="2602"/>
      <c r="BX10" s="2603"/>
      <c r="BY10" s="2879" t="s">
        <v>207</v>
      </c>
      <c r="BZ10" s="2880"/>
      <c r="CA10" s="2880"/>
      <c r="CB10" s="2880"/>
      <c r="CC10" s="2881"/>
      <c r="CK10" s="2875" t="s">
        <v>17</v>
      </c>
      <c r="CL10" s="2877" t="s">
        <v>18</v>
      </c>
      <c r="CM10" s="2648" t="s">
        <v>332</v>
      </c>
      <c r="CN10" s="2649"/>
      <c r="CO10" s="2650"/>
      <c r="CP10" s="2869" t="s">
        <v>336</v>
      </c>
      <c r="CQ10" s="2870"/>
      <c r="CR10" s="2871"/>
      <c r="CV10" s="2843" t="s">
        <v>120</v>
      </c>
      <c r="CW10" s="2831" t="s">
        <v>464</v>
      </c>
      <c r="CX10" s="2910" t="s">
        <v>1001</v>
      </c>
      <c r="CY10" s="2831" t="s">
        <v>133</v>
      </c>
      <c r="CZ10" s="2841" t="s">
        <v>134</v>
      </c>
      <c r="DA10" s="2839" t="s">
        <v>18</v>
      </c>
      <c r="DB10" s="2837" t="s">
        <v>19</v>
      </c>
      <c r="DC10" s="2835" t="s">
        <v>562</v>
      </c>
      <c r="DD10" s="2833" t="s">
        <v>21</v>
      </c>
      <c r="DE10" s="2839" t="s">
        <v>578</v>
      </c>
      <c r="DF10" s="2768"/>
      <c r="DG10" s="2831" t="s">
        <v>135</v>
      </c>
      <c r="DH10" s="2802" t="s">
        <v>746</v>
      </c>
      <c r="DI10" s="2806"/>
      <c r="DJ10" s="2806"/>
      <c r="DK10" s="2806"/>
      <c r="DL10" s="2806"/>
      <c r="DM10" s="2806"/>
      <c r="DN10" s="2806"/>
      <c r="DO10" s="2802" t="s">
        <v>310</v>
      </c>
      <c r="DP10" s="2806"/>
      <c r="DQ10" s="2802" t="s">
        <v>133</v>
      </c>
      <c r="DR10" s="2803"/>
      <c r="DV10" s="2908" t="s">
        <v>518</v>
      </c>
      <c r="DW10" s="2763" t="s">
        <v>206</v>
      </c>
      <c r="DX10" s="2768" t="s">
        <v>207</v>
      </c>
      <c r="DY10" s="2766" t="s">
        <v>21</v>
      </c>
      <c r="DZ10" s="2761" t="s">
        <v>332</v>
      </c>
      <c r="EA10" s="2759"/>
      <c r="EB10" s="2759"/>
      <c r="EC10" s="2765"/>
      <c r="ED10" s="2756" t="s">
        <v>135</v>
      </c>
      <c r="EE10" s="46"/>
      <c r="EF10" s="46"/>
      <c r="EG10" s="46"/>
      <c r="EH10" s="36"/>
      <c r="EI10" s="46"/>
      <c r="EJ10" s="46"/>
      <c r="EK10" s="36"/>
      <c r="EL10" s="36"/>
      <c r="EM10" s="36"/>
      <c r="EN10" s="36"/>
      <c r="EO10" s="36"/>
      <c r="EP10" s="36"/>
    </row>
    <row r="11" spans="5:146" ht="26.25" customHeight="1" thickBot="1" x14ac:dyDescent="0.3">
      <c r="E11" s="2901"/>
      <c r="F11" s="2901"/>
      <c r="G11" s="2901"/>
      <c r="H11" s="2899"/>
      <c r="I11" s="2675"/>
      <c r="J11" s="2593"/>
      <c r="K11" s="2904"/>
      <c r="L11" s="2585"/>
      <c r="M11" s="2576"/>
      <c r="N11" s="2576"/>
      <c r="O11" s="2588"/>
      <c r="P11" s="229" t="s">
        <v>326</v>
      </c>
      <c r="Q11" s="230" t="s">
        <v>388</v>
      </c>
      <c r="R11" s="2585"/>
      <c r="S11" s="2608"/>
      <c r="T11" s="2610"/>
      <c r="U11" s="231" t="s">
        <v>327</v>
      </c>
      <c r="V11" s="221" t="s">
        <v>328</v>
      </c>
      <c r="W11" s="222" t="s">
        <v>389</v>
      </c>
      <c r="X11" s="2882"/>
      <c r="Y11" s="2883"/>
      <c r="Z11" s="2883"/>
      <c r="AA11" s="2894"/>
      <c r="AB11" s="2895"/>
      <c r="AC11" s="2895"/>
      <c r="AD11" s="2895"/>
      <c r="AE11" s="2896"/>
      <c r="AF11" s="2894"/>
      <c r="AG11" s="2895"/>
      <c r="AH11" s="2895"/>
      <c r="AI11" s="2895"/>
      <c r="AJ11" s="2896"/>
      <c r="AK11" s="2882"/>
      <c r="AL11" s="2883"/>
      <c r="AM11" s="2883"/>
      <c r="AN11" s="2883"/>
      <c r="AO11" s="2884"/>
      <c r="AW11" s="2646"/>
      <c r="AX11" s="2608"/>
      <c r="AY11" s="2645"/>
      <c r="AZ11" s="2646"/>
      <c r="BA11" s="2608"/>
      <c r="BB11" s="2576"/>
      <c r="BC11" s="2647"/>
      <c r="BD11" s="369" t="s">
        <v>550</v>
      </c>
      <c r="BE11" s="370" t="s">
        <v>774</v>
      </c>
      <c r="BF11" s="371" t="s">
        <v>775</v>
      </c>
      <c r="BG11" s="2640"/>
      <c r="BH11" s="2642"/>
      <c r="BI11" s="220" t="s">
        <v>327</v>
      </c>
      <c r="BJ11" s="221" t="s">
        <v>328</v>
      </c>
      <c r="BK11" s="1227" t="s">
        <v>389</v>
      </c>
      <c r="BL11" s="2891"/>
      <c r="BM11" s="2892"/>
      <c r="BN11" s="2892"/>
      <c r="BO11" s="2893"/>
      <c r="BP11" s="2891"/>
      <c r="BQ11" s="2893"/>
      <c r="BR11" s="2891"/>
      <c r="BS11" s="2892"/>
      <c r="BT11" s="2893"/>
      <c r="BU11" s="2885"/>
      <c r="BV11" s="2886"/>
      <c r="BW11" s="2886"/>
      <c r="BX11" s="2887"/>
      <c r="BY11" s="2882"/>
      <c r="BZ11" s="2883"/>
      <c r="CA11" s="2883"/>
      <c r="CB11" s="2883"/>
      <c r="CC11" s="2884"/>
      <c r="CK11" s="2876"/>
      <c r="CL11" s="2878"/>
      <c r="CM11" s="224" t="s">
        <v>392</v>
      </c>
      <c r="CN11" s="225" t="s">
        <v>393</v>
      </c>
      <c r="CO11" s="226" t="s">
        <v>394</v>
      </c>
      <c r="CP11" s="2872"/>
      <c r="CQ11" s="2873"/>
      <c r="CR11" s="2874"/>
      <c r="CV11" s="2844"/>
      <c r="CW11" s="2832"/>
      <c r="CX11" s="2842"/>
      <c r="CY11" s="2832"/>
      <c r="CZ11" s="2842"/>
      <c r="DA11" s="2840"/>
      <c r="DB11" s="2838"/>
      <c r="DC11" s="2836"/>
      <c r="DD11" s="2834"/>
      <c r="DE11" s="401" t="s">
        <v>326</v>
      </c>
      <c r="DF11" s="392" t="s">
        <v>388</v>
      </c>
      <c r="DG11" s="2832"/>
      <c r="DH11" s="2807"/>
      <c r="DI11" s="2808"/>
      <c r="DJ11" s="2808"/>
      <c r="DK11" s="2808"/>
      <c r="DL11" s="2808"/>
      <c r="DM11" s="2808"/>
      <c r="DN11" s="2808"/>
      <c r="DO11" s="2804"/>
      <c r="DP11" s="2809"/>
      <c r="DQ11" s="2804"/>
      <c r="DR11" s="2805"/>
      <c r="DV11" s="2909"/>
      <c r="DW11" s="2764"/>
      <c r="DX11" s="2769"/>
      <c r="DY11" s="2767"/>
      <c r="DZ11" s="209" t="s">
        <v>398</v>
      </c>
      <c r="EA11" s="200" t="s">
        <v>331</v>
      </c>
      <c r="EB11" s="200" t="s">
        <v>339</v>
      </c>
      <c r="EC11" s="210" t="s">
        <v>327</v>
      </c>
      <c r="ED11" s="2757"/>
      <c r="EE11" s="2905" t="s">
        <v>746</v>
      </c>
      <c r="EF11" s="2906"/>
      <c r="EG11" s="2906"/>
      <c r="EH11" s="2906"/>
      <c r="EI11" s="2906"/>
      <c r="EJ11" s="2907"/>
      <c r="EK11" s="144" t="s">
        <v>405</v>
      </c>
      <c r="EL11" s="2905" t="s">
        <v>310</v>
      </c>
      <c r="EM11" s="2907"/>
      <c r="EN11" s="2905" t="s">
        <v>336</v>
      </c>
      <c r="EO11" s="2906"/>
      <c r="EP11" s="2907"/>
    </row>
    <row r="12" spans="5:146" ht="15.75" customHeight="1" thickBot="1" x14ac:dyDescent="0.3">
      <c r="E12" s="840" t="s">
        <v>133</v>
      </c>
      <c r="F12" s="862" t="s">
        <v>135</v>
      </c>
      <c r="G12" s="840" t="s">
        <v>744</v>
      </c>
      <c r="H12" s="926" t="s">
        <v>573</v>
      </c>
      <c r="I12" s="197" t="s">
        <v>16</v>
      </c>
      <c r="J12" s="865" t="s">
        <v>966</v>
      </c>
      <c r="K12" s="866" t="s">
        <v>18</v>
      </c>
      <c r="L12" s="197" t="s">
        <v>19</v>
      </c>
      <c r="M12" s="198" t="s">
        <v>20</v>
      </c>
      <c r="N12" s="198" t="s">
        <v>620</v>
      </c>
      <c r="O12" s="199" t="s">
        <v>618</v>
      </c>
      <c r="P12" s="198" t="s">
        <v>331</v>
      </c>
      <c r="Q12" s="199" t="s">
        <v>339</v>
      </c>
      <c r="R12" s="198" t="s">
        <v>21</v>
      </c>
      <c r="S12" s="198" t="s">
        <v>621</v>
      </c>
      <c r="T12" s="198" t="s">
        <v>330</v>
      </c>
      <c r="U12" s="197" t="s">
        <v>327</v>
      </c>
      <c r="V12" s="198" t="s">
        <v>86</v>
      </c>
      <c r="W12" s="199" t="s">
        <v>329</v>
      </c>
      <c r="X12" s="909" t="s">
        <v>314</v>
      </c>
      <c r="Y12" s="909" t="s">
        <v>315</v>
      </c>
      <c r="Z12" s="909" t="s">
        <v>335</v>
      </c>
      <c r="AA12" s="910" t="s">
        <v>311</v>
      </c>
      <c r="AB12" s="911" t="s">
        <v>418</v>
      </c>
      <c r="AC12" s="911" t="s">
        <v>391</v>
      </c>
      <c r="AD12" s="911" t="s">
        <v>333</v>
      </c>
      <c r="AE12" s="912" t="s">
        <v>967</v>
      </c>
      <c r="AF12" s="910" t="s">
        <v>338</v>
      </c>
      <c r="AG12" s="911" t="s">
        <v>337</v>
      </c>
      <c r="AH12" s="911" t="s">
        <v>387</v>
      </c>
      <c r="AI12" s="911" t="s">
        <v>334</v>
      </c>
      <c r="AJ12" s="927" t="s">
        <v>968</v>
      </c>
      <c r="AK12" s="1228" t="s">
        <v>1093</v>
      </c>
      <c r="AL12" s="1228" t="s">
        <v>1094</v>
      </c>
      <c r="AM12" s="1228" t="s">
        <v>1095</v>
      </c>
      <c r="AN12" s="1228" t="s">
        <v>1097</v>
      </c>
      <c r="AO12" s="1228" t="s">
        <v>1096</v>
      </c>
      <c r="AS12" s="948" t="s">
        <v>133</v>
      </c>
      <c r="AT12" s="862" t="s">
        <v>135</v>
      </c>
      <c r="AU12" s="948" t="s">
        <v>744</v>
      </c>
      <c r="AV12" s="979" t="s">
        <v>573</v>
      </c>
      <c r="AW12" s="117" t="s">
        <v>22</v>
      </c>
      <c r="AX12" s="117" t="s">
        <v>17</v>
      </c>
      <c r="AY12" s="117" t="s">
        <v>18</v>
      </c>
      <c r="AZ12" s="116" t="s">
        <v>19</v>
      </c>
      <c r="BA12" s="117" t="s">
        <v>20</v>
      </c>
      <c r="BB12" s="118" t="s">
        <v>620</v>
      </c>
      <c r="BC12" s="117" t="s">
        <v>618</v>
      </c>
      <c r="BD12" s="415" t="s">
        <v>571</v>
      </c>
      <c r="BE12" s="416" t="s">
        <v>547</v>
      </c>
      <c r="BF12" s="421" t="s">
        <v>564</v>
      </c>
      <c r="BG12" s="415" t="s">
        <v>621</v>
      </c>
      <c r="BH12" s="417" t="s">
        <v>330</v>
      </c>
      <c r="BI12" s="422" t="s">
        <v>327</v>
      </c>
      <c r="BJ12" s="422" t="s">
        <v>86</v>
      </c>
      <c r="BK12" s="423" t="s">
        <v>329</v>
      </c>
      <c r="BL12" s="930" t="s">
        <v>575</v>
      </c>
      <c r="BM12" s="930" t="s">
        <v>894</v>
      </c>
      <c r="BN12" s="930" t="s">
        <v>569</v>
      </c>
      <c r="BO12" s="941" t="s">
        <v>616</v>
      </c>
      <c r="BP12" s="928" t="s">
        <v>390</v>
      </c>
      <c r="BQ12" s="929" t="s">
        <v>335</v>
      </c>
      <c r="BR12" s="928" t="s">
        <v>391</v>
      </c>
      <c r="BS12" s="928" t="s">
        <v>333</v>
      </c>
      <c r="BT12" s="1246" t="s">
        <v>967</v>
      </c>
      <c r="BU12" s="1025" t="s">
        <v>572</v>
      </c>
      <c r="BV12" s="928" t="s">
        <v>387</v>
      </c>
      <c r="BW12" s="928" t="s">
        <v>334</v>
      </c>
      <c r="BX12" s="929" t="s">
        <v>968</v>
      </c>
      <c r="BY12" s="1228" t="s">
        <v>1093</v>
      </c>
      <c r="BZ12" s="1228" t="s">
        <v>1094</v>
      </c>
      <c r="CA12" s="1228" t="s">
        <v>1095</v>
      </c>
      <c r="CB12" s="1228" t="s">
        <v>1097</v>
      </c>
      <c r="CC12" s="1228" t="s">
        <v>1096</v>
      </c>
      <c r="CG12" s="960" t="s">
        <v>133</v>
      </c>
      <c r="CH12" s="961" t="s">
        <v>135</v>
      </c>
      <c r="CI12" s="962" t="s">
        <v>744</v>
      </c>
      <c r="CJ12" s="984" t="s">
        <v>573</v>
      </c>
      <c r="CK12" s="985" t="s">
        <v>972</v>
      </c>
      <c r="CL12" s="986" t="s">
        <v>18</v>
      </c>
      <c r="CM12" s="115" t="s">
        <v>358</v>
      </c>
      <c r="CN12" s="109" t="s">
        <v>393</v>
      </c>
      <c r="CO12" s="112" t="s">
        <v>619</v>
      </c>
      <c r="CP12" s="415" t="s">
        <v>995</v>
      </c>
      <c r="CQ12" s="416" t="s">
        <v>996</v>
      </c>
      <c r="CR12" s="417" t="s">
        <v>997</v>
      </c>
      <c r="CV12" s="193" t="s">
        <v>120</v>
      </c>
      <c r="CW12" s="194" t="s">
        <v>622</v>
      </c>
      <c r="CX12" s="193" t="s">
        <v>463</v>
      </c>
      <c r="CY12" s="194" t="s">
        <v>133</v>
      </c>
      <c r="CZ12" s="193" t="s">
        <v>462</v>
      </c>
      <c r="DA12" s="195" t="s">
        <v>18</v>
      </c>
      <c r="DB12" s="193" t="s">
        <v>19</v>
      </c>
      <c r="DC12" s="196" t="s">
        <v>620</v>
      </c>
      <c r="DD12" s="194" t="s">
        <v>21</v>
      </c>
      <c r="DE12" s="195" t="s">
        <v>331</v>
      </c>
      <c r="DF12" s="196" t="s">
        <v>339</v>
      </c>
      <c r="DG12" s="196" t="s">
        <v>135</v>
      </c>
      <c r="DH12" s="146" t="s">
        <v>402</v>
      </c>
      <c r="DI12" s="146" t="s">
        <v>403</v>
      </c>
      <c r="DJ12" s="146" t="s">
        <v>401</v>
      </c>
      <c r="DK12" s="146" t="s">
        <v>659</v>
      </c>
      <c r="DL12" s="146" t="s">
        <v>660</v>
      </c>
      <c r="DM12" s="146" t="s">
        <v>747</v>
      </c>
      <c r="DN12" s="146" t="s">
        <v>745</v>
      </c>
      <c r="DO12" s="612" t="s">
        <v>742</v>
      </c>
      <c r="DP12" s="613" t="s">
        <v>743</v>
      </c>
      <c r="DQ12" s="616" t="s">
        <v>681</v>
      </c>
      <c r="DR12" s="617" t="s">
        <v>682</v>
      </c>
      <c r="DV12" s="140" t="s">
        <v>191</v>
      </c>
      <c r="DW12" s="140" t="s">
        <v>206</v>
      </c>
      <c r="DX12" s="141" t="s">
        <v>207</v>
      </c>
      <c r="DY12" s="145" t="s">
        <v>21</v>
      </c>
      <c r="DZ12" s="142" t="s">
        <v>398</v>
      </c>
      <c r="EA12" s="140" t="s">
        <v>331</v>
      </c>
      <c r="EB12" s="140" t="s">
        <v>339</v>
      </c>
      <c r="EC12" s="143" t="s">
        <v>327</v>
      </c>
      <c r="ED12" s="140" t="s">
        <v>135</v>
      </c>
      <c r="EE12" s="624" t="s">
        <v>745</v>
      </c>
      <c r="EF12" s="625" t="s">
        <v>748</v>
      </c>
      <c r="EG12" s="625" t="s">
        <v>749</v>
      </c>
      <c r="EH12" s="625" t="s">
        <v>747</v>
      </c>
      <c r="EI12" s="625" t="s">
        <v>335</v>
      </c>
      <c r="EJ12" s="626" t="s">
        <v>660</v>
      </c>
      <c r="EK12" s="143" t="s">
        <v>404</v>
      </c>
      <c r="EL12" s="142" t="s">
        <v>312</v>
      </c>
      <c r="EM12" s="140" t="s">
        <v>311</v>
      </c>
      <c r="EN12" s="624" t="s">
        <v>338</v>
      </c>
      <c r="EO12" s="625" t="s">
        <v>399</v>
      </c>
      <c r="EP12" s="626" t="s">
        <v>387</v>
      </c>
    </row>
    <row r="13" spans="5:146" ht="17.25" customHeight="1" x14ac:dyDescent="0.3">
      <c r="E13" s="913" t="s">
        <v>681</v>
      </c>
      <c r="F13" s="914" t="s">
        <v>406</v>
      </c>
      <c r="G13" s="843">
        <v>1</v>
      </c>
      <c r="H13" s="859">
        <f ca="1">IF(dbУчДисц[[#This Row],[Семестър]]=OFFSET(dbУчДисц[[#This Row],[Семестър]],-1,0),N(OFFSET(dbУчДисц[[#This Row],[№]],-1,0))+1,1)</f>
        <v>1</v>
      </c>
      <c r="I13" s="845" t="str">
        <f ca="1">T(INDEX(CHOOSE(dbУчДисц[[#This Row],[код]],BAZZS[Дисциплина],BAZLS[Дисциплина],MAZZS[Дисциплина],MAZLS[Дисциплина]),dbУчДисц[[#This Row],[№]],0))</f>
        <v/>
      </c>
      <c r="J13" s="852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3" s="871" t="str">
        <f ca="1">T(INDEX(CHOOSE(dbУчДисц[[#This Row],[код]],BAZZS[Факултет],BAZLS[Факултет],MAZZS[Факултет],MAZLS[Факултет]),dbУчДисц[[#This Row],[№]],0))</f>
        <v/>
      </c>
      <c r="L13" s="872" t="str">
        <f ca="1">T(INDEX(CHOOSE(dbУчДисц[[#This Row],[код]],BAZZS[Вид],BAZLS[Вид],MAZZS[Вид],MAZLS[Вид]),dbУчДисц[[#This Row],[№]],0))</f>
        <v/>
      </c>
      <c r="M13" s="873" t="str">
        <f ca="1">T(INDEX(CHOOSE(dbУчДисц[[#This Row],[код]],BAZZS[Курс],BAZLS[Курс],MAZZS[Курс],MAZLS[Курс]),dbУчДисц[[#This Row],[№]],0))</f>
        <v/>
      </c>
      <c r="N13" s="874" t="str">
        <f ca="1">T(INDEX(CHOOSE(dbУчДисц[[#This Row],[код]],BAZZS[ФормаОб],BAZLS[ФормаОб],MAZZS[ФормаОб],MAZLS[ФормаОб]),dbУчДисц[[#This Row],[№]],0))</f>
        <v/>
      </c>
      <c r="O13" s="1247" cm="1">
        <f t="array" aca="1" ref="O13" ca="1">INDEX(CHOOSE(dbУчДисц[[#This Row],[код]],BAZZS[Студенти],BAZLS[Студенти],MAZZS[Студенти],MAZLS[Студенти]),dbУчДисц[[#This Row],[№]],0)</f>
        <v>0</v>
      </c>
      <c r="P13" s="1248" cm="1">
        <f t="array" aca="1" ref="P13" ca="1">INDEX(CHOOSE(dbУчДисц[[#This Row],[код]],BAZZS[Лекции],BAZLS[Лекции],MAZZS[Лекции],MAZLS[Лекции]),dbУчДисц[[#This Row],[№]],0)</f>
        <v>0</v>
      </c>
      <c r="Q13" s="1248" cm="1">
        <f t="array" aca="1" ref="Q13" ca="1">INDEX(CHOOSE(dbУчДисц[[#This Row],[код]],BAZZS[Упражнения],BAZLS[Упражнения],MAZZS[Упражнения],MAZLS[Упражнения]),dbУчДисц[[#This Row],[№]],0)</f>
        <v>0</v>
      </c>
      <c r="R13" s="876" t="str">
        <f ca="1">T(INDEX(CHOOSE(dbУчДисц[[#This Row],[код]],BAZZS[Език],BAZLS[Език],MAZZS[Език],MAZLS[Език]),dbУчДисц[[#This Row],[№]],0))</f>
        <v>БЕ</v>
      </c>
      <c r="S13" s="874" t="str">
        <f ca="1">T(INDEX(CHOOSE(dbУчДисц[[#This Row],[код]],BAZZS[ФормаОц],BAZLS[ФормаОц],MAZZS[ФормаОц],MAZLS[ФормаОц]),dbУчДисц[[#This Row],[№]],0))</f>
        <v/>
      </c>
      <c r="T13" s="875" t="str">
        <f ca="1">T(INDEX(CHOOSE(dbУчДисц[[#This Row],[код]],BAZZS[Изпитващ],BAZLS[Изпитващ],MAZZS[Изпитващ],MAZLS[Изпитващ]),dbУчДисц[[#This Row],[№]],0))</f>
        <v/>
      </c>
      <c r="U13" s="1248" cm="1">
        <f t="array" aca="1" ref="U13" ca="1">INDEX(CHOOSE(dbУчДисц[[#This Row],[код]],BAZZS[Изпитани],BAZLS[Изпитани],MAZZS[Изпитани],MAZLS[Изпитани]),dbУчДисц[[#This Row],[№]],0)</f>
        <v>0</v>
      </c>
      <c r="V13" s="1259" cm="1">
        <f t="array" aca="1" ref="V13" ca="1">INDEX(CHOOSE(dbУчДисц[[#This Row],[код]],BAZZS[ТО],BAZLS[ТО],MAZZS[ТО],MAZLS[ТО]),dbУчДисц[[#This Row],[№]],0)</f>
        <v>0</v>
      </c>
      <c r="W13" s="1259" cm="1">
        <f t="array" aca="1" ref="W13" ca="1">INDEX(CHOOSE(dbУчДисц[[#This Row],[код]],BAZZS[КР],BAZLS[КР],MAZZS[КР],MAZLS[КР]),dbУчДисц[[#This Row],[№]],0)</f>
        <v>0</v>
      </c>
      <c r="X13" s="1260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3" s="1261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3" s="1261">
        <f ca="1">IF(AND(dbУчДисц[[#This Row],[Изпитани]]&lt;&gt;0,dbУчДисц[[#This Row],[Изпитващ]]=0),1,0)</f>
        <v>0</v>
      </c>
      <c r="AA13" s="1262">
        <f ca="1">IFERROR(VLOOKUP(dbУчДисц[[#This Row],[Език]],Коефициент_Eзик[],2,0),0)</f>
        <v>1</v>
      </c>
      <c r="AB13" s="1263" cm="1">
        <f t="array" aca="1" ref="AB1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3" s="1263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3" s="1264">
        <v>0.5</v>
      </c>
      <c r="AE13" s="1265">
        <v>5</v>
      </c>
      <c r="AF13" s="1262">
        <f ca="1">N(dbУчДисц[[#This Row],[Лекции]])*dbУчДисц[[#This Row],[кЕзик]]*dbУчДисц[[#This Row],[кСтуденти]]*кЛекции</f>
        <v>0</v>
      </c>
      <c r="AG13" s="1263">
        <f ca="1">N(dbУчДисц[[#This Row],[Упражнения]])*dbУчДисц[[#This Row],[кЕзик]]*dbУчДисц[[#This Row],[кСтуденти]]*кУпражнение</f>
        <v>0</v>
      </c>
      <c r="AH13" s="1263">
        <f ca="1">N(dbУчДисц[[#This Row],[Изпитани]])*dbУчДисц[[#This Row],[кИзпитващ]]</f>
        <v>0</v>
      </c>
      <c r="AI13" s="1264">
        <f ca="1">dbУчДисц[[#This Row],[ТО]]*dbУчДисц[[#This Row],[кTO]]</f>
        <v>0</v>
      </c>
      <c r="AJ13" s="1266">
        <f ca="1">dbУчДисц[[#This Row],[КР]]*dbУчДисц[[#This Row],[кКР]]</f>
        <v>0</v>
      </c>
      <c r="AK13" s="1267">
        <f ca="1">N(INDEX(CHOOSE(dbУчДисц[[#This Row],[код]],BAZZS[id_РД],BAZLS[id_РД],MAZZS[id_РД],MAZLS[id_РД]),dbУчДисц[[#This Row],[№]],0))</f>
        <v>0</v>
      </c>
      <c r="AL13" s="1381" t="str">
        <f ca="1">T(INDEX(CHOOSE(dbУчДисц[[#This Row],[код]],BAZZS[Дисциплина1],BAZLS[Дисциплина1],MAZZS[Дисциплина1],MAZLS[Дисциплина1]),dbУчДисц[[#This Row],[№]],0))</f>
        <v/>
      </c>
      <c r="AM13" s="1381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3" s="1381" t="str">
        <f ca="1">T(INDEX(CHOOSE(dbУчДисц[[#This Row],[код]],BAZZS[Факултет1],BAZLS[Факултет1],MAZZS[Факултет1],MAZLS[Факултет1]),dbУчДисц[[#This Row],[№]],0))</f>
        <v/>
      </c>
      <c r="AO13" s="1382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3" s="933" t="s">
        <v>681</v>
      </c>
      <c r="AT13" s="954" t="s">
        <v>406</v>
      </c>
      <c r="AU13" s="949">
        <v>1</v>
      </c>
      <c r="AV13" s="980">
        <f ca="1">IF(dbУчПрактикиКР[[#This Row],[Семестър]]=OFFSET(dbУчПрактикиКР[[#This Row],[Семестър]],-1,0),N(OFFSET(dbУчПрактикиКР[[#This Row],[№]],-1,0))+1,1)</f>
        <v>1</v>
      </c>
      <c r="AW13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3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3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3" s="959" t="str">
        <f ca="1">T(INDEX(CHOOSE(dbУчПрактикиКР[[#This Row],[код]],BPZS[Вид],BPLS[Вид],MPZS[Вид],MPLS[Вид]),dbУчПрактикиКР[[#This Row],[№]],0))</f>
        <v/>
      </c>
      <c r="BA13" s="946" t="str">
        <f ca="1">T(INDEX(CHOOSE(dbУчПрактикиКР[[#This Row],[код]],BPZS[Курс],BPLS[Курс],MPZS[Курс],MPLS[Курс]),dbУчПрактикиКР[[#This Row],[№]],0))</f>
        <v/>
      </c>
      <c r="BB13" s="1030" t="str">
        <f ca="1">T(INDEX(CHOOSE(dbУчПрактикиКР[[#This Row],[код]],BPZS[ФормаОб],BPLS[ФормаОб],MPZS[ФормаОб],MPLS[ФормаОб]),dbУчПрактикиКР[[#This Row],[№]],0))</f>
        <v/>
      </c>
      <c r="BC13" s="1296">
        <f ca="1">N(INDEX(CHOOSE(dbУчПрактикиКР[[#This Row],[код]],BPZS[Студенти],BPLS[Студенти],MPZS[Студенти],MPLS[Студенти]),dbУчПрактикиКР[[#This Row],[№]],0))</f>
        <v>0</v>
      </c>
      <c r="BD13" s="1031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3" s="1300">
        <f ca="1">N(INDEX(CHOOSE(dbУчПрактикиКР[[#This Row],[код]],BPZS[Група],BPLS[Група],MPZS[Група],MPLS[Група]),dbУчПрактикиКР[[#This Row],[№]],0))</f>
        <v>0</v>
      </c>
      <c r="BF13" s="1301">
        <f ca="1">N(INDEX(CHOOSE(dbУчПрактикиКР[[#This Row],[код]],BPZS[Ден],BPLS[Ден],MPZS[Ден],MPLS[Ден]),dbУчПрактикиКР[[#This Row],[№]],0))</f>
        <v>0</v>
      </c>
      <c r="BG13" s="1032" t="str">
        <f ca="1">T(INDEX(CHOOSE(dbУчПрактикиКР[[#This Row],[код]],BPZS[ФормаОц],BPLS[ФормаОц],MPZS[ФормаОц],MPLS[ФормаОц]),dbУчПрактикиКР[[#This Row],[№]],0))</f>
        <v/>
      </c>
      <c r="BH13" s="1033" t="str">
        <f ca="1">T(INDEX(CHOOSE(dbУчПрактикиКР[[#This Row],[код]],BPZS[Изпитващ],BPLS[Изпитващ],MPZS[Изпитващ],MPLS[Изпитващ]),dbУчПрактикиКР[[#This Row],[№]],0))</f>
        <v/>
      </c>
      <c r="BI13" s="1311">
        <f ca="1">N(INDEX(CHOOSE(dbУчПрактикиКР[[#This Row],[код]],BPZS[Изпитани],BPLS[Изпитани],MPZS[Изпитани],MPLS[Изпитани]),dbУчПрактикиКР[[#This Row],[№]],0))</f>
        <v>0</v>
      </c>
      <c r="BJ13" s="1312">
        <f ca="1">N(INDEX(CHOOSE(dbУчПрактикиКР[[#This Row],[код]],BPZS[ТО],BPLS[ТО],MPZS[ТО],MPLS[ТО]),dbУчПрактикиКР[[#This Row],[№]],0))</f>
        <v>0</v>
      </c>
      <c r="BK13" s="1313">
        <f ca="1">N(INDEX(CHOOSE(dbУчПрактикиКР[[#This Row],[код]],BPZS[КР],BPLS[КР],MPZS[КР],MPLS[КР]),dbУчПрактикиКР[[#This Row],[№]],0))</f>
        <v>0</v>
      </c>
      <c r="BL13" s="1314">
        <f ca="1">IFERROR(MATCH(dbУчПрактикиКР[[#This Row],[ВидПрактика]],T_Практики[Практика и курсова работа],0),0)</f>
        <v>0</v>
      </c>
      <c r="BM13" s="1333" t="str">
        <f ca="1">IF(dbУчПрактикиКР[[#This Row],[пВидПрактика]],INDEX(T_Практики[Студенти],dbУчПрактикиКР[[#This Row],[пВидПрактика]]),"-")</f>
        <v>-</v>
      </c>
      <c r="BN13" s="1333" t="str">
        <f ca="1">IF(dbУчПрактикиКР[[#This Row],[пВидПрактика]],INDEX(T_Практики[Група],dbУчПрактикиКР[[#This Row],[пВидПрактика]])*2,"-")</f>
        <v>-</v>
      </c>
      <c r="BO13" s="1334" t="str">
        <f ca="1">IF(dbУчПрактикиКР[[#This Row],[пВидПрактика]],INDEX(T_Практики[Ден],dbУчПрактикиКР[[#This Row],[пВидПрактика]])*4,"-")</f>
        <v>-</v>
      </c>
      <c r="BP13" s="1335">
        <f ca="1">IFERROR(AND(dbУчПрактикиКР[[#This Row],[ТО]]&lt;&gt;0,dbУчПрактикиКР[[#This Row],[ФормаОб]]=0)*1,0)</f>
        <v>0</v>
      </c>
      <c r="BQ13" s="1335">
        <f ca="1">IFERROR(AND(dbУчПрактикиКР[[#This Row],[Изпитани]]&lt;&gt;0,LEN(dbУчПрактикиКР[[#This Row],[Изпитващ]])=0)*1,0)</f>
        <v>0</v>
      </c>
      <c r="BR13" s="1336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3" s="1337">
        <f ca="1">IFERROR(IF(dbУчПрактикиКР[[#This Row],[ФормаОб]]=list!$A$55,Coef!$B$10,Coef!$B$9),0)</f>
        <v>0.5</v>
      </c>
      <c r="BT13" s="1338">
        <v>5</v>
      </c>
      <c r="BU13" s="1314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3" s="1333">
        <f ca="1">dbУчПрактикиКР[[#This Row],[кИзпитващ]]*N(dbУчПрактикиКР[[#This Row],[Изпитани]])</f>
        <v>0</v>
      </c>
      <c r="BW13" s="1339">
        <f ca="1">N(dbУчПрактикиКР[[#This Row],[ТО]])*N(dbУчПрактикиКР[[#This Row],[кTO]])</f>
        <v>0</v>
      </c>
      <c r="BX13" s="1338">
        <f ca="1">N(dbУчПрактикиКР[[#This Row],[КР]])*dbУчПрактикиКР[[#This Row],[кКР]]</f>
        <v>0</v>
      </c>
      <c r="BY13" s="1335">
        <f ca="1">N(INDEX(CHOOSE(dbУчПрактикиКР[[#This Row],[код]],BPZS[id_РД],BPLS[id_РД],MPZS[id_РД],MPLS[id_РД]),dbУчПрактикиКР[[#This Row],[№]],0))</f>
        <v>0</v>
      </c>
      <c r="BZ13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3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3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3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3" s="963" t="s">
        <v>681</v>
      </c>
      <c r="CH13" s="967" t="s">
        <v>406</v>
      </c>
      <c r="CI13" s="971">
        <v>1</v>
      </c>
      <c r="CJ13" s="975">
        <f ca="1">IF(dbДипломиране[[#This Row],[Семестър]]=OFFSET(dbДипломиране[[#This Row],[Семестър]],-1,0),N(OFFSET(dbДипломиране[[#This Row],[№]],-1,0))+1,1)</f>
        <v>1</v>
      </c>
      <c r="CK13" s="84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3" s="875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3" s="1358">
        <f ca="1">N(INDEX(CHOOSE(dbДипломиране[[#This Row],[код]],BDiplomiraneZS[ДР],BDiplomiraneLS[ФормаОб],MDiplomiraneZS[ДР],MDiplomiraneLS[ДР]),dbДипломиране[[#This Row],[№]],0))</f>
        <v>0</v>
      </c>
      <c r="CN13" s="1248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3" s="1247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3" s="1359">
        <f ca="1">dbДипломиране[[#This Row],[ДР]]*30</f>
        <v>0</v>
      </c>
      <c r="CQ13" s="1359">
        <f ca="1">dbДипломиране[[#This Row],[Рецензии]]*5</f>
        <v>0</v>
      </c>
      <c r="CR13" s="1359">
        <f ca="1">dbДипломиране[[#This Row],[И/ДИ/З]]*0.8</f>
        <v>0</v>
      </c>
      <c r="CV13" s="559"/>
      <c r="CW13" s="610"/>
      <c r="CX13" s="559"/>
      <c r="CY13" s="560"/>
      <c r="CZ13" s="559"/>
      <c r="DA13" s="561"/>
      <c r="DB13" s="562"/>
      <c r="DC13" s="563"/>
      <c r="DD13" s="564" t="s">
        <v>84</v>
      </c>
      <c r="DE13" s="570"/>
      <c r="DF13" s="571"/>
      <c r="DG13" s="563"/>
      <c r="DH13" s="627">
        <f>Подготовка_курс72[[#This Row],[пПразни]]*(LEN(Подготовка_курс72[[#This Row],[Дейност]])=0)</f>
        <v>0</v>
      </c>
      <c r="DI13" s="627">
        <f>Подготовка_курс72[[#This Row],[пПразни]]*(LEN(Подготовка_курс72[[#This Row],[Екип]])=0)</f>
        <v>0</v>
      </c>
      <c r="DJ13" s="627">
        <f>Подготовка_курс72[[#This Row],[пПразни]]*(LEN(Подготовка_курс72[[#This Row],[ОКС]])=0)</f>
        <v>0</v>
      </c>
      <c r="DK13" s="627">
        <f>Подготовка_курс72[[#This Row],[пПразни]]*(LEN(Подготовка_курс72[[#This Row],[ФормаОб]])=0)</f>
        <v>0</v>
      </c>
      <c r="DL13" s="627">
        <f>Подготовка_курс72[[#This Row],[пПразни]]*(LEN(Подготовка_курс72[[#This Row],[Семестър]])=0)</f>
        <v>0</v>
      </c>
      <c r="DM13" s="627">
        <f>Подготовка_курс72[[#This Row],[пПразни]]*(SUM(Подготовка_курс72[[#This Row],[Лекции]:[Упражнения]])=0)</f>
        <v>0</v>
      </c>
      <c r="DN13" s="627">
        <f>((12-COUNTBLANK(Подготовка_курс72[[#This Row],[Дейност]:[Семестър]]))&gt;1)*1</f>
        <v>0</v>
      </c>
      <c r="DO13" s="628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3" s="629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3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3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  <c r="DV13" s="586"/>
      <c r="DW13" s="586"/>
      <c r="DX13" s="586"/>
      <c r="DY13" s="564" t="s">
        <v>84</v>
      </c>
      <c r="DZ13" s="265"/>
      <c r="EA13" s="243"/>
      <c r="EB13" s="243"/>
      <c r="EC13" s="244"/>
      <c r="ED13" s="703"/>
      <c r="EE13" s="634">
        <f>((9-COUNTBLANK(DrAZ71[[#This Row],[Докторански курс]:[Семестър]]))&gt;1)*1</f>
        <v>0</v>
      </c>
      <c r="EF13" s="635">
        <f>DrAZ71[[#This Row],[пПразни]]*(3-COUNTBLANK(DrAZ71[[#This Row],[Докторански курс]:[Професионално направление]])&lt;=3)</f>
        <v>0</v>
      </c>
      <c r="EG13" s="635">
        <f>DrAZ71[[#This Row],[пПразни]]*(N(DrAZ71[[#This Row],[Докторанти]])=0)</f>
        <v>0</v>
      </c>
      <c r="EH13" s="635">
        <f>DrAZ71[[#This Row],[пПразни]]*(SUM(DrAZ71[[#This Row],[Лекции]:[Упражнения]])=0)</f>
        <v>0</v>
      </c>
      <c r="EI13" s="635">
        <f>DrAZ71[[#This Row],[пПразни]]*(N(DrAZ71[[#This Row],[Изпитани]])=0)</f>
        <v>0</v>
      </c>
      <c r="EJ13" s="636">
        <f>DrAZ71[[#This Row],[пПразни]]*(LEN(DrAZ71[[#This Row],[Семестър]])=0)</f>
        <v>0</v>
      </c>
      <c r="EK13" s="637" t="str">
        <f>IF(DrAZ71[[#This Row],[пПразни]],DrAZ71[[#This Row],[Семестър]]&amp;"|"&amp;DrAZ71[[#This Row],[Език]],"")</f>
        <v/>
      </c>
      <c r="EL13" s="638">
        <f>IF(DrAZ71[[#This Row],[Докторанти]]&gt;=3,1,IFERROR(VLOOKUP(DrAZ71[[#This Row],[Докторанти]],RedukciaDr[],2,0),0))</f>
        <v>0</v>
      </c>
      <c r="EM13" s="639">
        <f>IF(DrAZ71[[#This Row],[Език]]="чужд",1.5,1)</f>
        <v>1</v>
      </c>
      <c r="EN13" s="634">
        <f>DrAZ71[[#This Row],[Лекции]]*DrAZ71[[#This Row],[кРедукция]]*DrAZ71[[#This Row],[кЕзик]]*кЛекции</f>
        <v>0</v>
      </c>
      <c r="EO13" s="635">
        <f>DrAZ71[[#This Row],[Упражнения]]*DrAZ71[[#This Row],[кРедукция]]*DrAZ71[[#This Row],[кЕзик]]*кУпражнение</f>
        <v>0</v>
      </c>
      <c r="EP13" s="636">
        <f>DrAZ71[[#This Row],[Изпитани]]*кИзпитаниДок</f>
        <v>0</v>
      </c>
    </row>
    <row r="14" spans="5:146" ht="16.5" x14ac:dyDescent="0.3">
      <c r="E14" s="915" t="s">
        <v>681</v>
      </c>
      <c r="F14" s="916" t="s">
        <v>406</v>
      </c>
      <c r="G14" s="846">
        <v>1</v>
      </c>
      <c r="H14" s="860">
        <f ca="1">IF(dbУчДисц[[#This Row],[Семестър]]=OFFSET(dbУчДисц[[#This Row],[Семестър]],-1,0),N(OFFSET(dbУчДисц[[#This Row],[№]],-1,0))+1,1)</f>
        <v>2</v>
      </c>
      <c r="I14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14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4" s="877" t="str">
        <f ca="1">T(INDEX(CHOOSE(dbУчДисц[[#This Row],[код]],BAZZS[Факултет],BAZLS[Факултет],MAZZS[Факултет],MAZLS[Факултет]),dbУчДисц[[#This Row],[№]],0))</f>
        <v/>
      </c>
      <c r="L14" s="878" t="str">
        <f ca="1">T(INDEX(CHOOSE(dbУчДисц[[#This Row],[код]],BAZZS[Вид],BAZLS[Вид],MAZZS[Вид],MAZLS[Вид]),dbУчДисц[[#This Row],[№]],0))</f>
        <v/>
      </c>
      <c r="M14" s="879" t="str">
        <f ca="1">T(INDEX(CHOOSE(dbУчДисц[[#This Row],[код]],BAZZS[Курс],BAZLS[Курс],MAZZS[Курс],MAZLS[Курс]),dbУчДисц[[#This Row],[№]],0))</f>
        <v/>
      </c>
      <c r="N14" s="237" t="str">
        <f ca="1">T(INDEX(CHOOSE(dbУчДисц[[#This Row],[код]],BAZZS[ФормаОб],BAZLS[ФормаОб],MAZZS[ФормаОб],MAZLS[ФормаОб]),dbУчДисц[[#This Row],[№]],0))</f>
        <v/>
      </c>
      <c r="O14" s="1249" cm="1">
        <f t="array" aca="1" ref="O14" ca="1">INDEX(CHOOSE(dbУчДисц[[#This Row],[код]],BAZZS[Студенти],BAZLS[Студенти],MAZZS[Студенти],MAZLS[Студенти]),dbУчДисц[[#This Row],[№]],0)</f>
        <v>0</v>
      </c>
      <c r="P14" s="1250" cm="1">
        <f t="array" aca="1" ref="P14" ca="1">INDEX(CHOOSE(dbУчДисц[[#This Row],[код]],BAZZS[Лекции],BAZLS[Лекции],MAZZS[Лекции],MAZLS[Лекции]),dbУчДисц[[#This Row],[№]],0)</f>
        <v>0</v>
      </c>
      <c r="Q14" s="1250" cm="1">
        <f t="array" aca="1" ref="Q14" ca="1">INDEX(CHOOSE(dbУчДисц[[#This Row],[код]],BAZZS[Упражнения],BAZLS[Упражнения],MAZZS[Упражнения],MAZLS[Упражнения]),dbУчДисц[[#This Row],[№]],0)</f>
        <v>0</v>
      </c>
      <c r="R14" s="880" t="str">
        <f ca="1">T(INDEX(CHOOSE(dbУчДисц[[#This Row],[код]],BAZZS[Език],BAZLS[Език],MAZZS[Език],MAZLS[Език]),dbУчДисц[[#This Row],[№]],0))</f>
        <v>БЕ</v>
      </c>
      <c r="S14" s="237" t="str">
        <f ca="1">T(INDEX(CHOOSE(dbУчДисц[[#This Row],[код]],BAZZS[ФормаОц],BAZLS[ФормаОц],MAZZS[ФормаОц],MAZLS[ФормаОц]),dbУчДисц[[#This Row],[№]],0))</f>
        <v/>
      </c>
      <c r="T14" s="244" t="str">
        <f ca="1">T(INDEX(CHOOSE(dbУчДисц[[#This Row],[код]],BAZZS[Изпитващ],BAZLS[Изпитващ],MAZZS[Изпитващ],MAZLS[Изпитващ]),dbУчДисц[[#This Row],[№]],0))</f>
        <v/>
      </c>
      <c r="U14" s="1250" cm="1">
        <f t="array" aca="1" ref="U14" ca="1">INDEX(CHOOSE(dbУчДисц[[#This Row],[код]],BAZZS[Изпитани],BAZLS[Изпитани],MAZZS[Изпитани],MAZLS[Изпитани]),dbУчДисц[[#This Row],[№]],0)</f>
        <v>0</v>
      </c>
      <c r="V14" s="1268" cm="1">
        <f t="array" aca="1" ref="V14" ca="1">INDEX(CHOOSE(dbУчДисц[[#This Row],[код]],BAZZS[ТО],BAZLS[ТО],MAZZS[ТО],MAZLS[ТО]),dbУчДисц[[#This Row],[№]],0)</f>
        <v>0</v>
      </c>
      <c r="W14" s="1268" cm="1">
        <f t="array" aca="1" ref="W14" ca="1">INDEX(CHOOSE(dbУчДисц[[#This Row],[код]],BAZZS[КР],BAZLS[КР],MAZZS[КР],MAZLS[КР]),dbУчДисц[[#This Row],[№]],0)</f>
        <v>0</v>
      </c>
      <c r="X1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4" s="1270">
        <f ca="1">IF(AND(dbУчДисц[[#This Row],[Изпитани]]&lt;&gt;0,dbУчДисц[[#This Row],[Изпитващ]]=0),1,0)</f>
        <v>0</v>
      </c>
      <c r="AA14" s="1271">
        <f ca="1">IFERROR(VLOOKUP(dbУчДисц[[#This Row],[Език]],Коефициент_Eзик[],2,0),0)</f>
        <v>1</v>
      </c>
      <c r="AB14" s="1272" cm="1">
        <f t="array" aca="1" ref="AB1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4" s="1273">
        <v>0.5</v>
      </c>
      <c r="AE14" s="1274">
        <v>5</v>
      </c>
      <c r="AF14" s="1271">
        <f ca="1">N(dbУчДисц[[#This Row],[Лекции]])*dbУчДисц[[#This Row],[кЕзик]]*dbУчДисц[[#This Row],[кСтуденти]]*кЛекции</f>
        <v>0</v>
      </c>
      <c r="AG14" s="1272">
        <f ca="1">N(dbУчДисц[[#This Row],[Упражнения]])*dbУчДисц[[#This Row],[кЕзик]]*dbУчДисц[[#This Row],[кСтуденти]]*кУпражнение</f>
        <v>0</v>
      </c>
      <c r="AH14" s="1272">
        <f ca="1">N(dbУчДисц[[#This Row],[Изпитани]])*dbУчДисц[[#This Row],[кИзпитващ]]</f>
        <v>0</v>
      </c>
      <c r="AI14" s="1273">
        <f ca="1">dbУчДисц[[#This Row],[ТО]]*dbУчДисц[[#This Row],[кTO]]</f>
        <v>0</v>
      </c>
      <c r="AJ14" s="1266">
        <f ca="1">dbУчДисц[[#This Row],[КР]]*dbУчДисц[[#This Row],[кКР]]</f>
        <v>0</v>
      </c>
      <c r="AK14" s="1275">
        <f ca="1">N(INDEX(CHOOSE(dbУчДисц[[#This Row],[код]],BAZZS[id_РД],BAZLS[id_РД],MAZZS[id_РД],MAZLS[id_РД]),dbУчДисц[[#This Row],[№]],0))</f>
        <v>0</v>
      </c>
      <c r="AL1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1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4" s="1383" t="str">
        <f ca="1">T(INDEX(CHOOSE(dbУчДисц[[#This Row],[код]],BAZZS[Факултет1],BAZLS[Факултет1],MAZZS[Факултет1],MAZLS[Факултет1]),dbУчДисц[[#This Row],[№]],0))</f>
        <v/>
      </c>
      <c r="AO1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4" s="931" t="s">
        <v>681</v>
      </c>
      <c r="AT14" s="955" t="s">
        <v>406</v>
      </c>
      <c r="AU14" s="950">
        <v>1</v>
      </c>
      <c r="AV14" s="981">
        <f ca="1">IF(dbУчПрактикиКР[[#This Row],[Семестър]]=OFFSET(dbУчПрактикиКР[[#This Row],[Семестър]],-1,0),N(OFFSET(dbУчПрактикиКР[[#This Row],[№]],-1,0))+1,1)</f>
        <v>2</v>
      </c>
      <c r="AW14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4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4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4" s="943" t="str">
        <f ca="1">T(INDEX(CHOOSE(dbУчПрактикиКР[[#This Row],[код]],BPZS[Вид],BPLS[Вид],MPZS[Вид],MPLS[Вид]),dbУчПрактикиКР[[#This Row],[№]],0))</f>
        <v/>
      </c>
      <c r="BA14" s="944" t="str">
        <f ca="1">T(INDEX(CHOOSE(dbУчПрактикиКР[[#This Row],[код]],BPZS[Курс],BPLS[Курс],MPZS[Курс],MPLS[Курс]),dbУчПрактикиКР[[#This Row],[№]],0))</f>
        <v/>
      </c>
      <c r="BB14" s="1034" t="str">
        <f ca="1">T(INDEX(CHOOSE(dbУчПрактикиКР[[#This Row],[код]],BPZS[ФормаОб],BPLS[ФормаОб],MPZS[ФормаОб],MPLS[ФормаОб]),dbУчПрактикиКР[[#This Row],[№]],0))</f>
        <v/>
      </c>
      <c r="BC14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14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4" s="1302">
        <f ca="1">N(INDEX(CHOOSE(dbУчПрактикиКР[[#This Row],[код]],BPZS[Група],BPLS[Група],MPZS[Група],MPLS[Група]),dbУчПрактикиКР[[#This Row],[№]],0))</f>
        <v>0</v>
      </c>
      <c r="BF14" s="1303">
        <f ca="1">N(INDEX(CHOOSE(dbУчПрактикиКР[[#This Row],[код]],BPZS[Ден],BPLS[Ден],MPZS[Ден],MPLS[Ден]),dbУчПрактикиКР[[#This Row],[№]],0))</f>
        <v>0</v>
      </c>
      <c r="BG14" s="1036" t="str">
        <f ca="1">T(INDEX(CHOOSE(dbУчПрактикиКР[[#This Row],[код]],BPZS[ФормаОц],BPLS[ФормаОц],MPZS[ФормаОц],MPLS[ФормаОц]),dbУчПрактикиКР[[#This Row],[№]],0))</f>
        <v/>
      </c>
      <c r="BH14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14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14" s="1316">
        <f ca="1">N(INDEX(CHOOSE(dbУчПрактикиКР[[#This Row],[код]],BPZS[ТО],BPLS[ТО],MPZS[ТО],MPLS[ТО]),dbУчПрактикиКР[[#This Row],[№]],0))</f>
        <v>0</v>
      </c>
      <c r="BK14" s="1317">
        <f ca="1">N(INDEX(CHOOSE(dbУчПрактикиКР[[#This Row],[код]],BPZS[КР],BPLS[КР],MPZS[КР],MPLS[КР]),dbУчПрактикиКР[[#This Row],[№]],0))</f>
        <v>0</v>
      </c>
      <c r="BL14" s="1318">
        <f ca="1">IFERROR(MATCH(dbУчПрактикиКР[[#This Row],[ВидПрактика]],T_Практики[Практика и курсова работа],0),0)</f>
        <v>0</v>
      </c>
      <c r="BM14" s="1340" t="str">
        <f ca="1">IF(dbУчПрактикиКР[[#This Row],[пВидПрактика]],INDEX(T_Практики[Студенти],dbУчПрактикиКР[[#This Row],[пВидПрактика]]),"-")</f>
        <v>-</v>
      </c>
      <c r="BN14" s="1340" t="str">
        <f ca="1">IF(dbУчПрактикиКР[[#This Row],[пВидПрактика]],INDEX(T_Практики[Група],dbУчПрактикиКР[[#This Row],[пВидПрактика]])*2,"-")</f>
        <v>-</v>
      </c>
      <c r="BO14" s="1341" t="str">
        <f ca="1">IF(dbУчПрактикиКР[[#This Row],[пВидПрактика]],INDEX(T_Практики[Ден],dbУчПрактикиКР[[#This Row],[пВидПрактика]])*4,"-")</f>
        <v>-</v>
      </c>
      <c r="BP14" s="1335">
        <f ca="1">IFERROR(AND(dbУчПрактикиКР[[#This Row],[ТО]]&lt;&gt;0,dbУчПрактикиКР[[#This Row],[ФормаОб]]=0)*1,0)</f>
        <v>0</v>
      </c>
      <c r="BQ14" s="1335">
        <f ca="1">IFERROR(AND(dbУчПрактикиКР[[#This Row],[Изпитани]]&lt;&gt;0,LEN(dbУчПрактикиКР[[#This Row],[Изпитващ]])=0)*1,0)</f>
        <v>0</v>
      </c>
      <c r="BR14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4" s="1335">
        <f ca="1">IFERROR(IF(dbУчПрактикиКР[[#This Row],[ФормаОб]]=list!$A$55,Coef!$B$10,Coef!$B$9),0)</f>
        <v>0.5</v>
      </c>
      <c r="BT14" s="1343">
        <v>5</v>
      </c>
      <c r="BU14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4" s="1340">
        <f ca="1">dbУчПрактикиКР[[#This Row],[кИзпитващ]]*N(dbУчПрактикиКР[[#This Row],[Изпитани]])</f>
        <v>0</v>
      </c>
      <c r="BW14" s="1344">
        <f ca="1">N(dbУчПрактикиКР[[#This Row],[ТО]])*N(dbУчПрактикиКР[[#This Row],[кTO]])</f>
        <v>0</v>
      </c>
      <c r="BX14" s="1343">
        <f ca="1">N(dbУчПрактикиКР[[#This Row],[КР]])*dbУчПрактикиКР[[#This Row],[кКР]]</f>
        <v>0</v>
      </c>
      <c r="BY14" s="1335">
        <f ca="1">N(INDEX(CHOOSE(dbУчПрактикиКР[[#This Row],[код]],BPZS[id_РД],BPLS[id_РД],MPZS[id_РД],MPLS[id_РД]),dbУчПрактикиКР[[#This Row],[№]],0))</f>
        <v>0</v>
      </c>
      <c r="BZ14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4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4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4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4" s="1356" t="s">
        <v>681</v>
      </c>
      <c r="CH14" s="1357" t="s">
        <v>406</v>
      </c>
      <c r="CI14" s="1354">
        <v>1</v>
      </c>
      <c r="CJ14" s="1355">
        <f ca="1">IF(dbДипломиране[[#This Row],[Семестър]]=OFFSET(dbДипломиране[[#This Row],[Семестър]],-1,0),N(OFFSET(dbДипломиране[[#This Row],[№]],-1,0))+1,1)</f>
        <v>2</v>
      </c>
      <c r="CK14" s="839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4" s="24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4" s="1360">
        <f ca="1">N(INDEX(CHOOSE(dbДипломиране[[#This Row],[код]],BDiplomiraneZS[ДР],BDiplomiraneLS[ФормаОб],MDiplomiraneZS[ДР],MDiplomiraneLS[ДР]),dbДипломиране[[#This Row],[№]],0))</f>
        <v>0</v>
      </c>
      <c r="CN14" s="1250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4" s="1249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4" s="1359">
        <f ca="1">dbДипломиране[[#This Row],[ДР]]*30</f>
        <v>0</v>
      </c>
      <c r="CQ14" s="1359">
        <f ca="1">dbДипломиране[[#This Row],[Рецензии]]*5</f>
        <v>0</v>
      </c>
      <c r="CR14" s="1359">
        <f ca="1">dbДипломиране[[#This Row],[И/ДИ/З]]*0.8</f>
        <v>0</v>
      </c>
      <c r="CV14" s="559"/>
      <c r="CW14" s="610"/>
      <c r="CX14" s="559"/>
      <c r="CY14" s="560"/>
      <c r="CZ14" s="559"/>
      <c r="DA14" s="561"/>
      <c r="DB14" s="562"/>
      <c r="DC14" s="563"/>
      <c r="DD14" s="564" t="s">
        <v>84</v>
      </c>
      <c r="DE14" s="570"/>
      <c r="DF14" s="571"/>
      <c r="DG14" s="563"/>
      <c r="DH14" s="627">
        <f>Подготовка_курс72[[#This Row],[пПразни]]*(LEN(Подготовка_курс72[[#This Row],[Дейност]])=0)</f>
        <v>0</v>
      </c>
      <c r="DI14" s="627">
        <f>Подготовка_курс72[[#This Row],[пПразни]]*(LEN(Подготовка_курс72[[#This Row],[Екип]])=0)</f>
        <v>0</v>
      </c>
      <c r="DJ14" s="627">
        <f>Подготовка_курс72[[#This Row],[пПразни]]*(LEN(Подготовка_курс72[[#This Row],[ОКС]])=0)</f>
        <v>0</v>
      </c>
      <c r="DK14" s="627">
        <f>Подготовка_курс72[[#This Row],[пПразни]]*(LEN(Подготовка_курс72[[#This Row],[ФормаОб]])=0)</f>
        <v>0</v>
      </c>
      <c r="DL14" s="627">
        <f>Подготовка_курс72[[#This Row],[пПразни]]*(LEN(Подготовка_курс72[[#This Row],[Семестър]])=0)</f>
        <v>0</v>
      </c>
      <c r="DM14" s="627">
        <f>Подготовка_курс72[[#This Row],[пПразни]]*(SUM(Подготовка_курс72[[#This Row],[Лекции]:[Упражнения]])=0)</f>
        <v>0</v>
      </c>
      <c r="DN14" s="627">
        <f>((12-COUNTBLANK(Подготовка_курс72[[#This Row],[Дейност]:[Семестър]]))&gt;1)*1</f>
        <v>0</v>
      </c>
      <c r="DO14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4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4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4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  <c r="DV14" s="586"/>
      <c r="DW14" s="586"/>
      <c r="DX14" s="586"/>
      <c r="DY14" s="564" t="s">
        <v>84</v>
      </c>
      <c r="DZ14" s="265"/>
      <c r="EA14" s="243"/>
      <c r="EB14" s="243"/>
      <c r="EC14" s="244"/>
      <c r="ED14" s="704"/>
      <c r="EE14" s="640">
        <f>((9-COUNTBLANK(DrAZ71[[#This Row],[Докторански курс]:[Семестър]]))&gt;1)*1</f>
        <v>0</v>
      </c>
      <c r="EF14" s="641">
        <f>DrAZ71[[#This Row],[пПразни]]*(3-COUNTBLANK(DrAZ71[[#This Row],[Докторански курс]:[Професионално направление]])&lt;=3)</f>
        <v>0</v>
      </c>
      <c r="EG14" s="641">
        <f>DrAZ71[[#This Row],[пПразни]]*(N(DrAZ71[[#This Row],[Докторанти]])=0)</f>
        <v>0</v>
      </c>
      <c r="EH14" s="641">
        <f>DrAZ71[[#This Row],[пПразни]]*(SUM(DrAZ71[[#This Row],[Лекции]:[Упражнения]])=0)</f>
        <v>0</v>
      </c>
      <c r="EI14" s="641">
        <f>DrAZ71[[#This Row],[пПразни]]*(N(DrAZ71[[#This Row],[Изпитани]])=0)</f>
        <v>0</v>
      </c>
      <c r="EJ14" s="642">
        <f>DrAZ71[[#This Row],[пПразни]]*(LEN(DrAZ71[[#This Row],[Семестър]])=0)</f>
        <v>0</v>
      </c>
      <c r="EK14" s="637" t="str">
        <f>IF(DrAZ71[[#This Row],[пПразни]],DrAZ71[[#This Row],[Семестър]]&amp;"|"&amp;DrAZ71[[#This Row],[Език]],"")</f>
        <v/>
      </c>
      <c r="EL14" s="638">
        <f>IF(DrAZ71[[#This Row],[Докторанти]]&gt;=3,1,IFERROR(VLOOKUP(DrAZ71[[#This Row],[Докторанти]],RedukciaDr[],2,0),0))</f>
        <v>0</v>
      </c>
      <c r="EM14" s="639">
        <f>IF(DrAZ71[[#This Row],[Език]]="чужд",1.5,1)</f>
        <v>1</v>
      </c>
      <c r="EN14" s="640">
        <f>DrAZ71[[#This Row],[Лекции]]*DrAZ71[[#This Row],[кРедукция]]*DrAZ71[[#This Row],[кЕзик]]*кЛекции</f>
        <v>0</v>
      </c>
      <c r="EO14" s="641">
        <f>DrAZ71[[#This Row],[Упражнения]]*DrAZ71[[#This Row],[кРедукция]]*DrAZ71[[#This Row],[кЕзик]]*кУпражнение</f>
        <v>0</v>
      </c>
      <c r="EP14" s="642">
        <f>DrAZ71[[#This Row],[Изпитани]]*кИзпитаниДок</f>
        <v>0</v>
      </c>
    </row>
    <row r="15" spans="5:146" ht="16.5" x14ac:dyDescent="0.3">
      <c r="E15" s="915" t="s">
        <v>681</v>
      </c>
      <c r="F15" s="916" t="s">
        <v>406</v>
      </c>
      <c r="G15" s="846">
        <v>1</v>
      </c>
      <c r="H15" s="860">
        <f ca="1">IF(dbУчДисц[[#This Row],[Семестър]]=OFFSET(dbУчДисц[[#This Row],[Семестър]],-1,0),N(OFFSET(dbУчДисц[[#This Row],[№]],-1,0))+1,1)</f>
        <v>3</v>
      </c>
      <c r="I15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15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5" s="847" t="str">
        <f ca="1">T(INDEX(CHOOSE(dbУчДисц[[#This Row],[код]],BAZZS[Факултет],BAZLS[Факултет],MAZZS[Факултет],MAZLS[Факултет]),dbУчДисц[[#This Row],[№]],0))</f>
        <v/>
      </c>
      <c r="L15" s="878" t="str">
        <f ca="1">T(INDEX(CHOOSE(dbУчДисц[[#This Row],[код]],BAZZS[Вид],BAZLS[Вид],MAZZS[Вид],MAZLS[Вид]),dbУчДисц[[#This Row],[№]],0))</f>
        <v/>
      </c>
      <c r="M15" s="879" t="str">
        <f ca="1">T(INDEX(CHOOSE(dbУчДисц[[#This Row],[код]],BAZZS[Курс],BAZLS[Курс],MAZZS[Курс],MAZLS[Курс]),dbУчДисц[[#This Row],[№]],0))</f>
        <v/>
      </c>
      <c r="N15" s="237" t="str">
        <f ca="1">T(INDEX(CHOOSE(dbУчДисц[[#This Row],[код]],BAZZS[ФормаОб],BAZLS[ФормаОб],MAZZS[ФормаОб],MAZLS[ФормаОб]),dbУчДисц[[#This Row],[№]],0))</f>
        <v/>
      </c>
      <c r="O15" s="1249" cm="1">
        <f t="array" aca="1" ref="O15" ca="1">INDEX(CHOOSE(dbУчДисц[[#This Row],[код]],BAZZS[Студенти],BAZLS[Студенти],MAZZS[Студенти],MAZLS[Студенти]),dbУчДисц[[#This Row],[№]],0)</f>
        <v>0</v>
      </c>
      <c r="P15" s="1250" cm="1">
        <f t="array" aca="1" ref="P15" ca="1">INDEX(CHOOSE(dbУчДисц[[#This Row],[код]],BAZZS[Лекции],BAZLS[Лекции],MAZZS[Лекции],MAZLS[Лекции]),dbУчДисц[[#This Row],[№]],0)</f>
        <v>0</v>
      </c>
      <c r="Q15" s="1250" cm="1">
        <f t="array" aca="1" ref="Q15" ca="1">INDEX(CHOOSE(dbУчДисц[[#This Row],[код]],BAZZS[Упражнения],BAZLS[Упражнения],MAZZS[Упражнения],MAZLS[Упражнения]),dbУчДисц[[#This Row],[№]],0)</f>
        <v>0</v>
      </c>
      <c r="R15" s="880" t="str">
        <f ca="1">T(INDEX(CHOOSE(dbУчДисц[[#This Row],[код]],BAZZS[Език],BAZLS[Език],MAZZS[Език],MAZLS[Език]),dbУчДисц[[#This Row],[№]],0))</f>
        <v>БЕ</v>
      </c>
      <c r="S15" s="237" t="str">
        <f ca="1">T(INDEX(CHOOSE(dbУчДисц[[#This Row],[код]],BAZZS[ФормаОц],BAZLS[ФормаОц],MAZZS[ФормаОц],MAZLS[ФормаОц]),dbУчДисц[[#This Row],[№]],0))</f>
        <v/>
      </c>
      <c r="T15" s="240" t="str">
        <f ca="1">T(INDEX(CHOOSE(dbУчДисц[[#This Row],[код]],BAZZS[Изпитващ],BAZLS[Изпитващ],MAZZS[Изпитващ],MAZLS[Изпитващ]),dbУчДисц[[#This Row],[№]],0))</f>
        <v/>
      </c>
      <c r="U15" s="1250" cm="1">
        <f t="array" aca="1" ref="U15" ca="1">INDEX(CHOOSE(dbУчДисц[[#This Row],[код]],BAZZS[Изпитани],BAZLS[Изпитани],MAZZS[Изпитани],MAZLS[Изпитани]),dbУчДисц[[#This Row],[№]],0)</f>
        <v>0</v>
      </c>
      <c r="V15" s="1268" cm="1">
        <f t="array" aca="1" ref="V15" ca="1">INDEX(CHOOSE(dbУчДисц[[#This Row],[код]],BAZZS[ТО],BAZLS[ТО],MAZZS[ТО],MAZLS[ТО]),dbУчДисц[[#This Row],[№]],0)</f>
        <v>0</v>
      </c>
      <c r="W15" s="1268" cm="1">
        <f t="array" aca="1" ref="W15" ca="1">INDEX(CHOOSE(dbУчДисц[[#This Row],[код]],BAZZS[КР],BAZLS[КР],MAZZS[КР],MAZLS[КР]),dbУчДисц[[#This Row],[№]],0)</f>
        <v>0</v>
      </c>
      <c r="X1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5" s="1270">
        <f ca="1">IF(AND(dbУчДисц[[#This Row],[Изпитани]]&lt;&gt;0,dbУчДисц[[#This Row],[Изпитващ]]=0),1,0)</f>
        <v>0</v>
      </c>
      <c r="AA15" s="1271">
        <f ca="1">IFERROR(VLOOKUP(dbУчДисц[[#This Row],[Език]],Коефициент_Eзик[],2,0),0)</f>
        <v>1</v>
      </c>
      <c r="AB15" s="1272" cm="1">
        <f t="array" aca="1" ref="AB1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5" s="1273">
        <v>0.5</v>
      </c>
      <c r="AE15" s="1274">
        <v>5</v>
      </c>
      <c r="AF15" s="1271">
        <f ca="1">N(dbУчДисц[[#This Row],[Лекции]])*dbУчДисц[[#This Row],[кЕзик]]*dbУчДисц[[#This Row],[кСтуденти]]*кЛекции</f>
        <v>0</v>
      </c>
      <c r="AG15" s="1272">
        <f ca="1">N(dbУчДисц[[#This Row],[Упражнения]])*dbУчДисц[[#This Row],[кЕзик]]*dbУчДисц[[#This Row],[кСтуденти]]*кУпражнение</f>
        <v>0</v>
      </c>
      <c r="AH15" s="1272">
        <f ca="1">N(dbУчДисц[[#This Row],[Изпитани]])*dbУчДисц[[#This Row],[кИзпитващ]]</f>
        <v>0</v>
      </c>
      <c r="AI15" s="1273">
        <f ca="1">dbУчДисц[[#This Row],[ТО]]*dbУчДисц[[#This Row],[кTO]]</f>
        <v>0</v>
      </c>
      <c r="AJ15" s="1266">
        <f ca="1">dbУчДисц[[#This Row],[КР]]*dbУчДисц[[#This Row],[кКР]]</f>
        <v>0</v>
      </c>
      <c r="AK15" s="1275">
        <f ca="1">N(INDEX(CHOOSE(dbУчДисц[[#This Row],[код]],BAZZS[id_РД],BAZLS[id_РД],MAZZS[id_РД],MAZLS[id_РД]),dbУчДисц[[#This Row],[№]],0))</f>
        <v>0</v>
      </c>
      <c r="AL1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1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5" s="1383" t="str">
        <f ca="1">T(INDEX(CHOOSE(dbУчДисц[[#This Row],[код]],BAZZS[Факултет1],BAZLS[Факултет1],MAZZS[Факултет1],MAZLS[Факултет1]),dbУчДисц[[#This Row],[№]],0))</f>
        <v/>
      </c>
      <c r="AO1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5" s="931" t="s">
        <v>681</v>
      </c>
      <c r="AT15" s="955" t="s">
        <v>406</v>
      </c>
      <c r="AU15" s="950">
        <v>1</v>
      </c>
      <c r="AV15" s="981">
        <f ca="1">IF(dbУчПрактикиКР[[#This Row],[Семестър]]=OFFSET(dbУчПрактикиКР[[#This Row],[Семестър]],-1,0),N(OFFSET(dbУчПрактикиКР[[#This Row],[№]],-1,0))+1,1)</f>
        <v>3</v>
      </c>
      <c r="AW15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5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5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5" s="943" t="str">
        <f ca="1">T(INDEX(CHOOSE(dbУчПрактикиКР[[#This Row],[код]],BPZS[Вид],BPLS[Вид],MPZS[Вид],MPLS[Вид]),dbУчПрактикиКР[[#This Row],[№]],0))</f>
        <v/>
      </c>
      <c r="BA15" s="944" t="str">
        <f ca="1">T(INDEX(CHOOSE(dbУчПрактикиКР[[#This Row],[код]],BPZS[Курс],BPLS[Курс],MPZS[Курс],MPLS[Курс]),dbУчПрактикиКР[[#This Row],[№]],0))</f>
        <v/>
      </c>
      <c r="BB15" s="1034" t="str">
        <f ca="1">T(INDEX(CHOOSE(dbУчПрактикиКР[[#This Row],[код]],BPZS[ФормаОб],BPLS[ФормаОб],MPZS[ФормаОб],MPLS[ФормаОб]),dbУчПрактикиКР[[#This Row],[№]],0))</f>
        <v/>
      </c>
      <c r="BC15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15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5" s="1302">
        <f ca="1">N(INDEX(CHOOSE(dbУчПрактикиКР[[#This Row],[код]],BPZS[Група],BPLS[Група],MPZS[Група],MPLS[Група]),dbУчПрактикиКР[[#This Row],[№]],0))</f>
        <v>0</v>
      </c>
      <c r="BF15" s="1303">
        <f ca="1">N(INDEX(CHOOSE(dbУчПрактикиКР[[#This Row],[код]],BPZS[Ден],BPLS[Ден],MPZS[Ден],MPLS[Ден]),dbУчПрактикиКР[[#This Row],[№]],0))</f>
        <v>0</v>
      </c>
      <c r="BG15" s="1036" t="str">
        <f ca="1">T(INDEX(CHOOSE(dbУчПрактикиКР[[#This Row],[код]],BPZS[ФормаОц],BPLS[ФормаОц],MPZS[ФормаОц],MPLS[ФормаОц]),dbУчПрактикиКР[[#This Row],[№]],0))</f>
        <v/>
      </c>
      <c r="BH15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15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15" s="1316">
        <f ca="1">N(INDEX(CHOOSE(dbУчПрактикиКР[[#This Row],[код]],BPZS[ТО],BPLS[ТО],MPZS[ТО],MPLS[ТО]),dbУчПрактикиКР[[#This Row],[№]],0))</f>
        <v>0</v>
      </c>
      <c r="BK15" s="1317">
        <f ca="1">N(INDEX(CHOOSE(dbУчПрактикиКР[[#This Row],[код]],BPZS[КР],BPLS[КР],MPZS[КР],MPLS[КР]),dbУчПрактикиКР[[#This Row],[№]],0))</f>
        <v>0</v>
      </c>
      <c r="BL15" s="1318">
        <f ca="1">IFERROR(MATCH(dbУчПрактикиКР[[#This Row],[ВидПрактика]],T_Практики[Практика и курсова работа],0),0)</f>
        <v>0</v>
      </c>
      <c r="BM15" s="1340" t="str">
        <f ca="1">IF(dbУчПрактикиКР[[#This Row],[пВидПрактика]],INDEX(T_Практики[Студенти],dbУчПрактикиКР[[#This Row],[пВидПрактика]]),"-")</f>
        <v>-</v>
      </c>
      <c r="BN15" s="1340" t="str">
        <f ca="1">IF(dbУчПрактикиКР[[#This Row],[пВидПрактика]],INDEX(T_Практики[Група],dbУчПрактикиКР[[#This Row],[пВидПрактика]])*2,"-")</f>
        <v>-</v>
      </c>
      <c r="BO15" s="1341" t="str">
        <f ca="1">IF(dbУчПрактикиКР[[#This Row],[пВидПрактика]],INDEX(T_Практики[Ден],dbУчПрактикиКР[[#This Row],[пВидПрактика]])*4,"-")</f>
        <v>-</v>
      </c>
      <c r="BP15" s="1335">
        <f ca="1">IFERROR(AND(dbУчПрактикиКР[[#This Row],[ТО]]&lt;&gt;0,dbУчПрактикиКР[[#This Row],[ФормаОб]]=0)*1,0)</f>
        <v>0</v>
      </c>
      <c r="BQ15" s="1335">
        <f ca="1">IFERROR(AND(dbУчПрактикиКР[[#This Row],[Изпитани]]&lt;&gt;0,LEN(dbУчПрактикиКР[[#This Row],[Изпитващ]])=0)*1,0)</f>
        <v>0</v>
      </c>
      <c r="BR15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5" s="1335">
        <f ca="1">IFERROR(IF(dbУчПрактикиКР[[#This Row],[ФормаОб]]=list!$A$55,Coef!$B$10,Coef!$B$9),0)</f>
        <v>0.5</v>
      </c>
      <c r="BT15" s="1343">
        <v>5</v>
      </c>
      <c r="BU15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5" s="1340">
        <f ca="1">dbУчПрактикиКР[[#This Row],[кИзпитващ]]*N(dbУчПрактикиКР[[#This Row],[Изпитани]])</f>
        <v>0</v>
      </c>
      <c r="BW15" s="1344">
        <f ca="1">N(dbУчПрактикиКР[[#This Row],[ТО]])*N(dbУчПрактикиКР[[#This Row],[кTO]])</f>
        <v>0</v>
      </c>
      <c r="BX15" s="1343">
        <f ca="1">N(dbУчПрактикиКР[[#This Row],[КР]])*dbУчПрактикиКР[[#This Row],[кКР]]</f>
        <v>0</v>
      </c>
      <c r="BY15" s="1335">
        <f ca="1">N(INDEX(CHOOSE(dbУчПрактикиКР[[#This Row],[код]],BPZS[id_РД],BPLS[id_РД],MPZS[id_РД],MPLS[id_РД]),dbУчПрактикиКР[[#This Row],[№]],0))</f>
        <v>0</v>
      </c>
      <c r="BZ15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5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5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5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5" s="1356" t="s">
        <v>681</v>
      </c>
      <c r="CH15" s="1357" t="s">
        <v>406</v>
      </c>
      <c r="CI15" s="1354">
        <v>1</v>
      </c>
      <c r="CJ15" s="1355">
        <f ca="1">IF(dbДипломиране[[#This Row],[Семестър]]=OFFSET(dbДипломиране[[#This Row],[Семестър]],-1,0),N(OFFSET(dbДипломиране[[#This Row],[№]],-1,0))+1,1)</f>
        <v>3</v>
      </c>
      <c r="CK15" s="839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5" s="24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5" s="1360">
        <f ca="1">N(INDEX(CHOOSE(dbДипломиране[[#This Row],[код]],BDiplomiraneZS[ДР],BDiplomiraneLS[ФормаОб],MDiplomiraneZS[ДР],MDiplomiraneLS[ДР]),dbДипломиране[[#This Row],[№]],0))</f>
        <v>0</v>
      </c>
      <c r="CN15" s="1250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5" s="1249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5" s="1359">
        <f ca="1">dbДипломиране[[#This Row],[ДР]]*30</f>
        <v>0</v>
      </c>
      <c r="CQ15" s="1359">
        <f ca="1">dbДипломиране[[#This Row],[Рецензии]]*5</f>
        <v>0</v>
      </c>
      <c r="CR15" s="1359">
        <f ca="1">dbДипломиране[[#This Row],[И/ДИ/З]]*0.8</f>
        <v>0</v>
      </c>
      <c r="CV15" s="559"/>
      <c r="CW15" s="610"/>
      <c r="CX15" s="559"/>
      <c r="CY15" s="560"/>
      <c r="CZ15" s="559"/>
      <c r="DA15" s="561"/>
      <c r="DB15" s="562"/>
      <c r="DC15" s="563"/>
      <c r="DD15" s="564" t="s">
        <v>84</v>
      </c>
      <c r="DE15" s="570"/>
      <c r="DF15" s="571"/>
      <c r="DG15" s="563"/>
      <c r="DH15" s="627">
        <f>Подготовка_курс72[[#This Row],[пПразни]]*(LEN(Подготовка_курс72[[#This Row],[Дейност]])=0)</f>
        <v>0</v>
      </c>
      <c r="DI15" s="627">
        <f>Подготовка_курс72[[#This Row],[пПразни]]*(LEN(Подготовка_курс72[[#This Row],[Екип]])=0)</f>
        <v>0</v>
      </c>
      <c r="DJ15" s="627">
        <f>Подготовка_курс72[[#This Row],[пПразни]]*(LEN(Подготовка_курс72[[#This Row],[ОКС]])=0)</f>
        <v>0</v>
      </c>
      <c r="DK15" s="627">
        <f>Подготовка_курс72[[#This Row],[пПразни]]*(LEN(Подготовка_курс72[[#This Row],[ФормаОб]])=0)</f>
        <v>0</v>
      </c>
      <c r="DL15" s="627">
        <f>Подготовка_курс72[[#This Row],[пПразни]]*(LEN(Подготовка_курс72[[#This Row],[Семестър]])=0)</f>
        <v>0</v>
      </c>
      <c r="DM15" s="627">
        <f>Подготовка_курс72[[#This Row],[пПразни]]*(SUM(Подготовка_курс72[[#This Row],[Лекции]:[Упражнения]])=0)</f>
        <v>0</v>
      </c>
      <c r="DN15" s="627">
        <f>((12-COUNTBLANK(Подготовка_курс72[[#This Row],[Дейност]:[Семестър]]))&gt;1)*1</f>
        <v>0</v>
      </c>
      <c r="DO15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5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5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5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  <c r="DV15" s="586"/>
      <c r="DW15" s="586"/>
      <c r="DX15" s="586"/>
      <c r="DY15" s="564" t="s">
        <v>84</v>
      </c>
      <c r="DZ15" s="265"/>
      <c r="EA15" s="243"/>
      <c r="EB15" s="243"/>
      <c r="EC15" s="244"/>
      <c r="ED15" s="704"/>
      <c r="EE15" s="640">
        <f>((9-COUNTBLANK(DrAZ71[[#This Row],[Докторански курс]:[Семестър]]))&gt;1)*1</f>
        <v>0</v>
      </c>
      <c r="EF15" s="641">
        <f>DrAZ71[[#This Row],[пПразни]]*(3-COUNTBLANK(DrAZ71[[#This Row],[Докторански курс]:[Професионално направление]])&lt;=3)</f>
        <v>0</v>
      </c>
      <c r="EG15" s="641">
        <f>DrAZ71[[#This Row],[пПразни]]*(N(DrAZ71[[#This Row],[Докторанти]])=0)</f>
        <v>0</v>
      </c>
      <c r="EH15" s="641">
        <f>DrAZ71[[#This Row],[пПразни]]*(SUM(DrAZ71[[#This Row],[Лекции]:[Упражнения]])=0)</f>
        <v>0</v>
      </c>
      <c r="EI15" s="641">
        <f>DrAZ71[[#This Row],[пПразни]]*(N(DrAZ71[[#This Row],[Изпитани]])=0)</f>
        <v>0</v>
      </c>
      <c r="EJ15" s="642">
        <f>DrAZ71[[#This Row],[пПразни]]*(LEN(DrAZ71[[#This Row],[Семестър]])=0)</f>
        <v>0</v>
      </c>
      <c r="EK15" s="637" t="str">
        <f>IF(DrAZ71[[#This Row],[пПразни]],DrAZ71[[#This Row],[Семестър]]&amp;"|"&amp;DrAZ71[[#This Row],[Език]],"")</f>
        <v/>
      </c>
      <c r="EL15" s="638">
        <f>IF(DrAZ71[[#This Row],[Докторанти]]&gt;=3,1,IFERROR(VLOOKUP(DrAZ71[[#This Row],[Докторанти]],RedukciaDr[],2,0),0))</f>
        <v>0</v>
      </c>
      <c r="EM15" s="639">
        <f>IF(DrAZ71[[#This Row],[Език]]="чужд",1.5,1)</f>
        <v>1</v>
      </c>
      <c r="EN15" s="640">
        <f>DrAZ71[[#This Row],[Лекции]]*DrAZ71[[#This Row],[кРедукция]]*DrAZ71[[#This Row],[кЕзик]]*кЛекции</f>
        <v>0</v>
      </c>
      <c r="EO15" s="641">
        <f>DrAZ71[[#This Row],[Упражнения]]*DrAZ71[[#This Row],[кРедукция]]*DrAZ71[[#This Row],[кЕзик]]*кУпражнение</f>
        <v>0</v>
      </c>
      <c r="EP15" s="642">
        <f>DrAZ71[[#This Row],[Изпитани]]*кИзпитаниДок</f>
        <v>0</v>
      </c>
    </row>
    <row r="16" spans="5:146" ht="16.5" x14ac:dyDescent="0.3">
      <c r="E16" s="915" t="s">
        <v>681</v>
      </c>
      <c r="F16" s="916" t="s">
        <v>406</v>
      </c>
      <c r="G16" s="846">
        <v>1</v>
      </c>
      <c r="H16" s="860">
        <f ca="1">IF(dbУчДисц[[#This Row],[Семестър]]=OFFSET(dbУчДисц[[#This Row],[Семестър]],-1,0),N(OFFSET(dbУчДисц[[#This Row],[№]],-1,0))+1,1)</f>
        <v>4</v>
      </c>
      <c r="I16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16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6" s="847" t="str">
        <f ca="1">T(INDEX(CHOOSE(dbУчДисц[[#This Row],[код]],BAZZS[Факултет],BAZLS[Факултет],MAZZS[Факултет],MAZLS[Факултет]),dbУчДисц[[#This Row],[№]],0))</f>
        <v/>
      </c>
      <c r="L16" s="878" t="str">
        <f ca="1">T(INDEX(CHOOSE(dbУчДисц[[#This Row],[код]],BAZZS[Вид],BAZLS[Вид],MAZZS[Вид],MAZLS[Вид]),dbУчДисц[[#This Row],[№]],0))</f>
        <v/>
      </c>
      <c r="M16" s="879" t="str">
        <f ca="1">T(INDEX(CHOOSE(dbУчДисц[[#This Row],[код]],BAZZS[Курс],BAZLS[Курс],MAZZS[Курс],MAZLS[Курс]),dbУчДисц[[#This Row],[№]],0))</f>
        <v/>
      </c>
      <c r="N16" s="237" t="str">
        <f ca="1">T(INDEX(CHOOSE(dbУчДисц[[#This Row],[код]],BAZZS[ФормаОб],BAZLS[ФормаОб],MAZZS[ФормаОб],MAZLS[ФормаОб]),dbУчДисц[[#This Row],[№]],0))</f>
        <v/>
      </c>
      <c r="O16" s="1249" cm="1">
        <f t="array" aca="1" ref="O16" ca="1">INDEX(CHOOSE(dbУчДисц[[#This Row],[код]],BAZZS[Студенти],BAZLS[Студенти],MAZZS[Студенти],MAZLS[Студенти]),dbУчДисц[[#This Row],[№]],0)</f>
        <v>0</v>
      </c>
      <c r="P16" s="1250" cm="1">
        <f t="array" aca="1" ref="P16" ca="1">INDEX(CHOOSE(dbУчДисц[[#This Row],[код]],BAZZS[Лекции],BAZLS[Лекции],MAZZS[Лекции],MAZLS[Лекции]),dbУчДисц[[#This Row],[№]],0)</f>
        <v>0</v>
      </c>
      <c r="Q16" s="1250" cm="1">
        <f t="array" aca="1" ref="Q16" ca="1">INDEX(CHOOSE(dbУчДисц[[#This Row],[код]],BAZZS[Упражнения],BAZLS[Упражнения],MAZZS[Упражнения],MAZLS[Упражнения]),dbУчДисц[[#This Row],[№]],0)</f>
        <v>0</v>
      </c>
      <c r="R16" s="880" t="str">
        <f ca="1">T(INDEX(CHOOSE(dbУчДисц[[#This Row],[код]],BAZZS[Език],BAZLS[Език],MAZZS[Език],MAZLS[Език]),dbУчДисц[[#This Row],[№]],0))</f>
        <v>БЕ</v>
      </c>
      <c r="S16" s="237" t="str">
        <f ca="1">T(INDEX(CHOOSE(dbУчДисц[[#This Row],[код]],BAZZS[ФормаОц],BAZLS[ФормаОц],MAZZS[ФормаОц],MAZLS[ФормаОц]),dbУчДисц[[#This Row],[№]],0))</f>
        <v/>
      </c>
      <c r="T16" s="244" t="str">
        <f ca="1">T(INDEX(CHOOSE(dbУчДисц[[#This Row],[код]],BAZZS[Изпитващ],BAZLS[Изпитващ],MAZZS[Изпитващ],MAZLS[Изпитващ]),dbУчДисц[[#This Row],[№]],0))</f>
        <v/>
      </c>
      <c r="U16" s="1250" cm="1">
        <f t="array" aca="1" ref="U16" ca="1">INDEX(CHOOSE(dbУчДисц[[#This Row],[код]],BAZZS[Изпитани],BAZLS[Изпитани],MAZZS[Изпитани],MAZLS[Изпитани]),dbУчДисц[[#This Row],[№]],0)</f>
        <v>0</v>
      </c>
      <c r="V16" s="1268" cm="1">
        <f t="array" aca="1" ref="V16" ca="1">INDEX(CHOOSE(dbУчДисц[[#This Row],[код]],BAZZS[ТО],BAZLS[ТО],MAZZS[ТО],MAZLS[ТО]),dbУчДисц[[#This Row],[№]],0)</f>
        <v>0</v>
      </c>
      <c r="W16" s="1268" cm="1">
        <f t="array" aca="1" ref="W16" ca="1">INDEX(CHOOSE(dbУчДисц[[#This Row],[код]],BAZZS[КР],BAZLS[КР],MAZZS[КР],MAZLS[КР]),dbУчДисц[[#This Row],[№]],0)</f>
        <v>0</v>
      </c>
      <c r="X1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6" s="1270">
        <f ca="1">IF(AND(dbУчДисц[[#This Row],[Изпитани]]&lt;&gt;0,dbУчДисц[[#This Row],[Изпитващ]]=0),1,0)</f>
        <v>0</v>
      </c>
      <c r="AA16" s="1271">
        <f ca="1">IFERROR(VLOOKUP(dbУчДисц[[#This Row],[Език]],Коефициент_Eзик[],2,0),0)</f>
        <v>1</v>
      </c>
      <c r="AB16" s="1272" cm="1">
        <f t="array" aca="1" ref="AB1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6" s="1273">
        <v>0.5</v>
      </c>
      <c r="AE16" s="1274">
        <v>5</v>
      </c>
      <c r="AF16" s="1271">
        <f ca="1">N(dbУчДисц[[#This Row],[Лекции]])*dbУчДисц[[#This Row],[кЕзик]]*dbУчДисц[[#This Row],[кСтуденти]]*кЛекции</f>
        <v>0</v>
      </c>
      <c r="AG16" s="1272">
        <f ca="1">N(dbУчДисц[[#This Row],[Упражнения]])*dbУчДисц[[#This Row],[кЕзик]]*dbУчДисц[[#This Row],[кСтуденти]]*кУпражнение</f>
        <v>0</v>
      </c>
      <c r="AH16" s="1272">
        <f ca="1">N(dbУчДисц[[#This Row],[Изпитани]])*dbУчДисц[[#This Row],[кИзпитващ]]</f>
        <v>0</v>
      </c>
      <c r="AI16" s="1273">
        <f ca="1">dbУчДисц[[#This Row],[ТО]]*dbУчДисц[[#This Row],[кTO]]</f>
        <v>0</v>
      </c>
      <c r="AJ16" s="1266">
        <f ca="1">dbУчДисц[[#This Row],[КР]]*dbУчДисц[[#This Row],[кКР]]</f>
        <v>0</v>
      </c>
      <c r="AK16" s="1275">
        <f ca="1">N(INDEX(CHOOSE(dbУчДисц[[#This Row],[код]],BAZZS[id_РД],BAZLS[id_РД],MAZZS[id_РД],MAZLS[id_РД]),dbУчДисц[[#This Row],[№]],0))</f>
        <v>0</v>
      </c>
      <c r="AL1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1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6" s="1383" t="str">
        <f ca="1">T(INDEX(CHOOSE(dbУчДисц[[#This Row],[код]],BAZZS[Факултет1],BAZLS[Факултет1],MAZZS[Факултет1],MAZLS[Факултет1]),dbУчДисц[[#This Row],[№]],0))</f>
        <v/>
      </c>
      <c r="AO1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6" s="931" t="s">
        <v>681</v>
      </c>
      <c r="AT16" s="955" t="s">
        <v>406</v>
      </c>
      <c r="AU16" s="950">
        <v>1</v>
      </c>
      <c r="AV16" s="981">
        <f ca="1">IF(dbУчПрактикиКР[[#This Row],[Семестър]]=OFFSET(dbУчПрактикиКР[[#This Row],[Семестър]],-1,0),N(OFFSET(dbУчПрактикиКР[[#This Row],[№]],-1,0))+1,1)</f>
        <v>4</v>
      </c>
      <c r="AW16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6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6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6" s="943" t="str">
        <f ca="1">T(INDEX(CHOOSE(dbУчПрактикиКР[[#This Row],[код]],BPZS[Вид],BPLS[Вид],MPZS[Вид],MPLS[Вид]),dbУчПрактикиКР[[#This Row],[№]],0))</f>
        <v/>
      </c>
      <c r="BA16" s="944" t="str">
        <f ca="1">T(INDEX(CHOOSE(dbУчПрактикиКР[[#This Row],[код]],BPZS[Курс],BPLS[Курс],MPZS[Курс],MPLS[Курс]),dbУчПрактикиКР[[#This Row],[№]],0))</f>
        <v/>
      </c>
      <c r="BB16" s="1034" t="str">
        <f ca="1">T(INDEX(CHOOSE(dbУчПрактикиКР[[#This Row],[код]],BPZS[ФормаОб],BPLS[ФормаОб],MPZS[ФормаОб],MPLS[ФормаОб]),dbУчПрактикиКР[[#This Row],[№]],0))</f>
        <v/>
      </c>
      <c r="BC16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16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6" s="1302">
        <f ca="1">N(INDEX(CHOOSE(dbУчПрактикиКР[[#This Row],[код]],BPZS[Група],BPLS[Група],MPZS[Група],MPLS[Група]),dbУчПрактикиКР[[#This Row],[№]],0))</f>
        <v>0</v>
      </c>
      <c r="BF16" s="1303">
        <f ca="1">N(INDEX(CHOOSE(dbУчПрактикиКР[[#This Row],[код]],BPZS[Ден],BPLS[Ден],MPZS[Ден],MPLS[Ден]),dbУчПрактикиКР[[#This Row],[№]],0))</f>
        <v>0</v>
      </c>
      <c r="BG16" s="1036" t="str">
        <f ca="1">T(INDEX(CHOOSE(dbУчПрактикиКР[[#This Row],[код]],BPZS[ФормаОц],BPLS[ФормаОц],MPZS[ФормаОц],MPLS[ФормаОц]),dbУчПрактикиКР[[#This Row],[№]],0))</f>
        <v/>
      </c>
      <c r="BH16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16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16" s="1316">
        <f ca="1">N(INDEX(CHOOSE(dbУчПрактикиКР[[#This Row],[код]],BPZS[ТО],BPLS[ТО],MPZS[ТО],MPLS[ТО]),dbУчПрактикиКР[[#This Row],[№]],0))</f>
        <v>0</v>
      </c>
      <c r="BK16" s="1317">
        <f ca="1">N(INDEX(CHOOSE(dbУчПрактикиКР[[#This Row],[код]],BPZS[КР],BPLS[КР],MPZS[КР],MPLS[КР]),dbУчПрактикиКР[[#This Row],[№]],0))</f>
        <v>0</v>
      </c>
      <c r="BL16" s="1318">
        <f ca="1">IFERROR(MATCH(dbУчПрактикиКР[[#This Row],[ВидПрактика]],T_Практики[Практика и курсова работа],0),0)</f>
        <v>0</v>
      </c>
      <c r="BM16" s="1340" t="str">
        <f ca="1">IF(dbУчПрактикиКР[[#This Row],[пВидПрактика]],INDEX(T_Практики[Студенти],dbУчПрактикиКР[[#This Row],[пВидПрактика]]),"-")</f>
        <v>-</v>
      </c>
      <c r="BN16" s="1340" t="str">
        <f ca="1">IF(dbУчПрактикиКР[[#This Row],[пВидПрактика]],INDEX(T_Практики[Група],dbУчПрактикиКР[[#This Row],[пВидПрактика]])*2,"-")</f>
        <v>-</v>
      </c>
      <c r="BO16" s="1341" t="str">
        <f ca="1">IF(dbУчПрактикиКР[[#This Row],[пВидПрактика]],INDEX(T_Практики[Ден],dbУчПрактикиКР[[#This Row],[пВидПрактика]])*4,"-")</f>
        <v>-</v>
      </c>
      <c r="BP16" s="1335">
        <f ca="1">IFERROR(AND(dbУчПрактикиКР[[#This Row],[ТО]]&lt;&gt;0,dbУчПрактикиКР[[#This Row],[ФормаОб]]=0)*1,0)</f>
        <v>0</v>
      </c>
      <c r="BQ16" s="1335">
        <f ca="1">IFERROR(AND(dbУчПрактикиКР[[#This Row],[Изпитани]]&lt;&gt;0,LEN(dbУчПрактикиКР[[#This Row],[Изпитващ]])=0)*1,0)</f>
        <v>0</v>
      </c>
      <c r="BR16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6" s="1335">
        <f ca="1">IFERROR(IF(dbУчПрактикиКР[[#This Row],[ФормаОб]]=list!$A$55,Coef!$B$10,Coef!$B$9),0)</f>
        <v>0.5</v>
      </c>
      <c r="BT16" s="1343">
        <v>5</v>
      </c>
      <c r="BU16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6" s="1340">
        <f ca="1">dbУчПрактикиКР[[#This Row],[кИзпитващ]]*N(dbУчПрактикиКР[[#This Row],[Изпитани]])</f>
        <v>0</v>
      </c>
      <c r="BW16" s="1344">
        <f ca="1">N(dbУчПрактикиКР[[#This Row],[ТО]])*N(dbУчПрактикиКР[[#This Row],[кTO]])</f>
        <v>0</v>
      </c>
      <c r="BX16" s="1343">
        <f ca="1">N(dbУчПрактикиКР[[#This Row],[КР]])*dbУчПрактикиКР[[#This Row],[кКР]]</f>
        <v>0</v>
      </c>
      <c r="BY16" s="1335">
        <f ca="1">N(INDEX(CHOOSE(dbУчПрактикиКР[[#This Row],[код]],BPZS[id_РД],BPLS[id_РД],MPZS[id_РД],MPLS[id_РД]),dbУчПрактикиКР[[#This Row],[№]],0))</f>
        <v>0</v>
      </c>
      <c r="BZ16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6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6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6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6" s="1356" t="s">
        <v>681</v>
      </c>
      <c r="CH16" s="1357" t="s">
        <v>406</v>
      </c>
      <c r="CI16" s="1354">
        <v>1</v>
      </c>
      <c r="CJ16" s="1355">
        <f ca="1">IF(dbДипломиране[[#This Row],[Семестър]]=OFFSET(dbДипломиране[[#This Row],[Семестър]],-1,0),N(OFFSET(dbДипломиране[[#This Row],[№]],-1,0))+1,1)</f>
        <v>4</v>
      </c>
      <c r="CK16" s="839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6" s="24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6" s="1360">
        <f ca="1">N(INDEX(CHOOSE(dbДипломиране[[#This Row],[код]],BDiplomiraneZS[ДР],BDiplomiraneLS[ФормаОб],MDiplomiraneZS[ДР],MDiplomiraneLS[ДР]),dbДипломиране[[#This Row],[№]],0))</f>
        <v>0</v>
      </c>
      <c r="CN16" s="1250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6" s="1249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6" s="1359">
        <f ca="1">dbДипломиране[[#This Row],[ДР]]*30</f>
        <v>0</v>
      </c>
      <c r="CQ16" s="1359">
        <f ca="1">dbДипломиране[[#This Row],[Рецензии]]*5</f>
        <v>0</v>
      </c>
      <c r="CR16" s="1359">
        <f ca="1">dbДипломиране[[#This Row],[И/ДИ/З]]*0.8</f>
        <v>0</v>
      </c>
      <c r="CV16" s="559"/>
      <c r="CW16" s="610"/>
      <c r="CX16" s="559"/>
      <c r="CY16" s="560"/>
      <c r="CZ16" s="559"/>
      <c r="DA16" s="561"/>
      <c r="DB16" s="562"/>
      <c r="DC16" s="563"/>
      <c r="DD16" s="564" t="s">
        <v>84</v>
      </c>
      <c r="DE16" s="570"/>
      <c r="DF16" s="571"/>
      <c r="DG16" s="563"/>
      <c r="DH16" s="627">
        <f>Подготовка_курс72[[#This Row],[пПразни]]*(LEN(Подготовка_курс72[[#This Row],[Дейност]])=0)</f>
        <v>0</v>
      </c>
      <c r="DI16" s="627">
        <f>Подготовка_курс72[[#This Row],[пПразни]]*(LEN(Подготовка_курс72[[#This Row],[Екип]])=0)</f>
        <v>0</v>
      </c>
      <c r="DJ16" s="627">
        <f>Подготовка_курс72[[#This Row],[пПразни]]*(LEN(Подготовка_курс72[[#This Row],[ОКС]])=0)</f>
        <v>0</v>
      </c>
      <c r="DK16" s="627">
        <f>Подготовка_курс72[[#This Row],[пПразни]]*(LEN(Подготовка_курс72[[#This Row],[ФормаОб]])=0)</f>
        <v>0</v>
      </c>
      <c r="DL16" s="627">
        <f>Подготовка_курс72[[#This Row],[пПразни]]*(LEN(Подготовка_курс72[[#This Row],[Семестър]])=0)</f>
        <v>0</v>
      </c>
      <c r="DM16" s="627">
        <f>Подготовка_курс72[[#This Row],[пПразни]]*(SUM(Подготовка_курс72[[#This Row],[Лекции]:[Упражнения]])=0)</f>
        <v>0</v>
      </c>
      <c r="DN16" s="627">
        <f>((12-COUNTBLANK(Подготовка_курс72[[#This Row],[Дейност]:[Семестър]]))&gt;1)*1</f>
        <v>0</v>
      </c>
      <c r="DO16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6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6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6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  <c r="DV16" s="586"/>
      <c r="DW16" s="586"/>
      <c r="DX16" s="586"/>
      <c r="DY16" s="564" t="s">
        <v>84</v>
      </c>
      <c r="DZ16" s="265"/>
      <c r="EA16" s="243"/>
      <c r="EB16" s="243"/>
      <c r="EC16" s="244"/>
      <c r="ED16" s="704"/>
      <c r="EE16" s="640">
        <f>((9-COUNTBLANK(DrAZ71[[#This Row],[Докторански курс]:[Семестър]]))&gt;1)*1</f>
        <v>0</v>
      </c>
      <c r="EF16" s="641">
        <f>DrAZ71[[#This Row],[пПразни]]*(3-COUNTBLANK(DrAZ71[[#This Row],[Докторански курс]:[Професионално направление]])&lt;=3)</f>
        <v>0</v>
      </c>
      <c r="EG16" s="641">
        <f>DrAZ71[[#This Row],[пПразни]]*(N(DrAZ71[[#This Row],[Докторанти]])=0)</f>
        <v>0</v>
      </c>
      <c r="EH16" s="641">
        <f>DrAZ71[[#This Row],[пПразни]]*(SUM(DrAZ71[[#This Row],[Лекции]:[Упражнения]])=0)</f>
        <v>0</v>
      </c>
      <c r="EI16" s="641">
        <f>DrAZ71[[#This Row],[пПразни]]*(N(DrAZ71[[#This Row],[Изпитани]])=0)</f>
        <v>0</v>
      </c>
      <c r="EJ16" s="642">
        <f>DrAZ71[[#This Row],[пПразни]]*(LEN(DrAZ71[[#This Row],[Семестър]])=0)</f>
        <v>0</v>
      </c>
      <c r="EK16" s="637" t="str">
        <f>IF(DrAZ71[[#This Row],[пПразни]],DrAZ71[[#This Row],[Семестър]]&amp;"|"&amp;DrAZ71[[#This Row],[Език]],"")</f>
        <v/>
      </c>
      <c r="EL16" s="638">
        <f>IF(DrAZ71[[#This Row],[Докторанти]]&gt;=3,1,IFERROR(VLOOKUP(DrAZ71[[#This Row],[Докторанти]],RedukciaDr[],2,0),0))</f>
        <v>0</v>
      </c>
      <c r="EM16" s="639">
        <f>IF(DrAZ71[[#This Row],[Език]]="чужд",1.5,1)</f>
        <v>1</v>
      </c>
      <c r="EN16" s="640">
        <f>DrAZ71[[#This Row],[Лекции]]*DrAZ71[[#This Row],[кРедукция]]*DrAZ71[[#This Row],[кЕзик]]*кЛекции</f>
        <v>0</v>
      </c>
      <c r="EO16" s="641">
        <f>DrAZ71[[#This Row],[Упражнения]]*DrAZ71[[#This Row],[кРедукция]]*DrAZ71[[#This Row],[кЕзик]]*кУпражнение</f>
        <v>0</v>
      </c>
      <c r="EP16" s="642">
        <f>DrAZ71[[#This Row],[Изпитани]]*кИзпитаниДок</f>
        <v>0</v>
      </c>
    </row>
    <row r="17" spans="5:146" ht="16.5" x14ac:dyDescent="0.3">
      <c r="E17" s="915" t="s">
        <v>681</v>
      </c>
      <c r="F17" s="916" t="s">
        <v>406</v>
      </c>
      <c r="G17" s="846">
        <v>1</v>
      </c>
      <c r="H17" s="860">
        <f ca="1">IF(dbУчДисц[[#This Row],[Семестър]]=OFFSET(dbУчДисц[[#This Row],[Семестър]],-1,0),N(OFFSET(dbУчДисц[[#This Row],[№]],-1,0))+1,1)</f>
        <v>5</v>
      </c>
      <c r="I17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17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7" s="847" t="str">
        <f ca="1">T(INDEX(CHOOSE(dbУчДисц[[#This Row],[код]],BAZZS[Факултет],BAZLS[Факултет],MAZZS[Факултет],MAZLS[Факултет]),dbУчДисц[[#This Row],[№]],0))</f>
        <v/>
      </c>
      <c r="L17" s="878" t="str">
        <f ca="1">T(INDEX(CHOOSE(dbУчДисц[[#This Row],[код]],BAZZS[Вид],BAZLS[Вид],MAZZS[Вид],MAZLS[Вид]),dbУчДисц[[#This Row],[№]],0))</f>
        <v/>
      </c>
      <c r="M17" s="879" t="str">
        <f ca="1">T(INDEX(CHOOSE(dbУчДисц[[#This Row],[код]],BAZZS[Курс],BAZLS[Курс],MAZZS[Курс],MAZLS[Курс]),dbУчДисц[[#This Row],[№]],0))</f>
        <v/>
      </c>
      <c r="N17" s="237" t="str">
        <f ca="1">T(INDEX(CHOOSE(dbУчДисц[[#This Row],[код]],BAZZS[ФормаОб],BAZLS[ФормаОб],MAZZS[ФормаОб],MAZLS[ФормаОб]),dbУчДисц[[#This Row],[№]],0))</f>
        <v/>
      </c>
      <c r="O17" s="1249" cm="1">
        <f t="array" aca="1" ref="O17" ca="1">INDEX(CHOOSE(dbУчДисц[[#This Row],[код]],BAZZS[Студенти],BAZLS[Студенти],MAZZS[Студенти],MAZLS[Студенти]),dbУчДисц[[#This Row],[№]],0)</f>
        <v>0</v>
      </c>
      <c r="P17" s="1250" cm="1">
        <f t="array" aca="1" ref="P17" ca="1">INDEX(CHOOSE(dbУчДисц[[#This Row],[код]],BAZZS[Лекции],BAZLS[Лекции],MAZZS[Лекции],MAZLS[Лекции]),dbУчДисц[[#This Row],[№]],0)</f>
        <v>0</v>
      </c>
      <c r="Q17" s="1250" cm="1">
        <f t="array" aca="1" ref="Q17" ca="1">INDEX(CHOOSE(dbУчДисц[[#This Row],[код]],BAZZS[Упражнения],BAZLS[Упражнения],MAZZS[Упражнения],MAZLS[Упражнения]),dbУчДисц[[#This Row],[№]],0)</f>
        <v>0</v>
      </c>
      <c r="R17" s="880" t="str">
        <f ca="1">T(INDEX(CHOOSE(dbУчДисц[[#This Row],[код]],BAZZS[Език],BAZLS[Език],MAZZS[Език],MAZLS[Език]),dbУчДисц[[#This Row],[№]],0))</f>
        <v>БЕ</v>
      </c>
      <c r="S17" s="237" t="str">
        <f ca="1">T(INDEX(CHOOSE(dbУчДисц[[#This Row],[код]],BAZZS[ФормаОц],BAZLS[ФормаОц],MAZZS[ФормаОц],MAZLS[ФормаОц]),dbУчДисц[[#This Row],[№]],0))</f>
        <v/>
      </c>
      <c r="T17" s="240" t="str">
        <f ca="1">T(INDEX(CHOOSE(dbУчДисц[[#This Row],[код]],BAZZS[Изпитващ],BAZLS[Изпитващ],MAZZS[Изпитващ],MAZLS[Изпитващ]),dbУчДисц[[#This Row],[№]],0))</f>
        <v/>
      </c>
      <c r="U17" s="1250" cm="1">
        <f t="array" aca="1" ref="U17" ca="1">INDEX(CHOOSE(dbУчДисц[[#This Row],[код]],BAZZS[Изпитани],BAZLS[Изпитани],MAZZS[Изпитани],MAZLS[Изпитани]),dbУчДисц[[#This Row],[№]],0)</f>
        <v>0</v>
      </c>
      <c r="V17" s="1268" cm="1">
        <f t="array" aca="1" ref="V17" ca="1">INDEX(CHOOSE(dbУчДисц[[#This Row],[код]],BAZZS[ТО],BAZLS[ТО],MAZZS[ТО],MAZLS[ТО]),dbУчДисц[[#This Row],[№]],0)</f>
        <v>0</v>
      </c>
      <c r="W17" s="1268" cm="1">
        <f t="array" aca="1" ref="W17" ca="1">INDEX(CHOOSE(dbУчДисц[[#This Row],[код]],BAZZS[КР],BAZLS[КР],MAZZS[КР],MAZLS[КР]),dbУчДисц[[#This Row],[№]],0)</f>
        <v>0</v>
      </c>
      <c r="X1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7" s="1270">
        <f ca="1">IF(AND(dbУчДисц[[#This Row],[Изпитани]]&lt;&gt;0,dbУчДисц[[#This Row],[Изпитващ]]=0),1,0)</f>
        <v>0</v>
      </c>
      <c r="AA17" s="1271">
        <f ca="1">IFERROR(VLOOKUP(dbУчДисц[[#This Row],[Език]],Коефициент_Eзик[],2,0),0)</f>
        <v>1</v>
      </c>
      <c r="AB17" s="1272" cm="1">
        <f t="array" aca="1" ref="AB1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7" s="1273">
        <v>0.5</v>
      </c>
      <c r="AE17" s="1274">
        <v>5</v>
      </c>
      <c r="AF17" s="1271">
        <f ca="1">N(dbУчДисц[[#This Row],[Лекции]])*dbУчДисц[[#This Row],[кЕзик]]*dbУчДисц[[#This Row],[кСтуденти]]*кЛекции</f>
        <v>0</v>
      </c>
      <c r="AG17" s="1272">
        <f ca="1">N(dbУчДисц[[#This Row],[Упражнения]])*dbУчДисц[[#This Row],[кЕзик]]*dbУчДисц[[#This Row],[кСтуденти]]*кУпражнение</f>
        <v>0</v>
      </c>
      <c r="AH17" s="1272">
        <f ca="1">N(dbУчДисц[[#This Row],[Изпитани]])*dbУчДисц[[#This Row],[кИзпитващ]]</f>
        <v>0</v>
      </c>
      <c r="AI17" s="1273">
        <f ca="1">dbУчДисц[[#This Row],[ТО]]*dbУчДисц[[#This Row],[кTO]]</f>
        <v>0</v>
      </c>
      <c r="AJ17" s="1266">
        <f ca="1">dbУчДисц[[#This Row],[КР]]*dbУчДисц[[#This Row],[кКР]]</f>
        <v>0</v>
      </c>
      <c r="AK17" s="1275">
        <f ca="1">N(INDEX(CHOOSE(dbУчДисц[[#This Row],[код]],BAZZS[id_РД],BAZLS[id_РД],MAZZS[id_РД],MAZLS[id_РД]),dbУчДисц[[#This Row],[№]],0))</f>
        <v>0</v>
      </c>
      <c r="AL1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1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7" s="1383" t="str">
        <f ca="1">T(INDEX(CHOOSE(dbУчДисц[[#This Row],[код]],BAZZS[Факултет1],BAZLS[Факултет1],MAZZS[Факултет1],MAZLS[Факултет1]),dbУчДисц[[#This Row],[№]],0))</f>
        <v/>
      </c>
      <c r="AO1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7" s="931" t="s">
        <v>681</v>
      </c>
      <c r="AT17" s="955" t="s">
        <v>406</v>
      </c>
      <c r="AU17" s="950">
        <v>1</v>
      </c>
      <c r="AV17" s="981">
        <f ca="1">IF(dbУчПрактикиКР[[#This Row],[Семестър]]=OFFSET(dbУчПрактикиКР[[#This Row],[Семестър]],-1,0),N(OFFSET(dbУчПрактикиКР[[#This Row],[№]],-1,0))+1,1)</f>
        <v>5</v>
      </c>
      <c r="AW17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7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7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7" s="943" t="str">
        <f ca="1">T(INDEX(CHOOSE(dbУчПрактикиКР[[#This Row],[код]],BPZS[Вид],BPLS[Вид],MPZS[Вид],MPLS[Вид]),dbУчПрактикиКР[[#This Row],[№]],0))</f>
        <v/>
      </c>
      <c r="BA17" s="944" t="str">
        <f ca="1">T(INDEX(CHOOSE(dbУчПрактикиКР[[#This Row],[код]],BPZS[Курс],BPLS[Курс],MPZS[Курс],MPLS[Курс]),dbУчПрактикиКР[[#This Row],[№]],0))</f>
        <v/>
      </c>
      <c r="BB17" s="1034" t="str">
        <f ca="1">T(INDEX(CHOOSE(dbУчПрактикиКР[[#This Row],[код]],BPZS[ФормаОб],BPLS[ФормаОб],MPZS[ФормаОб],MPLS[ФормаОб]),dbУчПрактикиКР[[#This Row],[№]],0))</f>
        <v/>
      </c>
      <c r="BC17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17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7" s="1302">
        <f ca="1">N(INDEX(CHOOSE(dbУчПрактикиКР[[#This Row],[код]],BPZS[Група],BPLS[Група],MPZS[Група],MPLS[Група]),dbУчПрактикиКР[[#This Row],[№]],0))</f>
        <v>0</v>
      </c>
      <c r="BF17" s="1303">
        <f ca="1">N(INDEX(CHOOSE(dbУчПрактикиКР[[#This Row],[код]],BPZS[Ден],BPLS[Ден],MPZS[Ден],MPLS[Ден]),dbУчПрактикиКР[[#This Row],[№]],0))</f>
        <v>0</v>
      </c>
      <c r="BG17" s="1036" t="str">
        <f ca="1">T(INDEX(CHOOSE(dbУчПрактикиКР[[#This Row],[код]],BPZS[ФормаОц],BPLS[ФормаОц],MPZS[ФормаОц],MPLS[ФормаОц]),dbУчПрактикиКР[[#This Row],[№]],0))</f>
        <v/>
      </c>
      <c r="BH17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17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17" s="1316">
        <f ca="1">N(INDEX(CHOOSE(dbУчПрактикиКР[[#This Row],[код]],BPZS[ТО],BPLS[ТО],MPZS[ТО],MPLS[ТО]),dbУчПрактикиКР[[#This Row],[№]],0))</f>
        <v>0</v>
      </c>
      <c r="BK17" s="1317">
        <f ca="1">N(INDEX(CHOOSE(dbУчПрактикиКР[[#This Row],[код]],BPZS[КР],BPLS[КР],MPZS[КР],MPLS[КР]),dbУчПрактикиКР[[#This Row],[№]],0))</f>
        <v>0</v>
      </c>
      <c r="BL17" s="1318">
        <f ca="1">IFERROR(MATCH(dbУчПрактикиКР[[#This Row],[ВидПрактика]],T_Практики[Практика и курсова работа],0),0)</f>
        <v>0</v>
      </c>
      <c r="BM17" s="1340" t="str">
        <f ca="1">IF(dbУчПрактикиКР[[#This Row],[пВидПрактика]],INDEX(T_Практики[Студенти],dbУчПрактикиКР[[#This Row],[пВидПрактика]]),"-")</f>
        <v>-</v>
      </c>
      <c r="BN17" s="1340" t="str">
        <f ca="1">IF(dbУчПрактикиКР[[#This Row],[пВидПрактика]],INDEX(T_Практики[Група],dbУчПрактикиКР[[#This Row],[пВидПрактика]])*2,"-")</f>
        <v>-</v>
      </c>
      <c r="BO17" s="1341" t="str">
        <f ca="1">IF(dbУчПрактикиКР[[#This Row],[пВидПрактика]],INDEX(T_Практики[Ден],dbУчПрактикиКР[[#This Row],[пВидПрактика]])*4,"-")</f>
        <v>-</v>
      </c>
      <c r="BP17" s="1335">
        <f ca="1">IFERROR(AND(dbУчПрактикиКР[[#This Row],[ТО]]&lt;&gt;0,dbУчПрактикиКР[[#This Row],[ФормаОб]]=0)*1,0)</f>
        <v>0</v>
      </c>
      <c r="BQ17" s="1335">
        <f ca="1">IFERROR(AND(dbУчПрактикиКР[[#This Row],[Изпитани]]&lt;&gt;0,LEN(dbУчПрактикиКР[[#This Row],[Изпитващ]])=0)*1,0)</f>
        <v>0</v>
      </c>
      <c r="BR17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7" s="1335">
        <f ca="1">IFERROR(IF(dbУчПрактикиКР[[#This Row],[ФормаОб]]=list!$A$55,Coef!$B$10,Coef!$B$9),0)</f>
        <v>0.5</v>
      </c>
      <c r="BT17" s="1343">
        <v>5</v>
      </c>
      <c r="BU17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7" s="1340">
        <f ca="1">dbУчПрактикиКР[[#This Row],[кИзпитващ]]*N(dbУчПрактикиКР[[#This Row],[Изпитани]])</f>
        <v>0</v>
      </c>
      <c r="BW17" s="1344">
        <f ca="1">N(dbУчПрактикиКР[[#This Row],[ТО]])*N(dbУчПрактикиКР[[#This Row],[кTO]])</f>
        <v>0</v>
      </c>
      <c r="BX17" s="1343">
        <f ca="1">N(dbУчПрактикиКР[[#This Row],[КР]])*dbУчПрактикиКР[[#This Row],[кКР]]</f>
        <v>0</v>
      </c>
      <c r="BY17" s="1335">
        <f ca="1">N(INDEX(CHOOSE(dbУчПрактикиКР[[#This Row],[код]],BPZS[id_РД],BPLS[id_РД],MPZS[id_РД],MPLS[id_РД]),dbУчПрактикиКР[[#This Row],[№]],0))</f>
        <v>0</v>
      </c>
      <c r="BZ17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7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7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7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7" s="1356" t="s">
        <v>681</v>
      </c>
      <c r="CH17" s="1357" t="s">
        <v>406</v>
      </c>
      <c r="CI17" s="1354">
        <v>1</v>
      </c>
      <c r="CJ17" s="1355">
        <f ca="1">IF(dbДипломиране[[#This Row],[Семестър]]=OFFSET(dbДипломиране[[#This Row],[Семестър]],-1,0),N(OFFSET(dbДипломиране[[#This Row],[№]],-1,0))+1,1)</f>
        <v>5</v>
      </c>
      <c r="CK17" s="839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7" s="24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7" s="1360">
        <f ca="1">N(INDEX(CHOOSE(dbДипломиране[[#This Row],[код]],BDiplomiraneZS[ДР],BDiplomiraneLS[ФормаОб],MDiplomiraneZS[ДР],MDiplomiraneLS[ДР]),dbДипломиране[[#This Row],[№]],0))</f>
        <v>0</v>
      </c>
      <c r="CN17" s="1250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7" s="1249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7" s="1359">
        <f ca="1">dbДипломиране[[#This Row],[ДР]]*30</f>
        <v>0</v>
      </c>
      <c r="CQ17" s="1359">
        <f ca="1">dbДипломиране[[#This Row],[Рецензии]]*5</f>
        <v>0</v>
      </c>
      <c r="CR17" s="1359">
        <f ca="1">dbДипломиране[[#This Row],[И/ДИ/З]]*0.8</f>
        <v>0</v>
      </c>
      <c r="CV17" s="559"/>
      <c r="CW17" s="610"/>
      <c r="CX17" s="559"/>
      <c r="CY17" s="560"/>
      <c r="CZ17" s="559"/>
      <c r="DA17" s="561"/>
      <c r="DB17" s="562"/>
      <c r="DC17" s="563"/>
      <c r="DD17" s="564" t="s">
        <v>84</v>
      </c>
      <c r="DE17" s="570"/>
      <c r="DF17" s="571"/>
      <c r="DG17" s="563"/>
      <c r="DH17" s="627">
        <f>Подготовка_курс72[[#This Row],[пПразни]]*(LEN(Подготовка_курс72[[#This Row],[Дейност]])=0)</f>
        <v>0</v>
      </c>
      <c r="DI17" s="627">
        <f>Подготовка_курс72[[#This Row],[пПразни]]*(LEN(Подготовка_курс72[[#This Row],[Екип]])=0)</f>
        <v>0</v>
      </c>
      <c r="DJ17" s="627">
        <f>Подготовка_курс72[[#This Row],[пПразни]]*(LEN(Подготовка_курс72[[#This Row],[ОКС]])=0)</f>
        <v>0</v>
      </c>
      <c r="DK17" s="627">
        <f>Подготовка_курс72[[#This Row],[пПразни]]*(LEN(Подготовка_курс72[[#This Row],[ФормаОб]])=0)</f>
        <v>0</v>
      </c>
      <c r="DL17" s="627">
        <f>Подготовка_курс72[[#This Row],[пПразни]]*(LEN(Подготовка_курс72[[#This Row],[Семестър]])=0)</f>
        <v>0</v>
      </c>
      <c r="DM17" s="627">
        <f>Подготовка_курс72[[#This Row],[пПразни]]*(SUM(Подготовка_курс72[[#This Row],[Лекции]:[Упражнения]])=0)</f>
        <v>0</v>
      </c>
      <c r="DN17" s="627">
        <f>((12-COUNTBLANK(Подготовка_курс72[[#This Row],[Дейност]:[Семестър]]))&gt;1)*1</f>
        <v>0</v>
      </c>
      <c r="DO17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7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7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7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  <c r="DV17" s="586"/>
      <c r="DW17" s="586"/>
      <c r="DX17" s="586"/>
      <c r="DY17" s="564" t="s">
        <v>84</v>
      </c>
      <c r="DZ17" s="265"/>
      <c r="EA17" s="243"/>
      <c r="EB17" s="243"/>
      <c r="EC17" s="244"/>
      <c r="ED17" s="704"/>
      <c r="EE17" s="640">
        <f>((9-COUNTBLANK(DrAZ71[[#This Row],[Докторански курс]:[Семестър]]))&gt;1)*1</f>
        <v>0</v>
      </c>
      <c r="EF17" s="641">
        <f>DrAZ71[[#This Row],[пПразни]]*(3-COUNTBLANK(DrAZ71[[#This Row],[Докторански курс]:[Професионално направление]])&lt;=3)</f>
        <v>0</v>
      </c>
      <c r="EG17" s="641">
        <f>DrAZ71[[#This Row],[пПразни]]*(N(DrAZ71[[#This Row],[Докторанти]])=0)</f>
        <v>0</v>
      </c>
      <c r="EH17" s="641">
        <f>DrAZ71[[#This Row],[пПразни]]*(SUM(DrAZ71[[#This Row],[Лекции]:[Упражнения]])=0)</f>
        <v>0</v>
      </c>
      <c r="EI17" s="641">
        <f>DrAZ71[[#This Row],[пПразни]]*(N(DrAZ71[[#This Row],[Изпитани]])=0)</f>
        <v>0</v>
      </c>
      <c r="EJ17" s="642">
        <f>DrAZ71[[#This Row],[пПразни]]*(LEN(DrAZ71[[#This Row],[Семестър]])=0)</f>
        <v>0</v>
      </c>
      <c r="EK17" s="637" t="str">
        <f>IF(DrAZ71[[#This Row],[пПразни]],DrAZ71[[#This Row],[Семестър]]&amp;"|"&amp;DrAZ71[[#This Row],[Език]],"")</f>
        <v/>
      </c>
      <c r="EL17" s="638">
        <f>IF(DrAZ71[[#This Row],[Докторанти]]&gt;=3,1,IFERROR(VLOOKUP(DrAZ71[[#This Row],[Докторанти]],RedukciaDr[],2,0),0))</f>
        <v>0</v>
      </c>
      <c r="EM17" s="639">
        <f>IF(DrAZ71[[#This Row],[Език]]="чужд",1.5,1)</f>
        <v>1</v>
      </c>
      <c r="EN17" s="640">
        <f>DrAZ71[[#This Row],[Лекции]]*DrAZ71[[#This Row],[кРедукция]]*DrAZ71[[#This Row],[кЕзик]]*кЛекции</f>
        <v>0</v>
      </c>
      <c r="EO17" s="641">
        <f>DrAZ71[[#This Row],[Упражнения]]*DrAZ71[[#This Row],[кРедукция]]*DrAZ71[[#This Row],[кЕзик]]*кУпражнение</f>
        <v>0</v>
      </c>
      <c r="EP17" s="642">
        <f>DrAZ71[[#This Row],[Изпитани]]*кИзпитаниДок</f>
        <v>0</v>
      </c>
    </row>
    <row r="18" spans="5:146" ht="17.25" thickBot="1" x14ac:dyDescent="0.35">
      <c r="E18" s="915" t="s">
        <v>681</v>
      </c>
      <c r="F18" s="916" t="s">
        <v>406</v>
      </c>
      <c r="G18" s="846">
        <v>1</v>
      </c>
      <c r="H18" s="860">
        <f ca="1">IF(dbУчДисц[[#This Row],[Семестър]]=OFFSET(dbУчДисц[[#This Row],[Семестър]],-1,0),N(OFFSET(dbУчДисц[[#This Row],[№]],-1,0))+1,1)</f>
        <v>6</v>
      </c>
      <c r="I18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18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8" s="877" t="str">
        <f ca="1">T(INDEX(CHOOSE(dbУчДисц[[#This Row],[код]],BAZZS[Факултет],BAZLS[Факултет],MAZZS[Факултет],MAZLS[Факултет]),dbУчДисц[[#This Row],[№]],0))</f>
        <v/>
      </c>
      <c r="L18" s="881" t="str">
        <f ca="1">T(INDEX(CHOOSE(dbУчДисц[[#This Row],[код]],BAZZS[Вид],BAZLS[Вид],MAZZS[Вид],MAZLS[Вид]),dbУчДисц[[#This Row],[№]],0))</f>
        <v/>
      </c>
      <c r="M18" s="879" t="str">
        <f ca="1">T(INDEX(CHOOSE(dbУчДисц[[#This Row],[код]],BAZZS[Курс],BAZLS[Курс],MAZZS[Курс],MAZLS[Курс]),dbУчДисц[[#This Row],[№]],0))</f>
        <v/>
      </c>
      <c r="N18" s="882" t="str">
        <f ca="1">T(INDEX(CHOOSE(dbУчДисц[[#This Row],[код]],BAZZS[ФормаОб],BAZLS[ФормаОб],MAZZS[ФормаОб],MAZLS[ФормаОб]),dbУчДисц[[#This Row],[№]],0))</f>
        <v/>
      </c>
      <c r="O18" s="1249" cm="1">
        <f t="array" aca="1" ref="O18" ca="1">INDEX(CHOOSE(dbУчДисц[[#This Row],[код]],BAZZS[Студенти],BAZLS[Студенти],MAZZS[Студенти],MAZLS[Студенти]),dbУчДисц[[#This Row],[№]],0)</f>
        <v>0</v>
      </c>
      <c r="P18" s="1250" cm="1">
        <f t="array" aca="1" ref="P18" ca="1">INDEX(CHOOSE(dbУчДисц[[#This Row],[код]],BAZZS[Лекции],BAZLS[Лекции],MAZZS[Лекции],MAZLS[Лекции]),dbУчДисц[[#This Row],[№]],0)</f>
        <v>0</v>
      </c>
      <c r="Q18" s="1250" cm="1">
        <f t="array" aca="1" ref="Q18" ca="1">INDEX(CHOOSE(dbУчДисц[[#This Row],[код]],BAZZS[Упражнения],BAZLS[Упражнения],MAZZS[Упражнения],MAZLS[Упражнения]),dbУчДисц[[#This Row],[№]],0)</f>
        <v>0</v>
      </c>
      <c r="R18" s="880" t="str">
        <f ca="1">T(INDEX(CHOOSE(dbУчДисц[[#This Row],[код]],BAZZS[Език],BAZLS[Език],MAZZS[Език],MAZLS[Език]),dbУчДисц[[#This Row],[№]],0))</f>
        <v>БЕ</v>
      </c>
      <c r="S18" s="237" t="str">
        <f ca="1">T(INDEX(CHOOSE(dbУчДисц[[#This Row],[код]],BAZZS[ФормаОц],BAZLS[ФормаОц],MAZZS[ФормаОц],MAZLS[ФормаОц]),dbУчДисц[[#This Row],[№]],0))</f>
        <v/>
      </c>
      <c r="T18" s="244" t="str">
        <f ca="1">T(INDEX(CHOOSE(dbУчДисц[[#This Row],[код]],BAZZS[Изпитващ],BAZLS[Изпитващ],MAZZS[Изпитващ],MAZLS[Изпитващ]),dbУчДисц[[#This Row],[№]],0))</f>
        <v/>
      </c>
      <c r="U18" s="1250" cm="1">
        <f t="array" aca="1" ref="U18" ca="1">INDEX(CHOOSE(dbУчДисц[[#This Row],[код]],BAZZS[Изпитани],BAZLS[Изпитани],MAZZS[Изпитани],MAZLS[Изпитани]),dbУчДисц[[#This Row],[№]],0)</f>
        <v>0</v>
      </c>
      <c r="V18" s="1268" cm="1">
        <f t="array" aca="1" ref="V18" ca="1">INDEX(CHOOSE(dbУчДисц[[#This Row],[код]],BAZZS[ТО],BAZLS[ТО],MAZZS[ТО],MAZLS[ТО]),dbУчДисц[[#This Row],[№]],0)</f>
        <v>0</v>
      </c>
      <c r="W18" s="1268" cm="1">
        <f t="array" aca="1" ref="W18" ca="1">INDEX(CHOOSE(dbУчДисц[[#This Row],[код]],BAZZS[КР],BAZLS[КР],MAZZS[КР],MAZLS[КР]),dbУчДисц[[#This Row],[№]],0)</f>
        <v>0</v>
      </c>
      <c r="X1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8" s="1270">
        <f ca="1">IF(AND(dbУчДисц[[#This Row],[Изпитани]]&lt;&gt;0,dbУчДисц[[#This Row],[Изпитващ]]=0),1,0)</f>
        <v>0</v>
      </c>
      <c r="AA18" s="1271">
        <f ca="1">IFERROR(VLOOKUP(dbУчДисц[[#This Row],[Език]],Коефициент_Eзик[],2,0),0)</f>
        <v>1</v>
      </c>
      <c r="AB18" s="1272" cm="1">
        <f t="array" aca="1" ref="AB1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8" s="1273">
        <v>0.5</v>
      </c>
      <c r="AE18" s="1274">
        <v>5</v>
      </c>
      <c r="AF18" s="1271">
        <f ca="1">N(dbУчДисц[[#This Row],[Лекции]])*dbУчДисц[[#This Row],[кЕзик]]*dbУчДисц[[#This Row],[кСтуденти]]*кЛекции</f>
        <v>0</v>
      </c>
      <c r="AG18" s="1272">
        <f ca="1">N(dbУчДисц[[#This Row],[Упражнения]])*dbУчДисц[[#This Row],[кЕзик]]*dbУчДисц[[#This Row],[кСтуденти]]*кУпражнение</f>
        <v>0</v>
      </c>
      <c r="AH18" s="1272">
        <f ca="1">N(dbУчДисц[[#This Row],[Изпитани]])*dbУчДисц[[#This Row],[кИзпитващ]]</f>
        <v>0</v>
      </c>
      <c r="AI18" s="1273">
        <f ca="1">dbУчДисц[[#This Row],[ТО]]*dbУчДисц[[#This Row],[кTO]]</f>
        <v>0</v>
      </c>
      <c r="AJ18" s="1266">
        <f ca="1">dbУчДисц[[#This Row],[КР]]*dbУчДисц[[#This Row],[кКР]]</f>
        <v>0</v>
      </c>
      <c r="AK18" s="1275">
        <f ca="1">N(INDEX(CHOOSE(dbУчДисц[[#This Row],[код]],BAZZS[id_РД],BAZLS[id_РД],MAZZS[id_РД],MAZLS[id_РД]),dbУчДисц[[#This Row],[№]],0))</f>
        <v>0</v>
      </c>
      <c r="AL1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1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8" s="1383" t="str">
        <f ca="1">T(INDEX(CHOOSE(dbУчДисц[[#This Row],[код]],BAZZS[Факултет1],BAZLS[Факултет1],MAZZS[Факултет1],MAZLS[Факултет1]),dbУчДисц[[#This Row],[№]],0))</f>
        <v/>
      </c>
      <c r="AO1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8" s="931" t="s">
        <v>681</v>
      </c>
      <c r="AT18" s="955" t="s">
        <v>406</v>
      </c>
      <c r="AU18" s="950">
        <v>1</v>
      </c>
      <c r="AV18" s="981">
        <f ca="1">IF(dbУчПрактикиКР[[#This Row],[Семестър]]=OFFSET(dbУчПрактикиКР[[#This Row],[Семестър]],-1,0),N(OFFSET(dbУчПрактикиКР[[#This Row],[№]],-1,0))+1,1)</f>
        <v>6</v>
      </c>
      <c r="AW18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8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8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8" s="943" t="str">
        <f ca="1">T(INDEX(CHOOSE(dbУчПрактикиКР[[#This Row],[код]],BPZS[Вид],BPLS[Вид],MPZS[Вид],MPLS[Вид]),dbУчПрактикиКР[[#This Row],[№]],0))</f>
        <v/>
      </c>
      <c r="BA18" s="944" t="str">
        <f ca="1">T(INDEX(CHOOSE(dbУчПрактикиКР[[#This Row],[код]],BPZS[Курс],BPLS[Курс],MPZS[Курс],MPLS[Курс]),dbУчПрактикиКР[[#This Row],[№]],0))</f>
        <v/>
      </c>
      <c r="BB18" s="1034" t="str">
        <f ca="1">T(INDEX(CHOOSE(dbУчПрактикиКР[[#This Row],[код]],BPZS[ФормаОб],BPLS[ФормаОб],MPZS[ФормаОб],MPLS[ФормаОб]),dbУчПрактикиКР[[#This Row],[№]],0))</f>
        <v/>
      </c>
      <c r="BC18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18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8" s="1302">
        <f ca="1">N(INDEX(CHOOSE(dbУчПрактикиКР[[#This Row],[код]],BPZS[Група],BPLS[Група],MPZS[Група],MPLS[Група]),dbУчПрактикиКР[[#This Row],[№]],0))</f>
        <v>0</v>
      </c>
      <c r="BF18" s="1303">
        <f ca="1">N(INDEX(CHOOSE(dbУчПрактикиКР[[#This Row],[код]],BPZS[Ден],BPLS[Ден],MPZS[Ден],MPLS[Ден]),dbУчПрактикиКР[[#This Row],[№]],0))</f>
        <v>0</v>
      </c>
      <c r="BG18" s="1036" t="str">
        <f ca="1">T(INDEX(CHOOSE(dbУчПрактикиКР[[#This Row],[код]],BPZS[ФормаОц],BPLS[ФормаОц],MPZS[ФормаОц],MPLS[ФормаОц]),dbУчПрактикиКР[[#This Row],[№]],0))</f>
        <v/>
      </c>
      <c r="BH18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18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18" s="1316">
        <f ca="1">N(INDEX(CHOOSE(dbУчПрактикиКР[[#This Row],[код]],BPZS[ТО],BPLS[ТО],MPZS[ТО],MPLS[ТО]),dbУчПрактикиКР[[#This Row],[№]],0))</f>
        <v>0</v>
      </c>
      <c r="BK18" s="1317">
        <f ca="1">N(INDEX(CHOOSE(dbУчПрактикиКР[[#This Row],[код]],BPZS[КР],BPLS[КР],MPZS[КР],MPLS[КР]),dbУчПрактикиКР[[#This Row],[№]],0))</f>
        <v>0</v>
      </c>
      <c r="BL18" s="1318">
        <f ca="1">IFERROR(MATCH(dbУчПрактикиКР[[#This Row],[ВидПрактика]],T_Практики[Практика и курсова работа],0),0)</f>
        <v>0</v>
      </c>
      <c r="BM18" s="1340" t="str">
        <f ca="1">IF(dbУчПрактикиКР[[#This Row],[пВидПрактика]],INDEX(T_Практики[Студенти],dbУчПрактикиКР[[#This Row],[пВидПрактика]]),"-")</f>
        <v>-</v>
      </c>
      <c r="BN18" s="1340" t="str">
        <f ca="1">IF(dbУчПрактикиКР[[#This Row],[пВидПрактика]],INDEX(T_Практики[Група],dbУчПрактикиКР[[#This Row],[пВидПрактика]])*2,"-")</f>
        <v>-</v>
      </c>
      <c r="BO18" s="1341" t="str">
        <f ca="1">IF(dbУчПрактикиКР[[#This Row],[пВидПрактика]],INDEX(T_Практики[Ден],dbУчПрактикиКР[[#This Row],[пВидПрактика]])*4,"-")</f>
        <v>-</v>
      </c>
      <c r="BP18" s="1335">
        <f ca="1">IFERROR(AND(dbУчПрактикиКР[[#This Row],[ТО]]&lt;&gt;0,dbУчПрактикиКР[[#This Row],[ФормаОб]]=0)*1,0)</f>
        <v>0</v>
      </c>
      <c r="BQ18" s="1335">
        <f ca="1">IFERROR(AND(dbУчПрактикиКР[[#This Row],[Изпитани]]&lt;&gt;0,LEN(dbУчПрактикиКР[[#This Row],[Изпитващ]])=0)*1,0)</f>
        <v>0</v>
      </c>
      <c r="BR18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8" s="1335">
        <f ca="1">IFERROR(IF(dbУчПрактикиКР[[#This Row],[ФормаОб]]=list!$A$55,Coef!$B$10,Coef!$B$9),0)</f>
        <v>0.5</v>
      </c>
      <c r="BT18" s="1343">
        <v>5</v>
      </c>
      <c r="BU18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8" s="1340">
        <f ca="1">dbУчПрактикиКР[[#This Row],[кИзпитващ]]*N(dbУчПрактикиКР[[#This Row],[Изпитани]])</f>
        <v>0</v>
      </c>
      <c r="BW18" s="1344">
        <f ca="1">N(dbУчПрактикиКР[[#This Row],[ТО]])*N(dbУчПрактикиКР[[#This Row],[кTO]])</f>
        <v>0</v>
      </c>
      <c r="BX18" s="1343">
        <f ca="1">N(dbУчПрактикиКР[[#This Row],[КР]])*dbУчПрактикиКР[[#This Row],[кКР]]</f>
        <v>0</v>
      </c>
      <c r="BY18" s="1335">
        <f ca="1">N(INDEX(CHOOSE(dbУчПрактикиКР[[#This Row],[код]],BPZS[id_РД],BPLS[id_РД],MPZS[id_РД],MPLS[id_РД]),dbУчПрактикиКР[[#This Row],[№]],0))</f>
        <v>0</v>
      </c>
      <c r="BZ18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8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8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8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8" s="1356" t="s">
        <v>681</v>
      </c>
      <c r="CH18" s="1357" t="s">
        <v>406</v>
      </c>
      <c r="CI18" s="1354">
        <v>1</v>
      </c>
      <c r="CJ18" s="1355">
        <f ca="1">IF(dbДипломиране[[#This Row],[Семестър]]=OFFSET(dbДипломиране[[#This Row],[Семестър]],-1,0),N(OFFSET(dbДипломиране[[#This Row],[№]],-1,0))+1,1)</f>
        <v>6</v>
      </c>
      <c r="CK18" s="839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8" s="24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8" s="1360">
        <f ca="1">N(INDEX(CHOOSE(dbДипломиране[[#This Row],[код]],BDiplomiraneZS[ДР],BDiplomiraneLS[ФормаОб],MDiplomiraneZS[ДР],MDiplomiraneLS[ДР]),dbДипломиране[[#This Row],[№]],0))</f>
        <v>0</v>
      </c>
      <c r="CN18" s="1250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8" s="1249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8" s="1359">
        <f ca="1">dbДипломиране[[#This Row],[ДР]]*30</f>
        <v>0</v>
      </c>
      <c r="CQ18" s="1359">
        <f ca="1">dbДипломиране[[#This Row],[Рецензии]]*5</f>
        <v>0</v>
      </c>
      <c r="CR18" s="1359">
        <f ca="1">dbДипломиране[[#This Row],[И/ДИ/З]]*0.8</f>
        <v>0</v>
      </c>
      <c r="CV18" s="559"/>
      <c r="CW18" s="610"/>
      <c r="CX18" s="559"/>
      <c r="CY18" s="560"/>
      <c r="CZ18" s="559"/>
      <c r="DA18" s="561"/>
      <c r="DB18" s="562"/>
      <c r="DC18" s="563"/>
      <c r="DD18" s="564" t="s">
        <v>84</v>
      </c>
      <c r="DE18" s="570"/>
      <c r="DF18" s="571"/>
      <c r="DG18" s="563"/>
      <c r="DH18" s="627">
        <f>Подготовка_курс72[[#This Row],[пПразни]]*(LEN(Подготовка_курс72[[#This Row],[Дейност]])=0)</f>
        <v>0</v>
      </c>
      <c r="DI18" s="627">
        <f>Подготовка_курс72[[#This Row],[пПразни]]*(LEN(Подготовка_курс72[[#This Row],[Екип]])=0)</f>
        <v>0</v>
      </c>
      <c r="DJ18" s="627">
        <f>Подготовка_курс72[[#This Row],[пПразни]]*(LEN(Подготовка_курс72[[#This Row],[ОКС]])=0)</f>
        <v>0</v>
      </c>
      <c r="DK18" s="627">
        <f>Подготовка_курс72[[#This Row],[пПразни]]*(LEN(Подготовка_курс72[[#This Row],[ФормаОб]])=0)</f>
        <v>0</v>
      </c>
      <c r="DL18" s="627">
        <f>Подготовка_курс72[[#This Row],[пПразни]]*(LEN(Подготовка_курс72[[#This Row],[Семестър]])=0)</f>
        <v>0</v>
      </c>
      <c r="DM18" s="627">
        <f>Подготовка_курс72[[#This Row],[пПразни]]*(SUM(Подготовка_курс72[[#This Row],[Лекции]:[Упражнения]])=0)</f>
        <v>0</v>
      </c>
      <c r="DN18" s="627">
        <f>((12-COUNTBLANK(Подготовка_курс72[[#This Row],[Дейност]:[Семестър]]))&gt;1)*1</f>
        <v>0</v>
      </c>
      <c r="DO18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8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8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8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  <c r="DV18" s="586"/>
      <c r="DW18" s="586"/>
      <c r="DX18" s="586"/>
      <c r="DY18" s="569" t="s">
        <v>84</v>
      </c>
      <c r="DZ18" s="266"/>
      <c r="EA18" s="267"/>
      <c r="EB18" s="267"/>
      <c r="EC18" s="268"/>
      <c r="ED18" s="705"/>
      <c r="EE18" s="643">
        <f>((9-COUNTBLANK(DrAZ71[[#This Row],[Докторански курс]:[Семестър]]))&gt;1)*1</f>
        <v>0</v>
      </c>
      <c r="EF18" s="644">
        <f>DrAZ71[[#This Row],[пПразни]]*(3-COUNTBLANK(DrAZ71[[#This Row],[Докторански курс]:[Професионално направление]])&lt;=3)</f>
        <v>0</v>
      </c>
      <c r="EG18" s="644">
        <f>DrAZ71[[#This Row],[пПразни]]*(N(DrAZ71[[#This Row],[Докторанти]])=0)</f>
        <v>0</v>
      </c>
      <c r="EH18" s="644">
        <f>DrAZ71[[#This Row],[пПразни]]*(SUM(DrAZ71[[#This Row],[Лекции]:[Упражнения]])=0)</f>
        <v>0</v>
      </c>
      <c r="EI18" s="644">
        <f>DrAZ71[[#This Row],[пПразни]]*(N(DrAZ71[[#This Row],[Изпитани]])=0)</f>
        <v>0</v>
      </c>
      <c r="EJ18" s="645">
        <f>DrAZ71[[#This Row],[пПразни]]*(LEN(DrAZ71[[#This Row],[Семестър]])=0)</f>
        <v>0</v>
      </c>
      <c r="EK18" s="646" t="str">
        <f>IF(DrAZ71[[#This Row],[пПразни]],DrAZ71[[#This Row],[Семестър]]&amp;"|"&amp;DrAZ71[[#This Row],[Език]],"")</f>
        <v/>
      </c>
      <c r="EL18" s="647">
        <f>IF(DrAZ71[[#This Row],[Докторанти]]&gt;=3,1,IFERROR(VLOOKUP(DrAZ71[[#This Row],[Докторанти]],RedukciaDr[],2,0),0))</f>
        <v>0</v>
      </c>
      <c r="EM18" s="648">
        <f>IF(DrAZ71[[#This Row],[Език]]="чужд",1.5,1)</f>
        <v>1</v>
      </c>
      <c r="EN18" s="643">
        <f>DrAZ71[[#This Row],[Лекции]]*DrAZ71[[#This Row],[кРедукция]]*DrAZ71[[#This Row],[кЕзик]]*кЛекции</f>
        <v>0</v>
      </c>
      <c r="EO18" s="644">
        <f>DrAZ71[[#This Row],[Упражнения]]*DrAZ71[[#This Row],[кРедукция]]*DrAZ71[[#This Row],[кЕзик]]*кУпражнение</f>
        <v>0</v>
      </c>
      <c r="EP18" s="645">
        <f>DrAZ71[[#This Row],[Изпитани]]*кИзпитаниДок</f>
        <v>0</v>
      </c>
    </row>
    <row r="19" spans="5:146" ht="16.5" x14ac:dyDescent="0.3">
      <c r="E19" s="915" t="s">
        <v>681</v>
      </c>
      <c r="F19" s="916" t="s">
        <v>406</v>
      </c>
      <c r="G19" s="846">
        <v>1</v>
      </c>
      <c r="H19" s="860">
        <f ca="1">IF(dbУчДисц[[#This Row],[Семестър]]=OFFSET(dbУчДисц[[#This Row],[Семестър]],-1,0),N(OFFSET(dbУчДисц[[#This Row],[№]],-1,0))+1,1)</f>
        <v>7</v>
      </c>
      <c r="I19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19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19" s="877" t="str">
        <f ca="1">T(INDEX(CHOOSE(dbУчДисц[[#This Row],[код]],BAZZS[Факултет],BAZLS[Факултет],MAZZS[Факултет],MAZLS[Факултет]),dbУчДисц[[#This Row],[№]],0))</f>
        <v/>
      </c>
      <c r="L19" s="881" t="str">
        <f ca="1">T(INDEX(CHOOSE(dbУчДисц[[#This Row],[код]],BAZZS[Вид],BAZLS[Вид],MAZZS[Вид],MAZLS[Вид]),dbУчДисц[[#This Row],[№]],0))</f>
        <v/>
      </c>
      <c r="M19" s="879" t="str">
        <f ca="1">T(INDEX(CHOOSE(dbУчДисц[[#This Row],[код]],BAZZS[Курс],BAZLS[Курс],MAZZS[Курс],MAZLS[Курс]),dbУчДисц[[#This Row],[№]],0))</f>
        <v/>
      </c>
      <c r="N19" s="882" t="str">
        <f ca="1">T(INDEX(CHOOSE(dbУчДисц[[#This Row],[код]],BAZZS[ФормаОб],BAZLS[ФормаОб],MAZZS[ФормаОб],MAZLS[ФормаОб]),dbУчДисц[[#This Row],[№]],0))</f>
        <v/>
      </c>
      <c r="O19" s="1249" cm="1">
        <f t="array" aca="1" ref="O19" ca="1">INDEX(CHOOSE(dbУчДисц[[#This Row],[код]],BAZZS[Студенти],BAZLS[Студенти],MAZZS[Студенти],MAZLS[Студенти]),dbУчДисц[[#This Row],[№]],0)</f>
        <v>0</v>
      </c>
      <c r="P19" s="1250" cm="1">
        <f t="array" aca="1" ref="P19" ca="1">INDEX(CHOOSE(dbУчДисц[[#This Row],[код]],BAZZS[Лекции],BAZLS[Лекции],MAZZS[Лекции],MAZLS[Лекции]),dbУчДисц[[#This Row],[№]],0)</f>
        <v>0</v>
      </c>
      <c r="Q19" s="1250" cm="1">
        <f t="array" aca="1" ref="Q19" ca="1">INDEX(CHOOSE(dbУчДисц[[#This Row],[код]],BAZZS[Упражнения],BAZLS[Упражнения],MAZZS[Упражнения],MAZLS[Упражнения]),dbУчДисц[[#This Row],[№]],0)</f>
        <v>0</v>
      </c>
      <c r="R19" s="880" t="str">
        <f ca="1">T(INDEX(CHOOSE(dbУчДисц[[#This Row],[код]],BAZZS[Език],BAZLS[Език],MAZZS[Език],MAZLS[Език]),dbУчДисц[[#This Row],[№]],0))</f>
        <v>БЕ</v>
      </c>
      <c r="S19" s="237" t="str">
        <f ca="1">T(INDEX(CHOOSE(dbУчДисц[[#This Row],[код]],BAZZS[ФормаОц],BAZLS[ФормаОц],MAZZS[ФормаОц],MAZLS[ФормаОц]),dbУчДисц[[#This Row],[№]],0))</f>
        <v/>
      </c>
      <c r="T19" s="240" t="str">
        <f ca="1">T(INDEX(CHOOSE(dbУчДисц[[#This Row],[код]],BAZZS[Изпитващ],BAZLS[Изпитващ],MAZZS[Изпитващ],MAZLS[Изпитващ]),dbУчДисц[[#This Row],[№]],0))</f>
        <v/>
      </c>
      <c r="U19" s="1250" cm="1">
        <f t="array" aca="1" ref="U19" ca="1">INDEX(CHOOSE(dbУчДисц[[#This Row],[код]],BAZZS[Изпитани],BAZLS[Изпитани],MAZZS[Изпитани],MAZLS[Изпитани]),dbУчДисц[[#This Row],[№]],0)</f>
        <v>0</v>
      </c>
      <c r="V19" s="1268" cm="1">
        <f t="array" aca="1" ref="V19" ca="1">INDEX(CHOOSE(dbУчДисц[[#This Row],[код]],BAZZS[ТО],BAZLS[ТО],MAZZS[ТО],MAZLS[ТО]),dbУчДисц[[#This Row],[№]],0)</f>
        <v>0</v>
      </c>
      <c r="W19" s="1268" cm="1">
        <f t="array" aca="1" ref="W19" ca="1">INDEX(CHOOSE(dbУчДисц[[#This Row],[код]],BAZZS[КР],BAZLS[КР],MAZZS[КР],MAZLS[КР]),dbУчДисц[[#This Row],[№]],0)</f>
        <v>0</v>
      </c>
      <c r="X19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19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19" s="1270">
        <f ca="1">IF(AND(dbУчДисц[[#This Row],[Изпитани]]&lt;&gt;0,dbУчДисц[[#This Row],[Изпитващ]]=0),1,0)</f>
        <v>0</v>
      </c>
      <c r="AA19" s="1271">
        <f ca="1">IFERROR(VLOOKUP(dbУчДисц[[#This Row],[Език]],Коефициент_Eзик[],2,0),0)</f>
        <v>1</v>
      </c>
      <c r="AB19" s="1272" cm="1">
        <f t="array" aca="1" ref="AB1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19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19" s="1273">
        <v>0.5</v>
      </c>
      <c r="AE19" s="1274">
        <v>5</v>
      </c>
      <c r="AF19" s="1271">
        <f ca="1">N(dbУчДисц[[#This Row],[Лекции]])*dbУчДисц[[#This Row],[кЕзик]]*dbУчДисц[[#This Row],[кСтуденти]]*кЛекции</f>
        <v>0</v>
      </c>
      <c r="AG19" s="1272">
        <f ca="1">N(dbУчДисц[[#This Row],[Упражнения]])*dbУчДисц[[#This Row],[кЕзик]]*dbУчДисц[[#This Row],[кСтуденти]]*кУпражнение</f>
        <v>0</v>
      </c>
      <c r="AH19" s="1272">
        <f ca="1">N(dbУчДисц[[#This Row],[Изпитани]])*dbУчДисц[[#This Row],[кИзпитващ]]</f>
        <v>0</v>
      </c>
      <c r="AI19" s="1273">
        <f ca="1">dbУчДисц[[#This Row],[ТО]]*dbУчДисц[[#This Row],[кTO]]</f>
        <v>0</v>
      </c>
      <c r="AJ19" s="1266">
        <f ca="1">dbУчДисц[[#This Row],[КР]]*dbУчДисц[[#This Row],[кКР]]</f>
        <v>0</v>
      </c>
      <c r="AK19" s="1275">
        <f ca="1">N(INDEX(CHOOSE(dbУчДисц[[#This Row],[код]],BAZZS[id_РД],BAZLS[id_РД],MAZZS[id_РД],MAZLS[id_РД]),dbУчДисц[[#This Row],[№]],0))</f>
        <v>0</v>
      </c>
      <c r="AL19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19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19" s="1383" t="str">
        <f ca="1">T(INDEX(CHOOSE(dbУчДисц[[#This Row],[код]],BAZZS[Факултет1],BAZLS[Факултет1],MAZZS[Факултет1],MAZLS[Факултет1]),dbУчДисц[[#This Row],[№]],0))</f>
        <v/>
      </c>
      <c r="AO19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19" s="931" t="s">
        <v>681</v>
      </c>
      <c r="AT19" s="955" t="s">
        <v>406</v>
      </c>
      <c r="AU19" s="950">
        <v>1</v>
      </c>
      <c r="AV19" s="981">
        <f ca="1">IF(dbУчПрактикиКР[[#This Row],[Семестър]]=OFFSET(dbУчПрактикиКР[[#This Row],[Семестър]],-1,0),N(OFFSET(dbУчПрактикиКР[[#This Row],[№]],-1,0))+1,1)</f>
        <v>7</v>
      </c>
      <c r="AW19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19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19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19" s="943" t="str">
        <f ca="1">T(INDEX(CHOOSE(dbУчПрактикиКР[[#This Row],[код]],BPZS[Вид],BPLS[Вид],MPZS[Вид],MPLS[Вид]),dbУчПрактикиКР[[#This Row],[№]],0))</f>
        <v/>
      </c>
      <c r="BA19" s="944" t="str">
        <f ca="1">T(INDEX(CHOOSE(dbУчПрактикиКР[[#This Row],[код]],BPZS[Курс],BPLS[Курс],MPZS[Курс],MPLS[Курс]),dbУчПрактикиКР[[#This Row],[№]],0))</f>
        <v/>
      </c>
      <c r="BB19" s="1034" t="str">
        <f ca="1">T(INDEX(CHOOSE(dbУчПрактикиКР[[#This Row],[код]],BPZS[ФормаОб],BPLS[ФормаОб],MPZS[ФормаОб],MPLS[ФормаОб]),dbУчПрактикиКР[[#This Row],[№]],0))</f>
        <v/>
      </c>
      <c r="BC19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19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19" s="1302">
        <f ca="1">N(INDEX(CHOOSE(dbУчПрактикиКР[[#This Row],[код]],BPZS[Група],BPLS[Група],MPZS[Група],MPLS[Група]),dbУчПрактикиКР[[#This Row],[№]],0))</f>
        <v>0</v>
      </c>
      <c r="BF19" s="1303">
        <f ca="1">N(INDEX(CHOOSE(dbУчПрактикиКР[[#This Row],[код]],BPZS[Ден],BPLS[Ден],MPZS[Ден],MPLS[Ден]),dbУчПрактикиКР[[#This Row],[№]],0))</f>
        <v>0</v>
      </c>
      <c r="BG19" s="1036" t="str">
        <f ca="1">T(INDEX(CHOOSE(dbУчПрактикиКР[[#This Row],[код]],BPZS[ФормаОц],BPLS[ФормаОц],MPZS[ФормаОц],MPLS[ФормаОц]),dbУчПрактикиКР[[#This Row],[№]],0))</f>
        <v/>
      </c>
      <c r="BH19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19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19" s="1316">
        <f ca="1">N(INDEX(CHOOSE(dbУчПрактикиКР[[#This Row],[код]],BPZS[ТО],BPLS[ТО],MPZS[ТО],MPLS[ТО]),dbУчПрактикиКР[[#This Row],[№]],0))</f>
        <v>0</v>
      </c>
      <c r="BK19" s="1317">
        <f ca="1">N(INDEX(CHOOSE(dbУчПрактикиКР[[#This Row],[код]],BPZS[КР],BPLS[КР],MPZS[КР],MPLS[КР]),dbУчПрактикиКР[[#This Row],[№]],0))</f>
        <v>0</v>
      </c>
      <c r="BL19" s="1318">
        <f ca="1">IFERROR(MATCH(dbУчПрактикиКР[[#This Row],[ВидПрактика]],T_Практики[Практика и курсова работа],0),0)</f>
        <v>0</v>
      </c>
      <c r="BM19" s="1340" t="str">
        <f ca="1">IF(dbУчПрактикиКР[[#This Row],[пВидПрактика]],INDEX(T_Практики[Студенти],dbУчПрактикиКР[[#This Row],[пВидПрактика]]),"-")</f>
        <v>-</v>
      </c>
      <c r="BN19" s="1340" t="str">
        <f ca="1">IF(dbУчПрактикиКР[[#This Row],[пВидПрактика]],INDEX(T_Практики[Група],dbУчПрактикиКР[[#This Row],[пВидПрактика]])*2,"-")</f>
        <v>-</v>
      </c>
      <c r="BO19" s="1341" t="str">
        <f ca="1">IF(dbУчПрактикиКР[[#This Row],[пВидПрактика]],INDEX(T_Практики[Ден],dbУчПрактикиКР[[#This Row],[пВидПрактика]])*4,"-")</f>
        <v>-</v>
      </c>
      <c r="BP19" s="1335">
        <f ca="1">IFERROR(AND(dbУчПрактикиКР[[#This Row],[ТО]]&lt;&gt;0,dbУчПрактикиКР[[#This Row],[ФормаОб]]=0)*1,0)</f>
        <v>0</v>
      </c>
      <c r="BQ19" s="1335">
        <f ca="1">IFERROR(AND(dbУчПрактикиКР[[#This Row],[Изпитани]]&lt;&gt;0,LEN(dbУчПрактикиКР[[#This Row],[Изпитващ]])=0)*1,0)</f>
        <v>0</v>
      </c>
      <c r="BR19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19" s="1335">
        <f ca="1">IFERROR(IF(dbУчПрактикиКР[[#This Row],[ФормаОб]]=list!$A$55,Coef!$B$10,Coef!$B$9),0)</f>
        <v>0.5</v>
      </c>
      <c r="BT19" s="1343">
        <v>5</v>
      </c>
      <c r="BU19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19" s="1340">
        <f ca="1">dbУчПрактикиКР[[#This Row],[кИзпитващ]]*N(dbУчПрактикиКР[[#This Row],[Изпитани]])</f>
        <v>0</v>
      </c>
      <c r="BW19" s="1344">
        <f ca="1">N(dbУчПрактикиКР[[#This Row],[ТО]])*N(dbУчПрактикиКР[[#This Row],[кTO]])</f>
        <v>0</v>
      </c>
      <c r="BX19" s="1343">
        <f ca="1">N(dbУчПрактикиКР[[#This Row],[КР]])*dbУчПрактикиКР[[#This Row],[кКР]]</f>
        <v>0</v>
      </c>
      <c r="BY19" s="1335">
        <f ca="1">N(INDEX(CHOOSE(dbУчПрактикиКР[[#This Row],[код]],BPZS[id_РД],BPLS[id_РД],MPZS[id_РД],MPLS[id_РД]),dbУчПрактикиКР[[#This Row],[№]],0))</f>
        <v>0</v>
      </c>
      <c r="BZ19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19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19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19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19" s="964" t="s">
        <v>681</v>
      </c>
      <c r="CH19" s="968" t="s">
        <v>406</v>
      </c>
      <c r="CI19" s="972">
        <v>1</v>
      </c>
      <c r="CJ19" s="976">
        <f ca="1">IF(dbДипломиране[[#This Row],[Семестър]]=OFFSET(dbДипломиране[[#This Row],[Семестър]],-1,0),N(OFFSET(dbДипломиране[[#This Row],[№]],-1,0))+1,1)</f>
        <v>7</v>
      </c>
      <c r="CK19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19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19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19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19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19" s="1359">
        <f ca="1">dbДипломиране[[#This Row],[ДР]]*30</f>
        <v>0</v>
      </c>
      <c r="CQ19" s="1359">
        <f ca="1">dbДипломиране[[#This Row],[Рецензии]]*5</f>
        <v>0</v>
      </c>
      <c r="CR19" s="1359">
        <f ca="1">dbДипломиране[[#This Row],[И/ДИ/З]]*0.8</f>
        <v>0</v>
      </c>
      <c r="CV19" s="559"/>
      <c r="CW19" s="610"/>
      <c r="CX19" s="559"/>
      <c r="CY19" s="560"/>
      <c r="CZ19" s="559"/>
      <c r="DA19" s="561"/>
      <c r="DB19" s="562"/>
      <c r="DC19" s="563"/>
      <c r="DD19" s="564" t="s">
        <v>84</v>
      </c>
      <c r="DE19" s="570"/>
      <c r="DF19" s="571"/>
      <c r="DG19" s="563"/>
      <c r="DH19" s="627">
        <f>Подготовка_курс72[[#This Row],[пПразни]]*(LEN(Подготовка_курс72[[#This Row],[Дейност]])=0)</f>
        <v>0</v>
      </c>
      <c r="DI19" s="627">
        <f>Подготовка_курс72[[#This Row],[пПразни]]*(LEN(Подготовка_курс72[[#This Row],[Екип]])=0)</f>
        <v>0</v>
      </c>
      <c r="DJ19" s="627">
        <f>Подготовка_курс72[[#This Row],[пПразни]]*(LEN(Подготовка_курс72[[#This Row],[ОКС]])=0)</f>
        <v>0</v>
      </c>
      <c r="DK19" s="627">
        <f>Подготовка_курс72[[#This Row],[пПразни]]*(LEN(Подготовка_курс72[[#This Row],[ФормаОб]])=0)</f>
        <v>0</v>
      </c>
      <c r="DL19" s="627">
        <f>Подготовка_курс72[[#This Row],[пПразни]]*(LEN(Подготовка_курс72[[#This Row],[Семестър]])=0)</f>
        <v>0</v>
      </c>
      <c r="DM19" s="627">
        <f>Подготовка_курс72[[#This Row],[пПразни]]*(SUM(Подготовка_курс72[[#This Row],[Лекции]:[Упражнения]])=0)</f>
        <v>0</v>
      </c>
      <c r="DN19" s="627">
        <f>((12-COUNTBLANK(Подготовка_курс72[[#This Row],[Дейност]:[Семестър]]))&gt;1)*1</f>
        <v>0</v>
      </c>
      <c r="DO19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19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19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19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</row>
    <row r="20" spans="5:146" ht="17.25" thickBot="1" x14ac:dyDescent="0.35">
      <c r="E20" s="915" t="s">
        <v>681</v>
      </c>
      <c r="F20" s="916" t="s">
        <v>406</v>
      </c>
      <c r="G20" s="846">
        <v>1</v>
      </c>
      <c r="H20" s="860">
        <f ca="1">IF(dbУчДисц[[#This Row],[Семестър]]=OFFSET(dbУчДисц[[#This Row],[Семестър]],-1,0),N(OFFSET(dbУчДисц[[#This Row],[№]],-1,0))+1,1)</f>
        <v>8</v>
      </c>
      <c r="I20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0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0" s="877" t="str">
        <f ca="1">T(INDEX(CHOOSE(dbУчДисц[[#This Row],[код]],BAZZS[Факултет],BAZLS[Факултет],MAZZS[Факултет],MAZLS[Факултет]),dbУчДисц[[#This Row],[№]],0))</f>
        <v/>
      </c>
      <c r="L20" s="881" t="str">
        <f ca="1">T(INDEX(CHOOSE(dbУчДисц[[#This Row],[код]],BAZZS[Вид],BAZLS[Вид],MAZZS[Вид],MAZLS[Вид]),dbУчДисц[[#This Row],[№]],0))</f>
        <v/>
      </c>
      <c r="M20" s="879" t="str">
        <f ca="1">T(INDEX(CHOOSE(dbУчДисц[[#This Row],[код]],BAZZS[Курс],BAZLS[Курс],MAZZS[Курс],MAZLS[Курс]),dbУчДисц[[#This Row],[№]],0))</f>
        <v/>
      </c>
      <c r="N20" s="882" t="str">
        <f ca="1">T(INDEX(CHOOSE(dbУчДисц[[#This Row],[код]],BAZZS[ФормаОб],BAZLS[ФормаОб],MAZZS[ФормаОб],MAZLS[ФормаОб]),dbУчДисц[[#This Row],[№]],0))</f>
        <v/>
      </c>
      <c r="O20" s="1249" cm="1">
        <f t="array" aca="1" ref="O20" ca="1">INDEX(CHOOSE(dbУчДисц[[#This Row],[код]],BAZZS[Студенти],BAZLS[Студенти],MAZZS[Студенти],MAZLS[Студенти]),dbУчДисц[[#This Row],[№]],0)</f>
        <v>0</v>
      </c>
      <c r="P20" s="1250" cm="1">
        <f t="array" aca="1" ref="P20" ca="1">INDEX(CHOOSE(dbУчДисц[[#This Row],[код]],BAZZS[Лекции],BAZLS[Лекции],MAZZS[Лекции],MAZLS[Лекции]),dbУчДисц[[#This Row],[№]],0)</f>
        <v>0</v>
      </c>
      <c r="Q20" s="1250" cm="1">
        <f t="array" aca="1" ref="Q20" ca="1">INDEX(CHOOSE(dbУчДисц[[#This Row],[код]],BAZZS[Упражнения],BAZLS[Упражнения],MAZZS[Упражнения],MAZLS[Упражнения]),dbУчДисц[[#This Row],[№]],0)</f>
        <v>0</v>
      </c>
      <c r="R20" s="880" t="str">
        <f ca="1">T(INDEX(CHOOSE(dbУчДисц[[#This Row],[код]],BAZZS[Език],BAZLS[Език],MAZZS[Език],MAZLS[Език]),dbУчДисц[[#This Row],[№]],0))</f>
        <v>БЕ</v>
      </c>
      <c r="S20" s="237" t="str">
        <f ca="1">T(INDEX(CHOOSE(dbУчДисц[[#This Row],[код]],BAZZS[ФормаОц],BAZLS[ФормаОц],MAZZS[ФормаОц],MAZLS[ФормаОц]),dbУчДисц[[#This Row],[№]],0))</f>
        <v/>
      </c>
      <c r="T20" s="244" t="str">
        <f ca="1">T(INDEX(CHOOSE(dbУчДисц[[#This Row],[код]],BAZZS[Изпитващ],BAZLS[Изпитващ],MAZZS[Изпитващ],MAZLS[Изпитващ]),dbУчДисц[[#This Row],[№]],0))</f>
        <v/>
      </c>
      <c r="U20" s="1250" cm="1">
        <f t="array" aca="1" ref="U20" ca="1">INDEX(CHOOSE(dbУчДисц[[#This Row],[код]],BAZZS[Изпитани],BAZLS[Изпитани],MAZZS[Изпитани],MAZLS[Изпитани]),dbУчДисц[[#This Row],[№]],0)</f>
        <v>0</v>
      </c>
      <c r="V20" s="1268" cm="1">
        <f t="array" aca="1" ref="V20" ca="1">INDEX(CHOOSE(dbУчДисц[[#This Row],[код]],BAZZS[ТО],BAZLS[ТО],MAZZS[ТО],MAZLS[ТО]),dbУчДисц[[#This Row],[№]],0)</f>
        <v>0</v>
      </c>
      <c r="W20" s="1268" cm="1">
        <f t="array" aca="1" ref="W20" ca="1">INDEX(CHOOSE(dbУчДисц[[#This Row],[код]],BAZZS[КР],BAZLS[КР],MAZZS[КР],MAZLS[КР]),dbУчДисц[[#This Row],[№]],0)</f>
        <v>0</v>
      </c>
      <c r="X2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0" s="1270">
        <f ca="1">IF(AND(dbУчДисц[[#This Row],[Изпитани]]&lt;&gt;0,dbУчДисц[[#This Row],[Изпитващ]]=0),1,0)</f>
        <v>0</v>
      </c>
      <c r="AA20" s="1271">
        <f ca="1">IFERROR(VLOOKUP(dbУчДисц[[#This Row],[Език]],Коефициент_Eзик[],2,0),0)</f>
        <v>1</v>
      </c>
      <c r="AB20" s="1272" cm="1">
        <f t="array" aca="1" ref="AB2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0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0" s="1273">
        <v>0.5</v>
      </c>
      <c r="AE20" s="1274">
        <v>5</v>
      </c>
      <c r="AF20" s="1271">
        <f ca="1">N(dbУчДисц[[#This Row],[Лекции]])*dbУчДисц[[#This Row],[кЕзик]]*dbУчДисц[[#This Row],[кСтуденти]]*кЛекции</f>
        <v>0</v>
      </c>
      <c r="AG20" s="1272">
        <f ca="1">N(dbУчДисц[[#This Row],[Упражнения]])*dbУчДисц[[#This Row],[кЕзик]]*dbУчДисц[[#This Row],[кСтуденти]]*кУпражнение</f>
        <v>0</v>
      </c>
      <c r="AH20" s="1272">
        <f ca="1">N(dbУчДисц[[#This Row],[Изпитани]])*dbУчДисц[[#This Row],[кИзпитващ]]</f>
        <v>0</v>
      </c>
      <c r="AI20" s="1273">
        <f ca="1">dbУчДисц[[#This Row],[ТО]]*dbУчДисц[[#This Row],[кTO]]</f>
        <v>0</v>
      </c>
      <c r="AJ20" s="1266">
        <f ca="1">dbУчДисц[[#This Row],[КР]]*dbУчДисц[[#This Row],[кКР]]</f>
        <v>0</v>
      </c>
      <c r="AK20" s="1275">
        <f ca="1">N(INDEX(CHOOSE(dbУчДисц[[#This Row],[код]],BAZZS[id_РД],BAZLS[id_РД],MAZZS[id_РД],MAZLS[id_РД]),dbУчДисц[[#This Row],[№]],0))</f>
        <v>0</v>
      </c>
      <c r="AL20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0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0" s="1383" t="str">
        <f ca="1">T(INDEX(CHOOSE(dbУчДисц[[#This Row],[код]],BAZZS[Факултет1],BAZLS[Факултет1],MAZZS[Факултет1],MAZLS[Факултет1]),dbУчДисц[[#This Row],[№]],0))</f>
        <v/>
      </c>
      <c r="AO20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0" s="931" t="s">
        <v>681</v>
      </c>
      <c r="AT20" s="955" t="s">
        <v>406</v>
      </c>
      <c r="AU20" s="950">
        <v>1</v>
      </c>
      <c r="AV20" s="981">
        <f ca="1">IF(dbУчПрактикиКР[[#This Row],[Семестър]]=OFFSET(dbУчПрактикиКР[[#This Row],[Семестър]],-1,0),N(OFFSET(dbУчПрактикиКР[[#This Row],[№]],-1,0))+1,1)</f>
        <v>8</v>
      </c>
      <c r="AW20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0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0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0" s="943" t="str">
        <f ca="1">T(INDEX(CHOOSE(dbУчПрактикиКР[[#This Row],[код]],BPZS[Вид],BPLS[Вид],MPZS[Вид],MPLS[Вид]),dbУчПрактикиКР[[#This Row],[№]],0))</f>
        <v/>
      </c>
      <c r="BA20" s="944" t="str">
        <f ca="1">T(INDEX(CHOOSE(dbУчПрактикиКР[[#This Row],[код]],BPZS[Курс],BPLS[Курс],MPZS[Курс],MPLS[Курс]),dbУчПрактикиКР[[#This Row],[№]],0))</f>
        <v/>
      </c>
      <c r="BB20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0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0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0" s="1302">
        <f ca="1">N(INDEX(CHOOSE(dbУчПрактикиКР[[#This Row],[код]],BPZS[Група],BPLS[Група],MPZS[Група],MPLS[Група]),dbУчПрактикиКР[[#This Row],[№]],0))</f>
        <v>0</v>
      </c>
      <c r="BF20" s="1303">
        <f ca="1">N(INDEX(CHOOSE(dbУчПрактикиКР[[#This Row],[код]],BPZS[Ден],BPLS[Ден],MPZS[Ден],MPLS[Ден]),dbУчПрактикиКР[[#This Row],[№]],0))</f>
        <v>0</v>
      </c>
      <c r="BG20" s="1036" t="str">
        <f ca="1">T(INDEX(CHOOSE(dbУчПрактикиКР[[#This Row],[код]],BPZS[ФормаОц],BPLS[ФормаОц],MPZS[ФормаОц],MPLS[ФормаОц]),dbУчПрактикиКР[[#This Row],[№]],0))</f>
        <v/>
      </c>
      <c r="BH20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0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20" s="1316">
        <f ca="1">N(INDEX(CHOOSE(dbУчПрактикиКР[[#This Row],[код]],BPZS[ТО],BPLS[ТО],MPZS[ТО],MPLS[ТО]),dbУчПрактикиКР[[#This Row],[№]],0))</f>
        <v>0</v>
      </c>
      <c r="BK20" s="1317">
        <f ca="1">N(INDEX(CHOOSE(dbУчПрактикиКР[[#This Row],[код]],BPZS[КР],BPLS[КР],MPZS[КР],MPLS[КР]),dbУчПрактикиКР[[#This Row],[№]],0))</f>
        <v>0</v>
      </c>
      <c r="BL20" s="1318">
        <f ca="1">IFERROR(MATCH(dbУчПрактикиКР[[#This Row],[ВидПрактика]],T_Практики[Практика и курсова работа],0),0)</f>
        <v>0</v>
      </c>
      <c r="BM20" s="1340" t="str">
        <f ca="1">IF(dbУчПрактикиКР[[#This Row],[пВидПрактика]],INDEX(T_Практики[Студенти],dbУчПрактикиКР[[#This Row],[пВидПрактика]]),"-")</f>
        <v>-</v>
      </c>
      <c r="BN20" s="1340" t="str">
        <f ca="1">IF(dbУчПрактикиКР[[#This Row],[пВидПрактика]],INDEX(T_Практики[Група],dbУчПрактикиКР[[#This Row],[пВидПрактика]])*2,"-")</f>
        <v>-</v>
      </c>
      <c r="BO20" s="1341" t="str">
        <f ca="1">IF(dbУчПрактикиКР[[#This Row],[пВидПрактика]],INDEX(T_Практики[Ден],dbУчПрактикиКР[[#This Row],[пВидПрактика]])*4,"-")</f>
        <v>-</v>
      </c>
      <c r="BP20" s="1335">
        <f ca="1">IFERROR(AND(dbУчПрактикиКР[[#This Row],[ТО]]&lt;&gt;0,dbУчПрактикиКР[[#This Row],[ФормаОб]]=0)*1,0)</f>
        <v>0</v>
      </c>
      <c r="BQ20" s="1335">
        <f ca="1">IFERROR(AND(dbУчПрактикиКР[[#This Row],[Изпитани]]&lt;&gt;0,LEN(dbУчПрактикиКР[[#This Row],[Изпитващ]])=0)*1,0)</f>
        <v>0</v>
      </c>
      <c r="BR20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0" s="1335">
        <f ca="1">IFERROR(IF(dbУчПрактикиКР[[#This Row],[ФормаОб]]=list!$A$55,Coef!$B$10,Coef!$B$9),0)</f>
        <v>0.5</v>
      </c>
      <c r="BT20" s="1343">
        <v>5</v>
      </c>
      <c r="BU20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0" s="1340">
        <f ca="1">dbУчПрактикиКР[[#This Row],[кИзпитващ]]*N(dbУчПрактикиКР[[#This Row],[Изпитани]])</f>
        <v>0</v>
      </c>
      <c r="BW20" s="1344">
        <f ca="1">N(dbУчПрактикиКР[[#This Row],[ТО]])*N(dbУчПрактикиКР[[#This Row],[кTO]])</f>
        <v>0</v>
      </c>
      <c r="BX20" s="1343">
        <f ca="1">N(dbУчПрактикиКР[[#This Row],[КР]])*dbУчПрактикиКР[[#This Row],[кКР]]</f>
        <v>0</v>
      </c>
      <c r="BY20" s="1335">
        <f ca="1">N(INDEX(CHOOSE(dbУчПрактикиКР[[#This Row],[код]],BPZS[id_РД],BPLS[id_РД],MPZS[id_РД],MPLS[id_РД]),dbУчПрактикиКР[[#This Row],[№]],0))</f>
        <v>0</v>
      </c>
      <c r="BZ20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0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0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0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0" s="965" t="s">
        <v>681</v>
      </c>
      <c r="CH20" s="969" t="s">
        <v>406</v>
      </c>
      <c r="CI20" s="973">
        <v>1</v>
      </c>
      <c r="CJ20" s="977">
        <f ca="1">IF(dbДипломиране[[#This Row],[Семестър]]=OFFSET(dbДипломиране[[#This Row],[Семестър]],-1,0),N(OFFSET(dbДипломиране[[#This Row],[№]],-1,0))+1,1)</f>
        <v>8</v>
      </c>
      <c r="CK20" s="839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0" s="24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0" s="1360">
        <f ca="1">N(INDEX(CHOOSE(dbДипломиране[[#This Row],[код]],BDiplomiraneZS[ДР],BDiplomiraneLS[ФормаОб],MDiplomiraneZS[ДР],MDiplomiraneLS[ДР]),dbДипломиране[[#This Row],[№]],0))</f>
        <v>0</v>
      </c>
      <c r="CN20" s="1250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0" s="1249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0" s="1359">
        <f ca="1">dbДипломиране[[#This Row],[ДР]]*30</f>
        <v>0</v>
      </c>
      <c r="CQ20" s="1359">
        <f ca="1">dbДипломиране[[#This Row],[Рецензии]]*5</f>
        <v>0</v>
      </c>
      <c r="CR20" s="1359">
        <f ca="1">dbДипломиране[[#This Row],[И/ДИ/З]]*0.8</f>
        <v>0</v>
      </c>
      <c r="CV20" s="559"/>
      <c r="CW20" s="610"/>
      <c r="CX20" s="559"/>
      <c r="CY20" s="560"/>
      <c r="CZ20" s="559"/>
      <c r="DA20" s="561"/>
      <c r="DB20" s="562"/>
      <c r="DC20" s="563"/>
      <c r="DD20" s="564" t="s">
        <v>84</v>
      </c>
      <c r="DE20" s="570"/>
      <c r="DF20" s="571"/>
      <c r="DG20" s="563"/>
      <c r="DH20" s="627">
        <f>Подготовка_курс72[[#This Row],[пПразни]]*(LEN(Подготовка_курс72[[#This Row],[Дейност]])=0)</f>
        <v>0</v>
      </c>
      <c r="DI20" s="627">
        <f>Подготовка_курс72[[#This Row],[пПразни]]*(LEN(Подготовка_курс72[[#This Row],[Екип]])=0)</f>
        <v>0</v>
      </c>
      <c r="DJ20" s="627">
        <f>Подготовка_курс72[[#This Row],[пПразни]]*(LEN(Подготовка_курс72[[#This Row],[ОКС]])=0)</f>
        <v>0</v>
      </c>
      <c r="DK20" s="627">
        <f>Подготовка_курс72[[#This Row],[пПразни]]*(LEN(Подготовка_курс72[[#This Row],[ФормаОб]])=0)</f>
        <v>0</v>
      </c>
      <c r="DL20" s="627">
        <f>Подготовка_курс72[[#This Row],[пПразни]]*(LEN(Подготовка_курс72[[#This Row],[Семестър]])=0)</f>
        <v>0</v>
      </c>
      <c r="DM20" s="627">
        <f>Подготовка_курс72[[#This Row],[пПразни]]*(SUM(Подготовка_курс72[[#This Row],[Лекции]:[Упражнения]])=0)</f>
        <v>0</v>
      </c>
      <c r="DN20" s="627">
        <f>((12-COUNTBLANK(Подготовка_курс72[[#This Row],[Дейност]:[Семестър]]))&gt;1)*1</f>
        <v>0</v>
      </c>
      <c r="DO20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20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20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20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</row>
    <row r="21" spans="5:146" ht="16.5" x14ac:dyDescent="0.3">
      <c r="E21" s="915" t="s">
        <v>681</v>
      </c>
      <c r="F21" s="916" t="s">
        <v>406</v>
      </c>
      <c r="G21" s="846">
        <v>1</v>
      </c>
      <c r="H21" s="860">
        <f ca="1">IF(dbУчДисц[[#This Row],[Семестър]]=OFFSET(dbУчДисц[[#This Row],[Семестър]],-1,0),N(OFFSET(dbУчДисц[[#This Row],[№]],-1,0))+1,1)</f>
        <v>9</v>
      </c>
      <c r="I21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1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1" s="877" t="str">
        <f ca="1">T(INDEX(CHOOSE(dbУчДисц[[#This Row],[код]],BAZZS[Факултет],BAZLS[Факултет],MAZZS[Факултет],MAZLS[Факултет]),dbУчДисц[[#This Row],[№]],0))</f>
        <v/>
      </c>
      <c r="L21" s="881" t="str">
        <f ca="1">T(INDEX(CHOOSE(dbУчДисц[[#This Row],[код]],BAZZS[Вид],BAZLS[Вид],MAZZS[Вид],MAZLS[Вид]),dbУчДисц[[#This Row],[№]],0))</f>
        <v/>
      </c>
      <c r="M21" s="879" t="str">
        <f ca="1">T(INDEX(CHOOSE(dbУчДисц[[#This Row],[код]],BAZZS[Курс],BAZLS[Курс],MAZZS[Курс],MAZLS[Курс]),dbУчДисц[[#This Row],[№]],0))</f>
        <v/>
      </c>
      <c r="N21" s="882" t="str">
        <f ca="1">T(INDEX(CHOOSE(dbУчДисц[[#This Row],[код]],BAZZS[ФормаОб],BAZLS[ФормаОб],MAZZS[ФормаОб],MAZLS[ФормаОб]),dbУчДисц[[#This Row],[№]],0))</f>
        <v/>
      </c>
      <c r="O21" s="1249" cm="1">
        <f t="array" aca="1" ref="O21" ca="1">INDEX(CHOOSE(dbУчДисц[[#This Row],[код]],BAZZS[Студенти],BAZLS[Студенти],MAZZS[Студенти],MAZLS[Студенти]),dbУчДисц[[#This Row],[№]],0)</f>
        <v>0</v>
      </c>
      <c r="P21" s="1250" cm="1">
        <f t="array" aca="1" ref="P21" ca="1">INDEX(CHOOSE(dbУчДисц[[#This Row],[код]],BAZZS[Лекции],BAZLS[Лекции],MAZZS[Лекции],MAZLS[Лекции]),dbУчДисц[[#This Row],[№]],0)</f>
        <v>0</v>
      </c>
      <c r="Q21" s="1250" cm="1">
        <f t="array" aca="1" ref="Q21" ca="1">INDEX(CHOOSE(dbУчДисц[[#This Row],[код]],BAZZS[Упражнения],BAZLS[Упражнения],MAZZS[Упражнения],MAZLS[Упражнения]),dbУчДисц[[#This Row],[№]],0)</f>
        <v>0</v>
      </c>
      <c r="R21" s="880" t="str">
        <f ca="1">T(INDEX(CHOOSE(dbУчДисц[[#This Row],[код]],BAZZS[Език],BAZLS[Език],MAZZS[Език],MAZLS[Език]),dbУчДисц[[#This Row],[№]],0))</f>
        <v>БЕ</v>
      </c>
      <c r="S21" s="237" t="str">
        <f ca="1">T(INDEX(CHOOSE(dbУчДисц[[#This Row],[код]],BAZZS[ФормаОц],BAZLS[ФормаОц],MAZZS[ФормаОц],MAZLS[ФормаОц]),dbУчДисц[[#This Row],[№]],0))</f>
        <v/>
      </c>
      <c r="T21" s="240" t="str">
        <f ca="1">T(INDEX(CHOOSE(dbУчДисц[[#This Row],[код]],BAZZS[Изпитващ],BAZLS[Изпитващ],MAZZS[Изпитващ],MAZLS[Изпитващ]),dbУчДисц[[#This Row],[№]],0))</f>
        <v/>
      </c>
      <c r="U21" s="1250" cm="1">
        <f t="array" aca="1" ref="U21" ca="1">INDEX(CHOOSE(dbУчДисц[[#This Row],[код]],BAZZS[Изпитани],BAZLS[Изпитани],MAZZS[Изпитани],MAZLS[Изпитани]),dbУчДисц[[#This Row],[№]],0)</f>
        <v>0</v>
      </c>
      <c r="V21" s="1268" cm="1">
        <f t="array" aca="1" ref="V21" ca="1">INDEX(CHOOSE(dbУчДисц[[#This Row],[код]],BAZZS[ТО],BAZLS[ТО],MAZZS[ТО],MAZLS[ТО]),dbУчДисц[[#This Row],[№]],0)</f>
        <v>0</v>
      </c>
      <c r="W21" s="1268" cm="1">
        <f t="array" aca="1" ref="W21" ca="1">INDEX(CHOOSE(dbУчДисц[[#This Row],[код]],BAZZS[КР],BAZLS[КР],MAZZS[КР],MAZLS[КР]),dbУчДисц[[#This Row],[№]],0)</f>
        <v>0</v>
      </c>
      <c r="X21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1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1" s="1270">
        <f ca="1">IF(AND(dbУчДисц[[#This Row],[Изпитани]]&lt;&gt;0,dbУчДисц[[#This Row],[Изпитващ]]=0),1,0)</f>
        <v>0</v>
      </c>
      <c r="AA21" s="1271">
        <f ca="1">IFERROR(VLOOKUP(dbУчДисц[[#This Row],[Език]],Коефициент_Eзик[],2,0),0)</f>
        <v>1</v>
      </c>
      <c r="AB21" s="1272" cm="1">
        <f t="array" aca="1" ref="AB2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1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1" s="1273">
        <v>0.5</v>
      </c>
      <c r="AE21" s="1274">
        <v>5</v>
      </c>
      <c r="AF21" s="1271">
        <f ca="1">N(dbУчДисц[[#This Row],[Лекции]])*dbУчДисц[[#This Row],[кЕзик]]*dbУчДисц[[#This Row],[кСтуденти]]*кЛекции</f>
        <v>0</v>
      </c>
      <c r="AG21" s="1272">
        <f ca="1">N(dbУчДисц[[#This Row],[Упражнения]])*dbУчДисц[[#This Row],[кЕзик]]*dbУчДисц[[#This Row],[кСтуденти]]*кУпражнение</f>
        <v>0</v>
      </c>
      <c r="AH21" s="1272">
        <f ca="1">N(dbУчДисц[[#This Row],[Изпитани]])*dbУчДисц[[#This Row],[кИзпитващ]]</f>
        <v>0</v>
      </c>
      <c r="AI21" s="1273">
        <f ca="1">dbУчДисц[[#This Row],[ТО]]*dbУчДисц[[#This Row],[кTO]]</f>
        <v>0</v>
      </c>
      <c r="AJ21" s="1266">
        <f ca="1">dbУчДисц[[#This Row],[КР]]*dbУчДисц[[#This Row],[кКР]]</f>
        <v>0</v>
      </c>
      <c r="AK21" s="1275">
        <f ca="1">N(INDEX(CHOOSE(dbУчДисц[[#This Row],[код]],BAZZS[id_РД],BAZLS[id_РД],MAZZS[id_РД],MAZLS[id_РД]),dbУчДисц[[#This Row],[№]],0))</f>
        <v>0</v>
      </c>
      <c r="AL21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1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1" s="1383" t="str">
        <f ca="1">T(INDEX(CHOOSE(dbУчДисц[[#This Row],[код]],BAZZS[Факултет1],BAZLS[Факултет1],MAZZS[Факултет1],MAZLS[Факултет1]),dbУчДисц[[#This Row],[№]],0))</f>
        <v/>
      </c>
      <c r="AO21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1" s="931" t="s">
        <v>681</v>
      </c>
      <c r="AT21" s="955" t="s">
        <v>406</v>
      </c>
      <c r="AU21" s="950">
        <v>1</v>
      </c>
      <c r="AV21" s="981">
        <f ca="1">IF(dbУчПрактикиКР[[#This Row],[Семестър]]=OFFSET(dbУчПрактикиКР[[#This Row],[Семестър]],-1,0),N(OFFSET(dbУчПрактикиКР[[#This Row],[№]],-1,0))+1,1)</f>
        <v>9</v>
      </c>
      <c r="AW21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1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1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1" s="943" t="str">
        <f ca="1">T(INDEX(CHOOSE(dbУчПрактикиКР[[#This Row],[код]],BPZS[Вид],BPLS[Вид],MPZS[Вид],MPLS[Вид]),dbУчПрактикиКР[[#This Row],[№]],0))</f>
        <v/>
      </c>
      <c r="BA21" s="944" t="str">
        <f ca="1">T(INDEX(CHOOSE(dbУчПрактикиКР[[#This Row],[код]],BPZS[Курс],BPLS[Курс],MPZS[Курс],MPLS[Курс]),dbУчПрактикиКР[[#This Row],[№]],0))</f>
        <v/>
      </c>
      <c r="BB21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1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1" s="103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1" s="1302">
        <f ca="1">N(INDEX(CHOOSE(dbУчПрактикиКР[[#This Row],[код]],BPZS[Група],BPLS[Група],MPZS[Група],MPLS[Група]),dbУчПрактикиКР[[#This Row],[№]],0))</f>
        <v>0</v>
      </c>
      <c r="BF21" s="1303">
        <f ca="1">N(INDEX(CHOOSE(dbУчПрактикиКР[[#This Row],[код]],BPZS[Ден],BPLS[Ден],MPZS[Ден],MPLS[Ден]),dbУчПрактикиКР[[#This Row],[№]],0))</f>
        <v>0</v>
      </c>
      <c r="BG21" s="1036" t="str">
        <f ca="1">T(INDEX(CHOOSE(dbУчПрактикиКР[[#This Row],[код]],BPZS[ФормаОц],BPLS[ФормаОц],MPZS[ФормаОц],MPLS[ФормаОц]),dbУчПрактикиКР[[#This Row],[№]],0))</f>
        <v/>
      </c>
      <c r="BH21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1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21" s="1316">
        <f ca="1">N(INDEX(CHOOSE(dbУчПрактикиКР[[#This Row],[код]],BPZS[ТО],BPLS[ТО],MPZS[ТО],MPLS[ТО]),dbУчПрактикиКР[[#This Row],[№]],0))</f>
        <v>0</v>
      </c>
      <c r="BK21" s="1317">
        <f ca="1">N(INDEX(CHOOSE(dbУчПрактикиКР[[#This Row],[код]],BPZS[КР],BPLS[КР],MPZS[КР],MPLS[КР]),dbУчПрактикиКР[[#This Row],[№]],0))</f>
        <v>0</v>
      </c>
      <c r="BL21" s="1318">
        <f ca="1">IFERROR(MATCH(dbУчПрактикиКР[[#This Row],[ВидПрактика]],T_Практики[Практика и курсова работа],0),0)</f>
        <v>0</v>
      </c>
      <c r="BM21" s="1340" t="str">
        <f ca="1">IF(dbУчПрактикиКР[[#This Row],[пВидПрактика]],INDEX(T_Практики[Студенти],dbУчПрактикиКР[[#This Row],[пВидПрактика]]),"-")</f>
        <v>-</v>
      </c>
      <c r="BN21" s="1340" t="str">
        <f ca="1">IF(dbУчПрактикиКР[[#This Row],[пВидПрактика]],INDEX(T_Практики[Група],dbУчПрактикиКР[[#This Row],[пВидПрактика]])*2,"-")</f>
        <v>-</v>
      </c>
      <c r="BO21" s="1341" t="str">
        <f ca="1">IF(dbУчПрактикиКР[[#This Row],[пВидПрактика]],INDEX(T_Практики[Ден],dbУчПрактикиКР[[#This Row],[пВидПрактика]])*4,"-")</f>
        <v>-</v>
      </c>
      <c r="BP21" s="1335">
        <f ca="1">IFERROR(AND(dbУчПрактикиКР[[#This Row],[ТО]]&lt;&gt;0,dbУчПрактикиКР[[#This Row],[ФормаОб]]=0)*1,0)</f>
        <v>0</v>
      </c>
      <c r="BQ21" s="1335">
        <f ca="1">IFERROR(AND(dbУчПрактикиКР[[#This Row],[Изпитани]]&lt;&gt;0,LEN(dbУчПрактикиКР[[#This Row],[Изпитващ]])=0)*1,0)</f>
        <v>0</v>
      </c>
      <c r="BR21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1" s="1335">
        <f ca="1">IFERROR(IF(dbУчПрактикиКР[[#This Row],[ФормаОб]]=list!$A$55,Coef!$B$10,Coef!$B$9),0)</f>
        <v>0.5</v>
      </c>
      <c r="BT21" s="1343">
        <v>5</v>
      </c>
      <c r="BU21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1" s="1340">
        <f ca="1">dbУчПрактикиКР[[#This Row],[кИзпитващ]]*N(dbУчПрактикиКР[[#This Row],[Изпитани]])</f>
        <v>0</v>
      </c>
      <c r="BW21" s="1344">
        <f ca="1">N(dbУчПрактикиКР[[#This Row],[ТО]])*N(dbУчПрактикиКР[[#This Row],[кTO]])</f>
        <v>0</v>
      </c>
      <c r="BX21" s="1343">
        <f ca="1">N(dbУчПрактикиКР[[#This Row],[КР]])*dbУчПрактикиКР[[#This Row],[кКР]]</f>
        <v>0</v>
      </c>
      <c r="BY21" s="1335">
        <f ca="1">N(INDEX(CHOOSE(dbУчПрактикиКР[[#This Row],[код]],BPZS[id_РД],BPLS[id_РД],MPZS[id_РД],MPLS[id_РД]),dbУчПрактикиКР[[#This Row],[№]],0))</f>
        <v>0</v>
      </c>
      <c r="BZ21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1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1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1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1" s="963" t="s">
        <v>681</v>
      </c>
      <c r="CH21" s="967" t="s">
        <v>407</v>
      </c>
      <c r="CI21" s="971">
        <v>2</v>
      </c>
      <c r="CJ21" s="975">
        <f ca="1">IF(dbДипломиране[[#This Row],[Семестър]]=OFFSET(dbДипломиране[[#This Row],[Семестър]],-1,0),N(OFFSET(dbДипломиране[[#This Row],[№]],-1,0))+1,1)</f>
        <v>1</v>
      </c>
      <c r="CK21" s="863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1" s="89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1" s="1362">
        <f ca="1">N(INDEX(CHOOSE(dbДипломиране[[#This Row],[код]],BDiplomiraneZS[ДР],BDiplomiraneLS[ФормаОб],MDiplomiraneZS[ДР],MDiplomiraneLS[ДР]),dbДипломиране[[#This Row],[№]],0))</f>
        <v>0</v>
      </c>
      <c r="CN21" s="1256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1" s="1255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1" s="1363">
        <f ca="1">dbДипломиране[[#This Row],[ДР]]*30</f>
        <v>0</v>
      </c>
      <c r="CQ21" s="1363">
        <f ca="1">dbДипломиране[[#This Row],[Рецензии]]*5</f>
        <v>0</v>
      </c>
      <c r="CR21" s="1364">
        <f ca="1">dbДипломиране[[#This Row],[И/ДИ/З]]*0.8</f>
        <v>0</v>
      </c>
      <c r="CV21" s="559"/>
      <c r="CW21" s="610"/>
      <c r="CX21" s="559"/>
      <c r="CY21" s="560"/>
      <c r="CZ21" s="559"/>
      <c r="DA21" s="561"/>
      <c r="DB21" s="562"/>
      <c r="DC21" s="563"/>
      <c r="DD21" s="564" t="s">
        <v>84</v>
      </c>
      <c r="DE21" s="570"/>
      <c r="DF21" s="571"/>
      <c r="DG21" s="563"/>
      <c r="DH21" s="627">
        <f>Подготовка_курс72[[#This Row],[пПразни]]*(LEN(Подготовка_курс72[[#This Row],[Дейност]])=0)</f>
        <v>0</v>
      </c>
      <c r="DI21" s="627">
        <f>Подготовка_курс72[[#This Row],[пПразни]]*(LEN(Подготовка_курс72[[#This Row],[Екип]])=0)</f>
        <v>0</v>
      </c>
      <c r="DJ21" s="627">
        <f>Подготовка_курс72[[#This Row],[пПразни]]*(LEN(Подготовка_курс72[[#This Row],[ОКС]])=0)</f>
        <v>0</v>
      </c>
      <c r="DK21" s="627">
        <f>Подготовка_курс72[[#This Row],[пПразни]]*(LEN(Подготовка_курс72[[#This Row],[ФормаОб]])=0)</f>
        <v>0</v>
      </c>
      <c r="DL21" s="627">
        <f>Подготовка_курс72[[#This Row],[пПразни]]*(LEN(Подготовка_курс72[[#This Row],[Семестър]])=0)</f>
        <v>0</v>
      </c>
      <c r="DM21" s="627">
        <f>Подготовка_курс72[[#This Row],[пПразни]]*(SUM(Подготовка_курс72[[#This Row],[Лекции]:[Упражнения]])=0)</f>
        <v>0</v>
      </c>
      <c r="DN21" s="627">
        <f>((12-COUNTBLANK(Подготовка_курс72[[#This Row],[Дейност]:[Семестър]]))&gt;1)*1</f>
        <v>0</v>
      </c>
      <c r="DO21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21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21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21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</row>
    <row r="22" spans="5:146" ht="17.25" thickBot="1" x14ac:dyDescent="0.35">
      <c r="E22" s="915" t="s">
        <v>681</v>
      </c>
      <c r="F22" s="916" t="s">
        <v>406</v>
      </c>
      <c r="G22" s="846">
        <v>1</v>
      </c>
      <c r="H22" s="860">
        <f ca="1">IF(dbУчДисц[[#This Row],[Семестър]]=OFFSET(dbУчДисц[[#This Row],[Семестър]],-1,0),N(OFFSET(dbУчДисц[[#This Row],[№]],-1,0))+1,1)</f>
        <v>10</v>
      </c>
      <c r="I22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2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2" s="847" t="str">
        <f ca="1">T(INDEX(CHOOSE(dbУчДисц[[#This Row],[код]],BAZZS[Факултет],BAZLS[Факултет],MAZZS[Факултет],MAZLS[Факултет]),dbУчДисц[[#This Row],[№]],0))</f>
        <v/>
      </c>
      <c r="L22" s="878" t="str">
        <f ca="1">T(INDEX(CHOOSE(dbУчДисц[[#This Row],[код]],BAZZS[Вид],BAZLS[Вид],MAZZS[Вид],MAZLS[Вид]),dbУчДисц[[#This Row],[№]],0))</f>
        <v/>
      </c>
      <c r="M22" s="879" t="str">
        <f ca="1">T(INDEX(CHOOSE(dbУчДисц[[#This Row],[код]],BAZZS[Курс],BAZLS[Курс],MAZZS[Курс],MAZLS[Курс]),dbУчДисц[[#This Row],[№]],0))</f>
        <v/>
      </c>
      <c r="N22" s="237" t="str">
        <f ca="1">T(INDEX(CHOOSE(dbУчДисц[[#This Row],[код]],BAZZS[ФормаОб],BAZLS[ФормаОб],MAZZS[ФормаОб],MAZLS[ФормаОб]),dbУчДисц[[#This Row],[№]],0))</f>
        <v/>
      </c>
      <c r="O22" s="1249" cm="1">
        <f t="array" aca="1" ref="O22" ca="1">INDEX(CHOOSE(dbУчДисц[[#This Row],[код]],BAZZS[Студенти],BAZLS[Студенти],MAZZS[Студенти],MAZLS[Студенти]),dbУчДисц[[#This Row],[№]],0)</f>
        <v>0</v>
      </c>
      <c r="P22" s="1250" cm="1">
        <f t="array" aca="1" ref="P22" ca="1">INDEX(CHOOSE(dbУчДисц[[#This Row],[код]],BAZZS[Лекции],BAZLS[Лекции],MAZZS[Лекции],MAZLS[Лекции]),dbУчДисц[[#This Row],[№]],0)</f>
        <v>0</v>
      </c>
      <c r="Q22" s="1250" cm="1">
        <f t="array" aca="1" ref="Q22" ca="1">INDEX(CHOOSE(dbУчДисц[[#This Row],[код]],BAZZS[Упражнения],BAZLS[Упражнения],MAZZS[Упражнения],MAZLS[Упражнения]),dbУчДисц[[#This Row],[№]],0)</f>
        <v>0</v>
      </c>
      <c r="R22" s="880" t="str">
        <f ca="1">T(INDEX(CHOOSE(dbУчДисц[[#This Row],[код]],BAZZS[Език],BAZLS[Език],MAZZS[Език],MAZLS[Език]),dbУчДисц[[#This Row],[№]],0))</f>
        <v>БЕ</v>
      </c>
      <c r="S22" s="237" t="str">
        <f ca="1">T(INDEX(CHOOSE(dbУчДисц[[#This Row],[код]],BAZZS[ФормаОц],BAZLS[ФормаОц],MAZZS[ФормаОц],MAZLS[ФормаОц]),dbУчДисц[[#This Row],[№]],0))</f>
        <v/>
      </c>
      <c r="T22" s="244" t="str">
        <f ca="1">T(INDEX(CHOOSE(dbУчДисц[[#This Row],[код]],BAZZS[Изпитващ],BAZLS[Изпитващ],MAZZS[Изпитващ],MAZLS[Изпитващ]),dbУчДисц[[#This Row],[№]],0))</f>
        <v/>
      </c>
      <c r="U22" s="1250" cm="1">
        <f t="array" aca="1" ref="U22" ca="1">INDEX(CHOOSE(dbУчДисц[[#This Row],[код]],BAZZS[Изпитани],BAZLS[Изпитани],MAZZS[Изпитани],MAZLS[Изпитани]),dbУчДисц[[#This Row],[№]],0)</f>
        <v>0</v>
      </c>
      <c r="V22" s="1268" cm="1">
        <f t="array" aca="1" ref="V22" ca="1">INDEX(CHOOSE(dbУчДисц[[#This Row],[код]],BAZZS[ТО],BAZLS[ТО],MAZZS[ТО],MAZLS[ТО]),dbУчДисц[[#This Row],[№]],0)</f>
        <v>0</v>
      </c>
      <c r="W22" s="1268" cm="1">
        <f t="array" aca="1" ref="W22" ca="1">INDEX(CHOOSE(dbУчДисц[[#This Row],[код]],BAZZS[КР],BAZLS[КР],MAZZS[КР],MAZLS[КР]),dbУчДисц[[#This Row],[№]],0)</f>
        <v>0</v>
      </c>
      <c r="X2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2" s="1270">
        <f ca="1">IF(AND(dbУчДисц[[#This Row],[Изпитани]]&lt;&gt;0,dbУчДисц[[#This Row],[Изпитващ]]=0),1,0)</f>
        <v>0</v>
      </c>
      <c r="AA22" s="1271">
        <f ca="1">IFERROR(VLOOKUP(dbУчДисц[[#This Row],[Език]],Коефициент_Eзик[],2,0),0)</f>
        <v>1</v>
      </c>
      <c r="AB22" s="1272" cm="1">
        <f t="array" aca="1" ref="AB2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2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2" s="1273">
        <v>0.5</v>
      </c>
      <c r="AE22" s="1274">
        <v>5</v>
      </c>
      <c r="AF22" s="1271">
        <f ca="1">N(dbУчДисц[[#This Row],[Лекции]])*dbУчДисц[[#This Row],[кЕзик]]*dbУчДисц[[#This Row],[кСтуденти]]*кЛекции</f>
        <v>0</v>
      </c>
      <c r="AG22" s="1272">
        <f ca="1">N(dbУчДисц[[#This Row],[Упражнения]])*dbУчДисц[[#This Row],[кЕзик]]*dbУчДисц[[#This Row],[кСтуденти]]*кУпражнение</f>
        <v>0</v>
      </c>
      <c r="AH22" s="1272">
        <f ca="1">N(dbУчДисц[[#This Row],[Изпитани]])*dbУчДисц[[#This Row],[кИзпитващ]]</f>
        <v>0</v>
      </c>
      <c r="AI22" s="1273">
        <f ca="1">dbУчДисц[[#This Row],[ТО]]*dbУчДисц[[#This Row],[кTO]]</f>
        <v>0</v>
      </c>
      <c r="AJ22" s="1266">
        <f ca="1">dbУчДисц[[#This Row],[КР]]*dbУчДисц[[#This Row],[кКР]]</f>
        <v>0</v>
      </c>
      <c r="AK22" s="1275">
        <f ca="1">N(INDEX(CHOOSE(dbУчДисц[[#This Row],[код]],BAZZS[id_РД],BAZLS[id_РД],MAZZS[id_РД],MAZLS[id_РД]),dbУчДисц[[#This Row],[№]],0))</f>
        <v>0</v>
      </c>
      <c r="AL22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2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2" s="1383" t="str">
        <f ca="1">T(INDEX(CHOOSE(dbУчДисц[[#This Row],[код]],BAZZS[Факултет1],BAZLS[Факултет1],MAZZS[Факултет1],MAZLS[Факултет1]),dbУчДисц[[#This Row],[№]],0))</f>
        <v/>
      </c>
      <c r="AO22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2" s="932" t="s">
        <v>681</v>
      </c>
      <c r="AT22" s="956" t="s">
        <v>406</v>
      </c>
      <c r="AU22" s="951">
        <v>1</v>
      </c>
      <c r="AV22" s="982">
        <f ca="1">IF(dbУчПрактикиКР[[#This Row],[Семестър]]=OFFSET(dbУчПрактикиКР[[#This Row],[Семестър]],-1,0),N(OFFSET(dbУчПрактикиКР[[#This Row],[№]],-1,0))+1,1)</f>
        <v>10</v>
      </c>
      <c r="AW22" s="1027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2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2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2" s="1038" t="str">
        <f ca="1">T(INDEX(CHOOSE(dbУчПрактикиКР[[#This Row],[код]],BPZS[Вид],BPLS[Вид],MPZS[Вид],MPLS[Вид]),dbУчПрактикиКР[[#This Row],[№]],0))</f>
        <v/>
      </c>
      <c r="BA22" s="1039" t="str">
        <f ca="1">T(INDEX(CHOOSE(dbУчПрактикиКР[[#This Row],[код]],BPZS[Курс],BPLS[Курс],MPZS[Курс],MPLS[Курс]),dbУчПрактикиКР[[#This Row],[№]],0))</f>
        <v/>
      </c>
      <c r="BB22" s="1040" t="str">
        <f ca="1">T(INDEX(CHOOSE(dbУчПрактикиКР[[#This Row],[код]],BPZS[ФормаОб],BPLS[ФормаОб],MPZS[ФормаОб],MPLS[ФормаОб]),dbУчПрактикиКР[[#This Row],[№]],0))</f>
        <v/>
      </c>
      <c r="BC22" s="1298">
        <f ca="1">N(INDEX(CHOOSE(dbУчПрактикиКР[[#This Row],[код]],BPZS[Студенти],BPLS[Студенти],MPZS[Студенти],MPLS[Студенти]),dbУчПрактикиКР[[#This Row],[№]],0))</f>
        <v>0</v>
      </c>
      <c r="BD22" s="1041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2" s="1304">
        <f ca="1">N(INDEX(CHOOSE(dbУчПрактикиКР[[#This Row],[код]],BPZS[Група],BPLS[Група],MPZS[Група],MPLS[Група]),dbУчПрактикиКР[[#This Row],[№]],0))</f>
        <v>0</v>
      </c>
      <c r="BF22" s="1305">
        <f ca="1">N(INDEX(CHOOSE(dbУчПрактикиКР[[#This Row],[код]],BPZS[Ден],BPLS[Ден],MPZS[Ден],MPLS[Ден]),dbУчПрактикиКР[[#This Row],[№]],0))</f>
        <v>0</v>
      </c>
      <c r="BG22" s="1036" t="str">
        <f ca="1">T(INDEX(CHOOSE(dbУчПрактикиКР[[#This Row],[код]],BPZS[ФормаОц],BPLS[ФормаОц],MPZS[ФормаОц],MPLS[ФормаОц]),dbУчПрактикиКР[[#This Row],[№]],0))</f>
        <v/>
      </c>
      <c r="BH22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2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22" s="1316">
        <f ca="1">N(INDEX(CHOOSE(dbУчПрактикиКР[[#This Row],[код]],BPZS[ТО],BPLS[ТО],MPZS[ТО],MPLS[ТО]),dbУчПрактикиКР[[#This Row],[№]],0))</f>
        <v>0</v>
      </c>
      <c r="BK22" s="1317">
        <f ca="1">N(INDEX(CHOOSE(dbУчПрактикиКР[[#This Row],[код]],BPZS[КР],BPLS[КР],MPZS[КР],MPLS[КР]),dbУчПрактикиКР[[#This Row],[№]],0))</f>
        <v>0</v>
      </c>
      <c r="BL22" s="1319">
        <f ca="1">IFERROR(MATCH(dbУчПрактикиКР[[#This Row],[ВидПрактика]],T_Практики[Практика и курсова работа],0),0)</f>
        <v>0</v>
      </c>
      <c r="BM22" s="1345" t="str">
        <f ca="1">IF(dbУчПрактикиКР[[#This Row],[пВидПрактика]],INDEX(T_Практики[Студенти],dbУчПрактикиКР[[#This Row],[пВидПрактика]]),"-")</f>
        <v>-</v>
      </c>
      <c r="BN22" s="1345" t="str">
        <f ca="1">IF(dbУчПрактикиКР[[#This Row],[пВидПрактика]],INDEX(T_Практики[Група],dbУчПрактикиКР[[#This Row],[пВидПрактика]])*2,"-")</f>
        <v>-</v>
      </c>
      <c r="BO22" s="1346" t="str">
        <f ca="1">IF(dbУчПрактикиКР[[#This Row],[пВидПрактика]],INDEX(T_Практики[Ден],dbУчПрактикиКР[[#This Row],[пВидПрактика]])*4,"-")</f>
        <v>-</v>
      </c>
      <c r="BP22" s="1335">
        <f ca="1">IFERROR(AND(dbУчПрактикиКР[[#This Row],[ТО]]&lt;&gt;0,dbУчПрактикиКР[[#This Row],[ФормаОб]]=0)*1,0)</f>
        <v>0</v>
      </c>
      <c r="BQ22" s="1335">
        <f ca="1">IFERROR(AND(dbУчПрактикиКР[[#This Row],[Изпитани]]&lt;&gt;0,LEN(dbУчПрактикиКР[[#This Row],[Изпитващ]])=0)*1,0)</f>
        <v>0</v>
      </c>
      <c r="BR22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2" s="1335">
        <f ca="1">IFERROR(IF(dbУчПрактикиКР[[#This Row],[ФормаОб]]=list!$A$55,Coef!$B$10,Coef!$B$9),0)</f>
        <v>0.5</v>
      </c>
      <c r="BT22" s="1343">
        <v>5</v>
      </c>
      <c r="BU22" s="1319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2" s="1345">
        <f ca="1">dbУчПрактикиКР[[#This Row],[кИзпитващ]]*N(dbУчПрактикиКР[[#This Row],[Изпитани]])</f>
        <v>0</v>
      </c>
      <c r="BW22" s="1347">
        <f ca="1">N(dbУчПрактикиКР[[#This Row],[ТО]])*N(dbУчПрактикиКР[[#This Row],[кTO]])</f>
        <v>0</v>
      </c>
      <c r="BX22" s="1343">
        <f ca="1">N(dbУчПрактикиКР[[#This Row],[КР]])*dbУчПрактикиКР[[#This Row],[кКР]]</f>
        <v>0</v>
      </c>
      <c r="BY22" s="1335">
        <f ca="1">N(INDEX(CHOOSE(dbУчПрактикиКР[[#This Row],[код]],BPZS[id_РД],BPLS[id_РД],MPZS[id_РД],MPLS[id_РД]),dbУчПрактикиКР[[#This Row],[№]],0))</f>
        <v>0</v>
      </c>
      <c r="BZ22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2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2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2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2" s="964" t="s">
        <v>681</v>
      </c>
      <c r="CH22" s="968" t="s">
        <v>407</v>
      </c>
      <c r="CI22" s="972">
        <v>2</v>
      </c>
      <c r="CJ22" s="976">
        <f ca="1">IF(dbДипломиране[[#This Row],[Семестър]]=OFFSET(dbДипломиране[[#This Row],[Семестър]],-1,0),N(OFFSET(dbДипломиране[[#This Row],[№]],-1,0))+1,1)</f>
        <v>2</v>
      </c>
      <c r="CK22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2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2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22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2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2" s="1359">
        <f ca="1">dbДипломиране[[#This Row],[ДР]]*30</f>
        <v>0</v>
      </c>
      <c r="CQ22" s="1359">
        <f ca="1">dbДипломиране[[#This Row],[Рецензии]]*5</f>
        <v>0</v>
      </c>
      <c r="CR22" s="1365">
        <f ca="1">dbДипломиране[[#This Row],[И/ДИ/З]]*0.8</f>
        <v>0</v>
      </c>
      <c r="CV22" s="559"/>
      <c r="CW22" s="610"/>
      <c r="CX22" s="559"/>
      <c r="CY22" s="560"/>
      <c r="CZ22" s="559"/>
      <c r="DA22" s="561"/>
      <c r="DB22" s="562"/>
      <c r="DC22" s="563"/>
      <c r="DD22" s="564" t="s">
        <v>84</v>
      </c>
      <c r="DE22" s="570"/>
      <c r="DF22" s="571"/>
      <c r="DG22" s="563"/>
      <c r="DH22" s="627">
        <f>Подготовка_курс72[[#This Row],[пПразни]]*(LEN(Подготовка_курс72[[#This Row],[Дейност]])=0)</f>
        <v>0</v>
      </c>
      <c r="DI22" s="627">
        <f>Подготовка_курс72[[#This Row],[пПразни]]*(LEN(Подготовка_курс72[[#This Row],[Екип]])=0)</f>
        <v>0</v>
      </c>
      <c r="DJ22" s="627">
        <f>Подготовка_курс72[[#This Row],[пПразни]]*(LEN(Подготовка_курс72[[#This Row],[ОКС]])=0)</f>
        <v>0</v>
      </c>
      <c r="DK22" s="627">
        <f>Подготовка_курс72[[#This Row],[пПразни]]*(LEN(Подготовка_курс72[[#This Row],[ФормаОб]])=0)</f>
        <v>0</v>
      </c>
      <c r="DL22" s="627">
        <f>Подготовка_курс72[[#This Row],[пПразни]]*(LEN(Подготовка_курс72[[#This Row],[Семестър]])=0)</f>
        <v>0</v>
      </c>
      <c r="DM22" s="627">
        <f>Подготовка_курс72[[#This Row],[пПразни]]*(SUM(Подготовка_курс72[[#This Row],[Лекции]:[Упражнения]])=0)</f>
        <v>0</v>
      </c>
      <c r="DN22" s="627">
        <f>((12-COUNTBLANK(Подготовка_курс72[[#This Row],[Дейност]:[Семестър]]))&gt;1)*1</f>
        <v>0</v>
      </c>
      <c r="DO22" s="630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22" s="631">
        <f>IFERROR(SUM(Подготовка_курс72[[#This Row],[Лекции]:[Упражнения]])*Подготовка_курс72[[#This Row],[кДейност]]/Подготовка_курс72[[#This Row],[Екип]],0)</f>
        <v>0</v>
      </c>
      <c r="DQ22" s="619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22" s="621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</row>
    <row r="23" spans="5:146" ht="17.25" thickBot="1" x14ac:dyDescent="0.35">
      <c r="E23" s="915" t="s">
        <v>681</v>
      </c>
      <c r="F23" s="916" t="s">
        <v>406</v>
      </c>
      <c r="G23" s="846">
        <v>1</v>
      </c>
      <c r="H23" s="860">
        <f ca="1">IF(dbУчДисц[[#This Row],[Семестър]]=OFFSET(dbУчДисц[[#This Row],[Семестър]],-1,0),N(OFFSET(dbУчДисц[[#This Row],[№]],-1,0))+1,1)</f>
        <v>11</v>
      </c>
      <c r="I23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3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3" s="847" t="str">
        <f ca="1">T(INDEX(CHOOSE(dbУчДисц[[#This Row],[код]],BAZZS[Факултет],BAZLS[Факултет],MAZZS[Факултет],MAZLS[Факултет]),dbУчДисц[[#This Row],[№]],0))</f>
        <v/>
      </c>
      <c r="L23" s="878" t="str">
        <f ca="1">T(INDEX(CHOOSE(dbУчДисц[[#This Row],[код]],BAZZS[Вид],BAZLS[Вид],MAZZS[Вид],MAZLS[Вид]),dbУчДисц[[#This Row],[№]],0))</f>
        <v/>
      </c>
      <c r="M23" s="879" t="str">
        <f ca="1">T(INDEX(CHOOSE(dbУчДисц[[#This Row],[код]],BAZZS[Курс],BAZLS[Курс],MAZZS[Курс],MAZLS[Курс]),dbУчДисц[[#This Row],[№]],0))</f>
        <v/>
      </c>
      <c r="N23" s="237" t="str">
        <f ca="1">T(INDEX(CHOOSE(dbУчДисц[[#This Row],[код]],BAZZS[ФормаОб],BAZLS[ФормаОб],MAZZS[ФормаОб],MAZLS[ФормаОб]),dbУчДисц[[#This Row],[№]],0))</f>
        <v/>
      </c>
      <c r="O23" s="1249" cm="1">
        <f t="array" aca="1" ref="O23" ca="1">INDEX(CHOOSE(dbУчДисц[[#This Row],[код]],BAZZS[Студенти],BAZLS[Студенти],MAZZS[Студенти],MAZLS[Студенти]),dbУчДисц[[#This Row],[№]],0)</f>
        <v>0</v>
      </c>
      <c r="P23" s="1250" cm="1">
        <f t="array" aca="1" ref="P23" ca="1">INDEX(CHOOSE(dbУчДисц[[#This Row],[код]],BAZZS[Лекции],BAZLS[Лекции],MAZZS[Лекции],MAZLS[Лекции]),dbУчДисц[[#This Row],[№]],0)</f>
        <v>0</v>
      </c>
      <c r="Q23" s="1250" cm="1">
        <f t="array" aca="1" ref="Q23" ca="1">INDEX(CHOOSE(dbУчДисц[[#This Row],[код]],BAZZS[Упражнения],BAZLS[Упражнения],MAZZS[Упражнения],MAZLS[Упражнения]),dbУчДисц[[#This Row],[№]],0)</f>
        <v>0</v>
      </c>
      <c r="R23" s="880" t="str">
        <f ca="1">T(INDEX(CHOOSE(dbУчДисц[[#This Row],[код]],BAZZS[Език],BAZLS[Език],MAZZS[Език],MAZLS[Език]),dbУчДисц[[#This Row],[№]],0))</f>
        <v>БЕ</v>
      </c>
      <c r="S23" s="237" t="str">
        <f ca="1">T(INDEX(CHOOSE(dbУчДисц[[#This Row],[код]],BAZZS[ФормаОц],BAZLS[ФормаОц],MAZZS[ФормаОц],MAZLS[ФормаОц]),dbУчДисц[[#This Row],[№]],0))</f>
        <v/>
      </c>
      <c r="T23" s="240" t="str">
        <f ca="1">T(INDEX(CHOOSE(dbУчДисц[[#This Row],[код]],BAZZS[Изпитващ],BAZLS[Изпитващ],MAZZS[Изпитващ],MAZLS[Изпитващ]),dbУчДисц[[#This Row],[№]],0))</f>
        <v/>
      </c>
      <c r="U23" s="1250" cm="1">
        <f t="array" aca="1" ref="U23" ca="1">INDEX(CHOOSE(dbУчДисц[[#This Row],[код]],BAZZS[Изпитани],BAZLS[Изпитани],MAZZS[Изпитани],MAZLS[Изпитани]),dbУчДисц[[#This Row],[№]],0)</f>
        <v>0</v>
      </c>
      <c r="V23" s="1268" cm="1">
        <f t="array" aca="1" ref="V23" ca="1">INDEX(CHOOSE(dbУчДисц[[#This Row],[код]],BAZZS[ТО],BAZLS[ТО],MAZZS[ТО],MAZLS[ТО]),dbУчДисц[[#This Row],[№]],0)</f>
        <v>0</v>
      </c>
      <c r="W23" s="1268" cm="1">
        <f t="array" aca="1" ref="W23" ca="1">INDEX(CHOOSE(dbУчДисц[[#This Row],[код]],BAZZS[КР],BAZLS[КР],MAZZS[КР],MAZLS[КР]),dbУчДисц[[#This Row],[№]],0)</f>
        <v>0</v>
      </c>
      <c r="X2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3" s="1270">
        <f ca="1">IF(AND(dbУчДисц[[#This Row],[Изпитани]]&lt;&gt;0,dbУчДисц[[#This Row],[Изпитващ]]=0),1,0)</f>
        <v>0</v>
      </c>
      <c r="AA23" s="1271">
        <f ca="1">IFERROR(VLOOKUP(dbУчДисц[[#This Row],[Език]],Коефициент_Eзик[],2,0),0)</f>
        <v>1</v>
      </c>
      <c r="AB23" s="1272" cm="1">
        <f t="array" aca="1" ref="AB2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3" s="1273">
        <v>0.5</v>
      </c>
      <c r="AE23" s="1274">
        <v>5</v>
      </c>
      <c r="AF23" s="1271">
        <f ca="1">N(dbУчДисц[[#This Row],[Лекции]])*dbУчДисц[[#This Row],[кЕзик]]*dbУчДисц[[#This Row],[кСтуденти]]*кЛекции</f>
        <v>0</v>
      </c>
      <c r="AG23" s="1272">
        <f ca="1">N(dbУчДисц[[#This Row],[Упражнения]])*dbУчДисц[[#This Row],[кЕзик]]*dbУчДисц[[#This Row],[кСтуденти]]*кУпражнение</f>
        <v>0</v>
      </c>
      <c r="AH23" s="1272">
        <f ca="1">N(dbУчДисц[[#This Row],[Изпитани]])*dbУчДисц[[#This Row],[кИзпитващ]]</f>
        <v>0</v>
      </c>
      <c r="AI23" s="1273">
        <f ca="1">dbУчДисц[[#This Row],[ТО]]*dbУчДисц[[#This Row],[кTO]]</f>
        <v>0</v>
      </c>
      <c r="AJ23" s="1266">
        <f ca="1">dbУчДисц[[#This Row],[КР]]*dbУчДисц[[#This Row],[кКР]]</f>
        <v>0</v>
      </c>
      <c r="AK23" s="1275">
        <f ca="1">N(INDEX(CHOOSE(dbУчДисц[[#This Row],[код]],BAZZS[id_РД],BAZLS[id_РД],MAZZS[id_РД],MAZLS[id_РД]),dbУчДисц[[#This Row],[№]],0))</f>
        <v>0</v>
      </c>
      <c r="AL2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3" s="1383" t="str">
        <f ca="1">T(INDEX(CHOOSE(dbУчДисц[[#This Row],[код]],BAZZS[Факултет1],BAZLS[Факултет1],MAZZS[Факултет1],MAZLS[Факултет1]),dbУчДисц[[#This Row],[№]],0))</f>
        <v/>
      </c>
      <c r="AO2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3" s="933" t="s">
        <v>681</v>
      </c>
      <c r="AT23" s="957" t="s">
        <v>407</v>
      </c>
      <c r="AU23" s="952">
        <v>2</v>
      </c>
      <c r="AV23" s="980">
        <f ca="1">IF(dbУчПрактикиКР[[#This Row],[Семестър]]=OFFSET(dbУчПрактикиКР[[#This Row],[Семестър]],-1,0),N(OFFSET(dbУчПрактикиКР[[#This Row],[№]],-1,0))+1,1)</f>
        <v>1</v>
      </c>
      <c r="AW23" s="845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3" s="1028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3" s="891" t="str">
        <f ca="1">T(INDEX(CHOOSE(dbУчПрактикиКР[[#This Row],[код]],BPZS[Факултет],BPLS[Факултет],MPZS[Факултет],MPLS[Факултет]),dbУчПрактикиКР[[#This Row],[№]],0))</f>
        <v/>
      </c>
      <c r="AZ23" s="959" t="str">
        <f ca="1">T(INDEX(CHOOSE(dbУчПрактикиКР[[#This Row],[код]],BPZS[Вид],BPLS[Вид],MPZS[Вид],MPLS[Вид]),dbУчПрактикиКР[[#This Row],[№]],0))</f>
        <v/>
      </c>
      <c r="BA23" s="946" t="str">
        <f ca="1">T(INDEX(CHOOSE(dbУчПрактикиКР[[#This Row],[код]],BPZS[Курс],BPLS[Курс],MPZS[Курс],MPLS[Курс]),dbУчПрактикиКР[[#This Row],[№]],0))</f>
        <v/>
      </c>
      <c r="BB23" s="1030" t="str">
        <f ca="1">T(INDEX(CHOOSE(dbУчПрактикиКР[[#This Row],[код]],BPZS[ФормаОб],BPLS[ФормаОб],MPZS[ФормаОб],MPLS[ФормаОб]),dbУчПрактикиКР[[#This Row],[№]],0))</f>
        <v/>
      </c>
      <c r="BC23" s="1296">
        <f ca="1">N(INDEX(CHOOSE(dbУчПрактикиКР[[#This Row],[код]],BPZS[Студенти],BPLS[Студенти],MPZS[Студенти],MPLS[Студенти]),dbУчПрактикиКР[[#This Row],[№]],0))</f>
        <v>0</v>
      </c>
      <c r="BD23" s="1042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3" s="1306">
        <f ca="1">N(INDEX(CHOOSE(dbУчПрактикиКР[[#This Row],[код]],BPZS[Група],BPLS[Група],MPZS[Група],MPLS[Група]),dbУчПрактикиКР[[#This Row],[№]],0))</f>
        <v>0</v>
      </c>
      <c r="BF23" s="1307">
        <f ca="1">N(INDEX(CHOOSE(dbУчПрактикиКР[[#This Row],[код]],BPZS[Ден],BPLS[Ден],MPZS[Ден],MPLS[Ден]),dbУчПрактикиКР[[#This Row],[№]],0))</f>
        <v>0</v>
      </c>
      <c r="BG23" s="1043" t="str">
        <f ca="1">T(INDEX(CHOOSE(dbУчПрактикиКР[[#This Row],[код]],BPZS[ФормаОц],BPLS[ФормаОц],MPZS[ФормаОц],MPLS[ФормаОц]),dbУчПрактикиКР[[#This Row],[№]],0))</f>
        <v/>
      </c>
      <c r="BH23" s="1044" t="str">
        <f ca="1">T(INDEX(CHOOSE(dbУчПрактикиКР[[#This Row],[код]],BPZS[Изпитващ],BPLS[Изпитващ],MPZS[Изпитващ],MPLS[Изпитващ]),dbУчПрактикиКР[[#This Row],[№]],0))</f>
        <v/>
      </c>
      <c r="BI23" s="1320">
        <f ca="1">N(INDEX(CHOOSE(dbУчПрактикиКР[[#This Row],[код]],BPZS[Изпитани],BPLS[Изпитани],MPZS[Изпитани],MPLS[Изпитани]),dbУчПрактикиКР[[#This Row],[№]],0))</f>
        <v>0</v>
      </c>
      <c r="BJ23" s="1321">
        <f ca="1">N(INDEX(CHOOSE(dbУчПрактикиКР[[#This Row],[код]],BPZS[ТО],BPLS[ТО],MPZS[ТО],MPLS[ТО]),dbУчПрактикиКР[[#This Row],[№]],0))</f>
        <v>0</v>
      </c>
      <c r="BK23" s="1322">
        <f ca="1">N(INDEX(CHOOSE(dbУчПрактикиКР[[#This Row],[код]],BPZS[КР],BPLS[КР],MPZS[КР],MPLS[КР]),dbУчПрактикиКР[[#This Row],[№]],0))</f>
        <v>0</v>
      </c>
      <c r="BL23" s="1314">
        <f ca="1">IFERROR(MATCH(dbУчПрактикиКР[[#This Row],[ВидПрактика]],T_Практики[Практика и курсова работа],0),0)</f>
        <v>0</v>
      </c>
      <c r="BM23" s="1333" t="str">
        <f ca="1">IF(dbУчПрактикиКР[[#This Row],[пВидПрактика]],INDEX(T_Практики[Студенти],dbУчПрактикиКР[[#This Row],[пВидПрактика]]),"-")</f>
        <v>-</v>
      </c>
      <c r="BN23" s="1333" t="str">
        <f ca="1">IF(dbУчПрактикиКР[[#This Row],[пВидПрактика]],INDEX(T_Практики[Група],dbУчПрактикиКР[[#This Row],[пВидПрактика]])*2,"-")</f>
        <v>-</v>
      </c>
      <c r="BO23" s="1334" t="str">
        <f ca="1">IF(dbУчПрактикиКР[[#This Row],[пВидПрактика]],INDEX(T_Практики[Ден],dbУчПрактикиКР[[#This Row],[пВидПрактика]])*4,"-")</f>
        <v>-</v>
      </c>
      <c r="BP23" s="1337">
        <f ca="1">IFERROR(AND(dbУчПрактикиКР[[#This Row],[ТО]]&lt;&gt;0,dbУчПрактикиКР[[#This Row],[ФормаОб]]=0)*1,0)</f>
        <v>0</v>
      </c>
      <c r="BQ23" s="1337">
        <f ca="1">IFERROR(AND(dbУчПрактикиКР[[#This Row],[Изпитани]]&lt;&gt;0,LEN(dbУчПрактикиКР[[#This Row],[Изпитващ]])=0)*1,0)</f>
        <v>0</v>
      </c>
      <c r="BR23" s="1336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3" s="1337">
        <f ca="1">IFERROR(IF(dbУчПрактикиКР[[#This Row],[ФормаОб]]=list!$A$55,Coef!$B$10,Coef!$B$9),0)</f>
        <v>0.5</v>
      </c>
      <c r="BT23" s="1338">
        <v>5</v>
      </c>
      <c r="BU23" s="1336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3" s="1337">
        <f ca="1">dbУчПрактикиКР[[#This Row],[кИзпитващ]]*N(dbУчПрактикиКР[[#This Row],[Изпитани]])</f>
        <v>0</v>
      </c>
      <c r="BW23" s="1337">
        <f ca="1">N(dbУчПрактикиКР[[#This Row],[ТО]])*N(dbУчПрактикиКР[[#This Row],[кTO]])</f>
        <v>0</v>
      </c>
      <c r="BX23" s="1338">
        <f ca="1">N(dbУчПрактикиКР[[#This Row],[КР]])*dbУчПрактикиКР[[#This Row],[кКР]]</f>
        <v>0</v>
      </c>
      <c r="BY23" s="1336">
        <f ca="1">N(INDEX(CHOOSE(dbУчПрактикиКР[[#This Row],[код]],BPZS[id_РД],BPLS[id_РД],MPZS[id_РД],MPLS[id_РД]),dbУчПрактикиКР[[#This Row],[№]],0))</f>
        <v>0</v>
      </c>
      <c r="BZ23" s="1376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3" s="1376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3" s="1376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3" s="1377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3" s="964" t="s">
        <v>681</v>
      </c>
      <c r="CH23" s="968" t="s">
        <v>407</v>
      </c>
      <c r="CI23" s="972">
        <v>2</v>
      </c>
      <c r="CJ23" s="978">
        <f ca="1">IF(dbДипломиране[[#This Row],[Семестър]]=OFFSET(dbДипломиране[[#This Row],[Семестър]],-1,0),N(OFFSET(dbДипломиране[[#This Row],[№]],-1,0))+1,1)</f>
        <v>3</v>
      </c>
      <c r="CK23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3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3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23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3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3" s="1359">
        <f ca="1">dbДипломиране[[#This Row],[ДР]]*30</f>
        <v>0</v>
      </c>
      <c r="CQ23" s="1359">
        <f ca="1">dbДипломиране[[#This Row],[Рецензии]]*5</f>
        <v>0</v>
      </c>
      <c r="CR23" s="1365">
        <f ca="1">dbДипломиране[[#This Row],[И/ДИ/З]]*0.8</f>
        <v>0</v>
      </c>
      <c r="CV23" s="559"/>
      <c r="CW23" s="618"/>
      <c r="CX23" s="559"/>
      <c r="CY23" s="565"/>
      <c r="CZ23" s="559"/>
      <c r="DA23" s="566"/>
      <c r="DB23" s="567"/>
      <c r="DC23" s="568"/>
      <c r="DD23" s="569" t="s">
        <v>84</v>
      </c>
      <c r="DE23" s="572"/>
      <c r="DF23" s="573"/>
      <c r="DG23" s="568"/>
      <c r="DH23" s="627">
        <f>Подготовка_курс72[[#This Row],[пПразни]]*(LEN(Подготовка_курс72[[#This Row],[Дейност]])=0)</f>
        <v>0</v>
      </c>
      <c r="DI23" s="627">
        <f>Подготовка_курс72[[#This Row],[пПразни]]*(LEN(Подготовка_курс72[[#This Row],[Екип]])=0)</f>
        <v>0</v>
      </c>
      <c r="DJ23" s="627">
        <f>Подготовка_курс72[[#This Row],[пПразни]]*(LEN(Подготовка_курс72[[#This Row],[ОКС]])=0)</f>
        <v>0</v>
      </c>
      <c r="DK23" s="627">
        <f>Подготовка_курс72[[#This Row],[пПразни]]*(LEN(Подготовка_курс72[[#This Row],[ФормаОб]])=0)</f>
        <v>0</v>
      </c>
      <c r="DL23" s="627">
        <f>Подготовка_курс72[[#This Row],[пПразни]]*(LEN(Подготовка_курс72[[#This Row],[Семестър]])=0)</f>
        <v>0</v>
      </c>
      <c r="DM23" s="627">
        <f>Подготовка_курс72[[#This Row],[пПразни]]*(SUM(Подготовка_курс72[[#This Row],[Лекции]:[Упражнения]])=0)</f>
        <v>0</v>
      </c>
      <c r="DN23" s="627">
        <f>((12-COUNTBLANK(Подготовка_курс72[[#This Row],[Дейност]:[Семестър]]))&gt;1)*1</f>
        <v>0</v>
      </c>
      <c r="DO23" s="632">
        <f>IFERROR(VLOOKUP(Подготовка_курс72[[#This Row],[Дейност]]&amp;"|"&amp;Подготовка_курс72[[#This Row],[ФормаОб]],T_ПодгКурс[[код]:[Коефициент]],2,0)*IF(Подготовка_курс72[[#This Row],[ОКС]]="няколко",0.5,1),0)</f>
        <v>0</v>
      </c>
      <c r="DP23" s="633">
        <f>IFERROR(SUM(Подготовка_курс72[[#This Row],[Лекции]:[Упражнения]])*Подготовка_курс72[[#This Row],[кДейност]]/Подготовка_курс72[[#This Row],[Екип]],0)</f>
        <v>0</v>
      </c>
      <c r="DQ23" s="620" t="str">
        <f>IF(OR(Подготовка_курс72[[#This Row],[ОКС]]="няколко",Подготовка_курс72[[#This Row],[ОКС]]="бакалавър"),Подготовка_курс72[[#This Row],[Дейност]]&amp;"|Б|"&amp;Подготовка_курс72[[#This Row],[Семестър]],"")</f>
        <v/>
      </c>
      <c r="DR23" s="622" t="str">
        <f>IF(OR(Подготовка_курс72[[#This Row],[ОКС]]="няколко",Подготовка_курс72[[#This Row],[ОКС]]="магистър"),Подготовка_курс72[[#This Row],[Дейност]]&amp;"|М|"&amp;Подготовка_курс72[[#This Row],[Семестър]],"")</f>
        <v/>
      </c>
    </row>
    <row r="24" spans="5:146" ht="16.5" x14ac:dyDescent="0.3">
      <c r="E24" s="915" t="s">
        <v>681</v>
      </c>
      <c r="F24" s="916" t="s">
        <v>406</v>
      </c>
      <c r="G24" s="846">
        <v>1</v>
      </c>
      <c r="H24" s="860">
        <f ca="1">IF(dbУчДисц[[#This Row],[Семестър]]=OFFSET(dbУчДисц[[#This Row],[Семестър]],-1,0),N(OFFSET(dbУчДисц[[#This Row],[№]],-1,0))+1,1)</f>
        <v>12</v>
      </c>
      <c r="I24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4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4" s="847" t="str">
        <f ca="1">T(INDEX(CHOOSE(dbУчДисц[[#This Row],[код]],BAZZS[Факултет],BAZLS[Факултет],MAZZS[Факултет],MAZLS[Факултет]),dbУчДисц[[#This Row],[№]],0))</f>
        <v/>
      </c>
      <c r="L24" s="878" t="str">
        <f ca="1">T(INDEX(CHOOSE(dbУчДисц[[#This Row],[код]],BAZZS[Вид],BAZLS[Вид],MAZZS[Вид],MAZLS[Вид]),dbУчДисц[[#This Row],[№]],0))</f>
        <v/>
      </c>
      <c r="M24" s="879" t="str">
        <f ca="1">T(INDEX(CHOOSE(dbУчДисц[[#This Row],[код]],BAZZS[Курс],BAZLS[Курс],MAZZS[Курс],MAZLS[Курс]),dbУчДисц[[#This Row],[№]],0))</f>
        <v/>
      </c>
      <c r="N24" s="237" t="str">
        <f ca="1">T(INDEX(CHOOSE(dbУчДисц[[#This Row],[код]],BAZZS[ФормаОб],BAZLS[ФормаОб],MAZZS[ФормаОб],MAZLS[ФормаОб]),dbУчДисц[[#This Row],[№]],0))</f>
        <v/>
      </c>
      <c r="O24" s="1249" cm="1">
        <f t="array" aca="1" ref="O24" ca="1">INDEX(CHOOSE(dbУчДисц[[#This Row],[код]],BAZZS[Студенти],BAZLS[Студенти],MAZZS[Студенти],MAZLS[Студенти]),dbУчДисц[[#This Row],[№]],0)</f>
        <v>0</v>
      </c>
      <c r="P24" s="1250" cm="1">
        <f t="array" aca="1" ref="P24" ca="1">INDEX(CHOOSE(dbУчДисц[[#This Row],[код]],BAZZS[Лекции],BAZLS[Лекции],MAZZS[Лекции],MAZLS[Лекции]),dbУчДисц[[#This Row],[№]],0)</f>
        <v>0</v>
      </c>
      <c r="Q24" s="1250" cm="1">
        <f t="array" aca="1" ref="Q24" ca="1">INDEX(CHOOSE(dbУчДисц[[#This Row],[код]],BAZZS[Упражнения],BAZLS[Упражнения],MAZZS[Упражнения],MAZLS[Упражнения]),dbУчДисц[[#This Row],[№]],0)</f>
        <v>0</v>
      </c>
      <c r="R24" s="880" t="str">
        <f ca="1">T(INDEX(CHOOSE(dbУчДисц[[#This Row],[код]],BAZZS[Език],BAZLS[Език],MAZZS[Език],MAZLS[Език]),dbУчДисц[[#This Row],[№]],0))</f>
        <v>БЕ</v>
      </c>
      <c r="S24" s="237" t="str">
        <f ca="1">T(INDEX(CHOOSE(dbУчДисц[[#This Row],[код]],BAZZS[ФормаОц],BAZLS[ФормаОц],MAZZS[ФормаОц],MAZLS[ФормаОц]),dbУчДисц[[#This Row],[№]],0))</f>
        <v/>
      </c>
      <c r="T24" s="244" t="str">
        <f ca="1">T(INDEX(CHOOSE(dbУчДисц[[#This Row],[код]],BAZZS[Изпитващ],BAZLS[Изпитващ],MAZZS[Изпитващ],MAZLS[Изпитващ]),dbУчДисц[[#This Row],[№]],0))</f>
        <v/>
      </c>
      <c r="U24" s="1250" cm="1">
        <f t="array" aca="1" ref="U24" ca="1">INDEX(CHOOSE(dbУчДисц[[#This Row],[код]],BAZZS[Изпитани],BAZLS[Изпитани],MAZZS[Изпитани],MAZLS[Изпитани]),dbУчДисц[[#This Row],[№]],0)</f>
        <v>0</v>
      </c>
      <c r="V24" s="1268" cm="1">
        <f t="array" aca="1" ref="V24" ca="1">INDEX(CHOOSE(dbУчДисц[[#This Row],[код]],BAZZS[ТО],BAZLS[ТО],MAZZS[ТО],MAZLS[ТО]),dbУчДисц[[#This Row],[№]],0)</f>
        <v>0</v>
      </c>
      <c r="W24" s="1268" cm="1">
        <f t="array" aca="1" ref="W24" ca="1">INDEX(CHOOSE(dbУчДисц[[#This Row],[код]],BAZZS[КР],BAZLS[КР],MAZZS[КР],MAZLS[КР]),dbУчДисц[[#This Row],[№]],0)</f>
        <v>0</v>
      </c>
      <c r="X2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4" s="1270">
        <f ca="1">IF(AND(dbУчДисц[[#This Row],[Изпитани]]&lt;&gt;0,dbУчДисц[[#This Row],[Изпитващ]]=0),1,0)</f>
        <v>0</v>
      </c>
      <c r="AA24" s="1271">
        <f ca="1">IFERROR(VLOOKUP(dbУчДисц[[#This Row],[Език]],Коефициент_Eзик[],2,0),0)</f>
        <v>1</v>
      </c>
      <c r="AB24" s="1272" cm="1">
        <f t="array" aca="1" ref="AB2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4" s="1273">
        <v>0.5</v>
      </c>
      <c r="AE24" s="1274">
        <v>5</v>
      </c>
      <c r="AF24" s="1271">
        <f ca="1">N(dbУчДисц[[#This Row],[Лекции]])*dbУчДисц[[#This Row],[кЕзик]]*dbУчДисц[[#This Row],[кСтуденти]]*кЛекции</f>
        <v>0</v>
      </c>
      <c r="AG24" s="1272">
        <f ca="1">N(dbУчДисц[[#This Row],[Упражнения]])*dbУчДисц[[#This Row],[кЕзик]]*dbУчДисц[[#This Row],[кСтуденти]]*кУпражнение</f>
        <v>0</v>
      </c>
      <c r="AH24" s="1272">
        <f ca="1">N(dbУчДисц[[#This Row],[Изпитани]])*dbУчДисц[[#This Row],[кИзпитващ]]</f>
        <v>0</v>
      </c>
      <c r="AI24" s="1273">
        <f ca="1">dbУчДисц[[#This Row],[ТО]]*dbУчДисц[[#This Row],[кTO]]</f>
        <v>0</v>
      </c>
      <c r="AJ24" s="1266">
        <f ca="1">dbУчДисц[[#This Row],[КР]]*dbУчДисц[[#This Row],[кКР]]</f>
        <v>0</v>
      </c>
      <c r="AK24" s="1275">
        <f ca="1">N(INDEX(CHOOSE(dbУчДисц[[#This Row],[код]],BAZZS[id_РД],BAZLS[id_РД],MAZZS[id_РД],MAZLS[id_РД]),dbУчДисц[[#This Row],[№]],0))</f>
        <v>0</v>
      </c>
      <c r="AL2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4" s="1383" t="str">
        <f ca="1">T(INDEX(CHOOSE(dbУчДисц[[#This Row],[код]],BAZZS[Факултет1],BAZLS[Факултет1],MAZZS[Факултет1],MAZLS[Факултет1]),dbУчДисц[[#This Row],[№]],0))</f>
        <v/>
      </c>
      <c r="AO2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4" s="931" t="s">
        <v>681</v>
      </c>
      <c r="AT24" s="955" t="s">
        <v>407</v>
      </c>
      <c r="AU24" s="950">
        <v>2</v>
      </c>
      <c r="AV24" s="981">
        <f ca="1">IF(dbУчПрактикиКР[[#This Row],[Семестър]]=OFFSET(dbУчПрактикиКР[[#This Row],[Семестър]],-1,0),N(OFFSET(dbУчПрактикиКР[[#This Row],[№]],-1,0))+1,1)</f>
        <v>2</v>
      </c>
      <c r="AW24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4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4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4" s="943" t="str">
        <f ca="1">T(INDEX(CHOOSE(dbУчПрактикиКР[[#This Row],[код]],BPZS[Вид],BPLS[Вид],MPZS[Вид],MPLS[Вид]),dbУчПрактикиКР[[#This Row],[№]],0))</f>
        <v/>
      </c>
      <c r="BA24" s="944" t="str">
        <f ca="1">T(INDEX(CHOOSE(dbУчПрактикиКР[[#This Row],[код]],BPZS[Курс],BPLS[Курс],MPZS[Курс],MPLS[Курс]),dbУчПрактикиКР[[#This Row],[№]],0))</f>
        <v/>
      </c>
      <c r="BB24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4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4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4" s="1303">
        <f ca="1">N(INDEX(CHOOSE(dbУчПрактикиКР[[#This Row],[код]],BPZS[Група],BPLS[Група],MPZS[Група],MPLS[Група]),dbУчПрактикиКР[[#This Row],[№]],0))</f>
        <v>0</v>
      </c>
      <c r="BF24" s="1308">
        <f ca="1">N(INDEX(CHOOSE(dbУчПрактикиКР[[#This Row],[код]],BPZS[Ден],BPLS[Ден],MPZS[Ден],MPLS[Ден]),dbУчПрактикиКР[[#This Row],[№]],0))</f>
        <v>0</v>
      </c>
      <c r="BG24" s="1046" t="str">
        <f ca="1">T(INDEX(CHOOSE(dbУчПрактикиКР[[#This Row],[код]],BPZS[ФормаОц],BPLS[ФормаОц],MPZS[ФормаОц],MPLS[ФормаОц]),dbУчПрактикиКР[[#This Row],[№]],0))</f>
        <v/>
      </c>
      <c r="BH24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4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24" s="1324">
        <f ca="1">N(INDEX(CHOOSE(dbУчПрактикиКР[[#This Row],[код]],BPZS[ТО],BPLS[ТО],MPZS[ТО],MPLS[ТО]),dbУчПрактикиКР[[#This Row],[№]],0))</f>
        <v>0</v>
      </c>
      <c r="BK24" s="1325">
        <f ca="1">N(INDEX(CHOOSE(dbУчПрактикиКР[[#This Row],[код]],BPZS[КР],BPLS[КР],MPZS[КР],MPLS[КР]),dbУчПрактикиКР[[#This Row],[№]],0))</f>
        <v>0</v>
      </c>
      <c r="BL24" s="1318">
        <f ca="1">IFERROR(MATCH(dbУчПрактикиКР[[#This Row],[ВидПрактика]],T_Практики[Практика и курсова работа],0),0)</f>
        <v>0</v>
      </c>
      <c r="BM24" s="1340" t="str">
        <f ca="1">IF(dbУчПрактикиКР[[#This Row],[пВидПрактика]],INDEX(T_Практики[Студенти],dbУчПрактикиКР[[#This Row],[пВидПрактика]]),"-")</f>
        <v>-</v>
      </c>
      <c r="BN24" s="1340" t="str">
        <f ca="1">IF(dbУчПрактикиКР[[#This Row],[пВидПрактика]],INDEX(T_Практики[Група],dbУчПрактикиКР[[#This Row],[пВидПрактика]])*2,"-")</f>
        <v>-</v>
      </c>
      <c r="BO24" s="1341" t="str">
        <f ca="1">IF(dbУчПрактикиКР[[#This Row],[пВидПрактика]],INDEX(T_Практики[Ден],dbУчПрактикиКР[[#This Row],[пВидПрактика]])*4,"-")</f>
        <v>-</v>
      </c>
      <c r="BP24" s="1335">
        <f ca="1">IFERROR(AND(dbУчПрактикиКР[[#This Row],[ТО]]&lt;&gt;0,dbУчПрактикиКР[[#This Row],[ФормаОб]]=0)*1,0)</f>
        <v>0</v>
      </c>
      <c r="BQ24" s="1335">
        <f ca="1">IFERROR(AND(dbУчПрактикиКР[[#This Row],[Изпитани]]&lt;&gt;0,LEN(dbУчПрактикиКР[[#This Row],[Изпитващ]])=0)*1,0)</f>
        <v>0</v>
      </c>
      <c r="BR24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4" s="1335">
        <f ca="1">IFERROR(IF(dbУчПрактикиКР[[#This Row],[ФормаОб]]=list!$A$55,Coef!$B$10,Coef!$B$9),0)</f>
        <v>0.5</v>
      </c>
      <c r="BT24" s="1343">
        <v>5</v>
      </c>
      <c r="BU24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4" s="1335">
        <f ca="1">dbУчПрактикиКР[[#This Row],[кИзпитващ]]*N(dbУчПрактикиКР[[#This Row],[Изпитани]])</f>
        <v>0</v>
      </c>
      <c r="BW24" s="1335">
        <f ca="1">N(dbУчПрактикиКР[[#This Row],[ТО]])*N(dbУчПрактикиКР[[#This Row],[кTO]])</f>
        <v>0</v>
      </c>
      <c r="BX24" s="1343">
        <f ca="1">N(dbУчПрактикиКР[[#This Row],[КР]])*dbУчПрактикиКР[[#This Row],[кКР]]</f>
        <v>0</v>
      </c>
      <c r="BY24" s="1342">
        <f ca="1">N(INDEX(CHOOSE(dbУчПрактикиКР[[#This Row],[код]],BPZS[id_РД],BPLS[id_РД],MPZS[id_РД],MPLS[id_РД]),dbУчПрактикиКР[[#This Row],[№]],0))</f>
        <v>0</v>
      </c>
      <c r="BZ24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4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4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4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4" s="964" t="s">
        <v>681</v>
      </c>
      <c r="CH24" s="968" t="s">
        <v>407</v>
      </c>
      <c r="CI24" s="972">
        <v>2</v>
      </c>
      <c r="CJ24" s="978">
        <f ca="1">IF(dbДипломиране[[#This Row],[Семестър]]=OFFSET(dbДипломиране[[#This Row],[Семестър]],-1,0),N(OFFSET(dbДипломиране[[#This Row],[№]],-1,0))+1,1)</f>
        <v>4</v>
      </c>
      <c r="CK24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4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4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24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4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4" s="1359">
        <f ca="1">dbДипломиране[[#This Row],[ДР]]*30</f>
        <v>0</v>
      </c>
      <c r="CQ24" s="1359">
        <f ca="1">dbДипломиране[[#This Row],[Рецензии]]*5</f>
        <v>0</v>
      </c>
      <c r="CR24" s="1365">
        <f ca="1">dbДипломиране[[#This Row],[И/ДИ/З]]*0.8</f>
        <v>0</v>
      </c>
    </row>
    <row r="25" spans="5:146" ht="16.5" x14ac:dyDescent="0.3">
      <c r="E25" s="915" t="s">
        <v>681</v>
      </c>
      <c r="F25" s="916" t="s">
        <v>406</v>
      </c>
      <c r="G25" s="846">
        <v>1</v>
      </c>
      <c r="H25" s="860">
        <f ca="1">IF(dbУчДисц[[#This Row],[Семестър]]=OFFSET(dbУчДисц[[#This Row],[Семестър]],-1,0),N(OFFSET(dbУчДисц[[#This Row],[№]],-1,0))+1,1)</f>
        <v>13</v>
      </c>
      <c r="I25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5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5" s="847" t="str">
        <f ca="1">T(INDEX(CHOOSE(dbУчДисц[[#This Row],[код]],BAZZS[Факултет],BAZLS[Факултет],MAZZS[Факултет],MAZLS[Факултет]),dbУчДисц[[#This Row],[№]],0))</f>
        <v/>
      </c>
      <c r="L25" s="878" t="str">
        <f ca="1">T(INDEX(CHOOSE(dbУчДисц[[#This Row],[код]],BAZZS[Вид],BAZLS[Вид],MAZZS[Вид],MAZLS[Вид]),dbУчДисц[[#This Row],[№]],0))</f>
        <v/>
      </c>
      <c r="M25" s="879" t="str">
        <f ca="1">T(INDEX(CHOOSE(dbУчДисц[[#This Row],[код]],BAZZS[Курс],BAZLS[Курс],MAZZS[Курс],MAZLS[Курс]),dbУчДисц[[#This Row],[№]],0))</f>
        <v/>
      </c>
      <c r="N25" s="237" t="str">
        <f ca="1">T(INDEX(CHOOSE(dbУчДисц[[#This Row],[код]],BAZZS[ФормаОб],BAZLS[ФормаОб],MAZZS[ФормаОб],MAZLS[ФормаОб]),dbУчДисц[[#This Row],[№]],0))</f>
        <v/>
      </c>
      <c r="O25" s="1249" cm="1">
        <f t="array" aca="1" ref="O25" ca="1">INDEX(CHOOSE(dbУчДисц[[#This Row],[код]],BAZZS[Студенти],BAZLS[Студенти],MAZZS[Студенти],MAZLS[Студенти]),dbУчДисц[[#This Row],[№]],0)</f>
        <v>0</v>
      </c>
      <c r="P25" s="1250" cm="1">
        <f t="array" aca="1" ref="P25" ca="1">INDEX(CHOOSE(dbУчДисц[[#This Row],[код]],BAZZS[Лекции],BAZLS[Лекции],MAZZS[Лекции],MAZLS[Лекции]),dbУчДисц[[#This Row],[№]],0)</f>
        <v>0</v>
      </c>
      <c r="Q25" s="1250" cm="1">
        <f t="array" aca="1" ref="Q25" ca="1">INDEX(CHOOSE(dbУчДисц[[#This Row],[код]],BAZZS[Упражнения],BAZLS[Упражнения],MAZZS[Упражнения],MAZLS[Упражнения]),dbУчДисц[[#This Row],[№]],0)</f>
        <v>0</v>
      </c>
      <c r="R25" s="880" t="str">
        <f ca="1">T(INDEX(CHOOSE(dbУчДисц[[#This Row],[код]],BAZZS[Език],BAZLS[Език],MAZZS[Език],MAZLS[Език]),dbУчДисц[[#This Row],[№]],0))</f>
        <v>БЕ</v>
      </c>
      <c r="S25" s="237" t="str">
        <f ca="1">T(INDEX(CHOOSE(dbУчДисц[[#This Row],[код]],BAZZS[ФормаОц],BAZLS[ФормаОц],MAZZS[ФормаОц],MAZLS[ФормаОц]),dbУчДисц[[#This Row],[№]],0))</f>
        <v/>
      </c>
      <c r="T25" s="240" t="str">
        <f ca="1">T(INDEX(CHOOSE(dbУчДисц[[#This Row],[код]],BAZZS[Изпитващ],BAZLS[Изпитващ],MAZZS[Изпитващ],MAZLS[Изпитващ]),dbУчДисц[[#This Row],[№]],0))</f>
        <v/>
      </c>
      <c r="U25" s="1250" cm="1">
        <f t="array" aca="1" ref="U25" ca="1">INDEX(CHOOSE(dbУчДисц[[#This Row],[код]],BAZZS[Изпитани],BAZLS[Изпитани],MAZZS[Изпитани],MAZLS[Изпитани]),dbУчДисц[[#This Row],[№]],0)</f>
        <v>0</v>
      </c>
      <c r="V25" s="1268" cm="1">
        <f t="array" aca="1" ref="V25" ca="1">INDEX(CHOOSE(dbУчДисц[[#This Row],[код]],BAZZS[ТО],BAZLS[ТО],MAZZS[ТО],MAZLS[ТО]),dbУчДисц[[#This Row],[№]],0)</f>
        <v>0</v>
      </c>
      <c r="W25" s="1268" cm="1">
        <f t="array" aca="1" ref="W25" ca="1">INDEX(CHOOSE(dbУчДисц[[#This Row],[код]],BAZZS[КР],BAZLS[КР],MAZZS[КР],MAZLS[КР]),dbУчДисц[[#This Row],[№]],0)</f>
        <v>0</v>
      </c>
      <c r="X2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5" s="1270">
        <f ca="1">IF(AND(dbУчДисц[[#This Row],[Изпитани]]&lt;&gt;0,dbУчДисц[[#This Row],[Изпитващ]]=0),1,0)</f>
        <v>0</v>
      </c>
      <c r="AA25" s="1271">
        <f ca="1">IFERROR(VLOOKUP(dbУчДисц[[#This Row],[Език]],Коефициент_Eзик[],2,0),0)</f>
        <v>1</v>
      </c>
      <c r="AB25" s="1272" cm="1">
        <f t="array" aca="1" ref="AB2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5" s="1273">
        <v>0.5</v>
      </c>
      <c r="AE25" s="1274">
        <v>5</v>
      </c>
      <c r="AF25" s="1271">
        <f ca="1">N(dbУчДисц[[#This Row],[Лекции]])*dbУчДисц[[#This Row],[кЕзик]]*dbУчДисц[[#This Row],[кСтуденти]]*кЛекции</f>
        <v>0</v>
      </c>
      <c r="AG25" s="1272">
        <f ca="1">N(dbУчДисц[[#This Row],[Упражнения]])*dbУчДисц[[#This Row],[кЕзик]]*dbУчДисц[[#This Row],[кСтуденти]]*кУпражнение</f>
        <v>0</v>
      </c>
      <c r="AH25" s="1272">
        <f ca="1">N(dbУчДисц[[#This Row],[Изпитани]])*dbУчДисц[[#This Row],[кИзпитващ]]</f>
        <v>0</v>
      </c>
      <c r="AI25" s="1273">
        <f ca="1">dbУчДисц[[#This Row],[ТО]]*dbУчДисц[[#This Row],[кTO]]</f>
        <v>0</v>
      </c>
      <c r="AJ25" s="1266">
        <f ca="1">dbУчДисц[[#This Row],[КР]]*dbУчДисц[[#This Row],[кКР]]</f>
        <v>0</v>
      </c>
      <c r="AK25" s="1275">
        <f ca="1">N(INDEX(CHOOSE(dbУчДисц[[#This Row],[код]],BAZZS[id_РД],BAZLS[id_РД],MAZZS[id_РД],MAZLS[id_РД]),dbУчДисц[[#This Row],[№]],0))</f>
        <v>0</v>
      </c>
      <c r="AL2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5" s="1383" t="str">
        <f ca="1">T(INDEX(CHOOSE(dbУчДисц[[#This Row],[код]],BAZZS[Факултет1],BAZLS[Факултет1],MAZZS[Факултет1],MAZLS[Факултет1]),dbУчДисц[[#This Row],[№]],0))</f>
        <v/>
      </c>
      <c r="AO2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5" s="931" t="s">
        <v>681</v>
      </c>
      <c r="AT25" s="955" t="s">
        <v>407</v>
      </c>
      <c r="AU25" s="950">
        <v>2</v>
      </c>
      <c r="AV25" s="981">
        <f ca="1">IF(dbУчПрактикиКР[[#This Row],[Семестър]]=OFFSET(dbУчПрактикиКР[[#This Row],[Семестър]],-1,0),N(OFFSET(dbУчПрактикиКР[[#This Row],[№]],-1,0))+1,1)</f>
        <v>3</v>
      </c>
      <c r="AW25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5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5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5" s="943" t="str">
        <f ca="1">T(INDEX(CHOOSE(dbУчПрактикиКР[[#This Row],[код]],BPZS[Вид],BPLS[Вид],MPZS[Вид],MPLS[Вид]),dbУчПрактикиКР[[#This Row],[№]],0))</f>
        <v/>
      </c>
      <c r="BA25" s="944" t="str">
        <f ca="1">T(INDEX(CHOOSE(dbУчПрактикиКР[[#This Row],[код]],BPZS[Курс],BPLS[Курс],MPZS[Курс],MPLS[Курс]),dbУчПрактикиКР[[#This Row],[№]],0))</f>
        <v/>
      </c>
      <c r="BB25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5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5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5" s="1303">
        <f ca="1">N(INDEX(CHOOSE(dbУчПрактикиКР[[#This Row],[код]],BPZS[Група],BPLS[Група],MPZS[Група],MPLS[Група]),dbУчПрактикиКР[[#This Row],[№]],0))</f>
        <v>0</v>
      </c>
      <c r="BF25" s="1308">
        <f ca="1">N(INDEX(CHOOSE(dbУчПрактикиКР[[#This Row],[код]],BPZS[Ден],BPLS[Ден],MPZS[Ден],MPLS[Ден]),dbУчПрактикиКР[[#This Row],[№]],0))</f>
        <v>0</v>
      </c>
      <c r="BG25" s="1046" t="str">
        <f ca="1">T(INDEX(CHOOSE(dbУчПрактикиКР[[#This Row],[код]],BPZS[ФормаОц],BPLS[ФормаОц],MPZS[ФормаОц],MPLS[ФормаОц]),dbУчПрактикиКР[[#This Row],[№]],0))</f>
        <v/>
      </c>
      <c r="BH25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5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25" s="1324">
        <f ca="1">N(INDEX(CHOOSE(dbУчПрактикиКР[[#This Row],[код]],BPZS[ТО],BPLS[ТО],MPZS[ТО],MPLS[ТО]),dbУчПрактикиКР[[#This Row],[№]],0))</f>
        <v>0</v>
      </c>
      <c r="BK25" s="1325">
        <f ca="1">N(INDEX(CHOOSE(dbУчПрактикиКР[[#This Row],[код]],BPZS[КР],BPLS[КР],MPZS[КР],MPLS[КР]),dbУчПрактикиКР[[#This Row],[№]],0))</f>
        <v>0</v>
      </c>
      <c r="BL25" s="1318">
        <f ca="1">IFERROR(MATCH(dbУчПрактикиКР[[#This Row],[ВидПрактика]],T_Практики[Практика и курсова работа],0),0)</f>
        <v>0</v>
      </c>
      <c r="BM25" s="1340" t="str">
        <f ca="1">IF(dbУчПрактикиКР[[#This Row],[пВидПрактика]],INDEX(T_Практики[Студенти],dbУчПрактикиКР[[#This Row],[пВидПрактика]]),"-")</f>
        <v>-</v>
      </c>
      <c r="BN25" s="1340" t="str">
        <f ca="1">IF(dbУчПрактикиКР[[#This Row],[пВидПрактика]],INDEX(T_Практики[Група],dbУчПрактикиКР[[#This Row],[пВидПрактика]])*2,"-")</f>
        <v>-</v>
      </c>
      <c r="BO25" s="1341" t="str">
        <f ca="1">IF(dbУчПрактикиКР[[#This Row],[пВидПрактика]],INDEX(T_Практики[Ден],dbУчПрактикиКР[[#This Row],[пВидПрактика]])*4,"-")</f>
        <v>-</v>
      </c>
      <c r="BP25" s="1335">
        <f ca="1">IFERROR(AND(dbУчПрактикиКР[[#This Row],[ТО]]&lt;&gt;0,dbУчПрактикиКР[[#This Row],[ФормаОб]]=0)*1,0)</f>
        <v>0</v>
      </c>
      <c r="BQ25" s="1335">
        <f ca="1">IFERROR(AND(dbУчПрактикиКР[[#This Row],[Изпитани]]&lt;&gt;0,LEN(dbУчПрактикиКР[[#This Row],[Изпитващ]])=0)*1,0)</f>
        <v>0</v>
      </c>
      <c r="BR25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5" s="1335">
        <f ca="1">IFERROR(IF(dbУчПрактикиКР[[#This Row],[ФормаОб]]=list!$A$55,Coef!$B$10,Coef!$B$9),0)</f>
        <v>0.5</v>
      </c>
      <c r="BT25" s="1343">
        <v>5</v>
      </c>
      <c r="BU25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5" s="1335">
        <f ca="1">dbУчПрактикиКР[[#This Row],[кИзпитващ]]*N(dbУчПрактикиКР[[#This Row],[Изпитани]])</f>
        <v>0</v>
      </c>
      <c r="BW25" s="1335">
        <f ca="1">N(dbУчПрактикиКР[[#This Row],[ТО]])*N(dbУчПрактикиКР[[#This Row],[кTO]])</f>
        <v>0</v>
      </c>
      <c r="BX25" s="1343">
        <f ca="1">N(dbУчПрактикиКР[[#This Row],[КР]])*dbУчПрактикиКР[[#This Row],[кКР]]</f>
        <v>0</v>
      </c>
      <c r="BY25" s="1342">
        <f ca="1">N(INDEX(CHOOSE(dbУчПрактикиКР[[#This Row],[код]],BPZS[id_РД],BPLS[id_РД],MPZS[id_РД],MPLS[id_РД]),dbУчПрактикиКР[[#This Row],[№]],0))</f>
        <v>0</v>
      </c>
      <c r="BZ25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5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5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5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5" s="964" t="s">
        <v>681</v>
      </c>
      <c r="CH25" s="968" t="s">
        <v>407</v>
      </c>
      <c r="CI25" s="972">
        <v>2</v>
      </c>
      <c r="CJ25" s="978">
        <f ca="1">IF(dbДипломиране[[#This Row],[Семестър]]=OFFSET(dbДипломиране[[#This Row],[Семестър]],-1,0),N(OFFSET(dbДипломиране[[#This Row],[№]],-1,0))+1,1)</f>
        <v>5</v>
      </c>
      <c r="CK25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5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5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25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5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5" s="1359">
        <f ca="1">dbДипломиране[[#This Row],[ДР]]*30</f>
        <v>0</v>
      </c>
      <c r="CQ25" s="1359">
        <f ca="1">dbДипломиране[[#This Row],[Рецензии]]*5</f>
        <v>0</v>
      </c>
      <c r="CR25" s="1365">
        <f ca="1">dbДипломиране[[#This Row],[И/ДИ/З]]*0.8</f>
        <v>0</v>
      </c>
    </row>
    <row r="26" spans="5:146" ht="16.5" x14ac:dyDescent="0.3">
      <c r="E26" s="915" t="s">
        <v>681</v>
      </c>
      <c r="F26" s="916" t="s">
        <v>406</v>
      </c>
      <c r="G26" s="846">
        <v>1</v>
      </c>
      <c r="H26" s="860">
        <f ca="1">IF(dbУчДисц[[#This Row],[Семестър]]=OFFSET(dbУчДисц[[#This Row],[Семестър]],-1,0),N(OFFSET(dbУчДисц[[#This Row],[№]],-1,0))+1,1)</f>
        <v>14</v>
      </c>
      <c r="I26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6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6" s="847" t="str">
        <f ca="1">T(INDEX(CHOOSE(dbУчДисц[[#This Row],[код]],BAZZS[Факултет],BAZLS[Факултет],MAZZS[Факултет],MAZLS[Факултет]),dbУчДисц[[#This Row],[№]],0))</f>
        <v/>
      </c>
      <c r="L26" s="878" t="str">
        <f ca="1">T(INDEX(CHOOSE(dbУчДисц[[#This Row],[код]],BAZZS[Вид],BAZLS[Вид],MAZZS[Вид],MAZLS[Вид]),dbУчДисц[[#This Row],[№]],0))</f>
        <v/>
      </c>
      <c r="M26" s="879" t="str">
        <f ca="1">T(INDEX(CHOOSE(dbУчДисц[[#This Row],[код]],BAZZS[Курс],BAZLS[Курс],MAZZS[Курс],MAZLS[Курс]),dbУчДисц[[#This Row],[№]],0))</f>
        <v/>
      </c>
      <c r="N26" s="237" t="str">
        <f ca="1">T(INDEX(CHOOSE(dbУчДисц[[#This Row],[код]],BAZZS[ФормаОб],BAZLS[ФормаОб],MAZZS[ФормаОб],MAZLS[ФормаОб]),dbУчДисц[[#This Row],[№]],0))</f>
        <v/>
      </c>
      <c r="O26" s="1249" cm="1">
        <f t="array" aca="1" ref="O26" ca="1">INDEX(CHOOSE(dbУчДисц[[#This Row],[код]],BAZZS[Студенти],BAZLS[Студенти],MAZZS[Студенти],MAZLS[Студенти]),dbУчДисц[[#This Row],[№]],0)</f>
        <v>0</v>
      </c>
      <c r="P26" s="1250" cm="1">
        <f t="array" aca="1" ref="P26" ca="1">INDEX(CHOOSE(dbУчДисц[[#This Row],[код]],BAZZS[Лекции],BAZLS[Лекции],MAZZS[Лекции],MAZLS[Лекции]),dbУчДисц[[#This Row],[№]],0)</f>
        <v>0</v>
      </c>
      <c r="Q26" s="1250" cm="1">
        <f t="array" aca="1" ref="Q26" ca="1">INDEX(CHOOSE(dbУчДисц[[#This Row],[код]],BAZZS[Упражнения],BAZLS[Упражнения],MAZZS[Упражнения],MAZLS[Упражнения]),dbУчДисц[[#This Row],[№]],0)</f>
        <v>0</v>
      </c>
      <c r="R26" s="880" t="str">
        <f ca="1">T(INDEX(CHOOSE(dbУчДисц[[#This Row],[код]],BAZZS[Език],BAZLS[Език],MAZZS[Език],MAZLS[Език]),dbУчДисц[[#This Row],[№]],0))</f>
        <v>БЕ</v>
      </c>
      <c r="S26" s="237" t="str">
        <f ca="1">T(INDEX(CHOOSE(dbУчДисц[[#This Row],[код]],BAZZS[ФормаОц],BAZLS[ФормаОц],MAZZS[ФормаОц],MAZLS[ФормаОц]),dbУчДисц[[#This Row],[№]],0))</f>
        <v/>
      </c>
      <c r="T26" s="244" t="str">
        <f ca="1">T(INDEX(CHOOSE(dbУчДисц[[#This Row],[код]],BAZZS[Изпитващ],BAZLS[Изпитващ],MAZZS[Изпитващ],MAZLS[Изпитващ]),dbУчДисц[[#This Row],[№]],0))</f>
        <v/>
      </c>
      <c r="U26" s="1250" cm="1">
        <f t="array" aca="1" ref="U26" ca="1">INDEX(CHOOSE(dbУчДисц[[#This Row],[код]],BAZZS[Изпитани],BAZLS[Изпитани],MAZZS[Изпитани],MAZLS[Изпитани]),dbУчДисц[[#This Row],[№]],0)</f>
        <v>0</v>
      </c>
      <c r="V26" s="1268" cm="1">
        <f t="array" aca="1" ref="V26" ca="1">INDEX(CHOOSE(dbУчДисц[[#This Row],[код]],BAZZS[ТО],BAZLS[ТО],MAZZS[ТО],MAZLS[ТО]),dbУчДисц[[#This Row],[№]],0)</f>
        <v>0</v>
      </c>
      <c r="W26" s="1268" cm="1">
        <f t="array" aca="1" ref="W26" ca="1">INDEX(CHOOSE(dbУчДисц[[#This Row],[код]],BAZZS[КР],BAZLS[КР],MAZZS[КР],MAZLS[КР]),dbУчДисц[[#This Row],[№]],0)</f>
        <v>0</v>
      </c>
      <c r="X2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6" s="1270">
        <f ca="1">IF(AND(dbУчДисц[[#This Row],[Изпитани]]&lt;&gt;0,dbУчДисц[[#This Row],[Изпитващ]]=0),1,0)</f>
        <v>0</v>
      </c>
      <c r="AA26" s="1271">
        <f ca="1">IFERROR(VLOOKUP(dbУчДисц[[#This Row],[Език]],Коефициент_Eзик[],2,0),0)</f>
        <v>1</v>
      </c>
      <c r="AB26" s="1272" cm="1">
        <f t="array" aca="1" ref="AB2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6" s="1273">
        <v>0.5</v>
      </c>
      <c r="AE26" s="1274">
        <v>5</v>
      </c>
      <c r="AF26" s="1271">
        <f ca="1">N(dbУчДисц[[#This Row],[Лекции]])*dbУчДисц[[#This Row],[кЕзик]]*dbУчДисц[[#This Row],[кСтуденти]]*кЛекции</f>
        <v>0</v>
      </c>
      <c r="AG26" s="1272">
        <f ca="1">N(dbУчДисц[[#This Row],[Упражнения]])*dbУчДисц[[#This Row],[кЕзик]]*dbУчДисц[[#This Row],[кСтуденти]]*кУпражнение</f>
        <v>0</v>
      </c>
      <c r="AH26" s="1272">
        <f ca="1">N(dbУчДисц[[#This Row],[Изпитани]])*dbУчДисц[[#This Row],[кИзпитващ]]</f>
        <v>0</v>
      </c>
      <c r="AI26" s="1273">
        <f ca="1">dbУчДисц[[#This Row],[ТО]]*dbУчДисц[[#This Row],[кTO]]</f>
        <v>0</v>
      </c>
      <c r="AJ26" s="1266">
        <f ca="1">dbУчДисц[[#This Row],[КР]]*dbУчДисц[[#This Row],[кКР]]</f>
        <v>0</v>
      </c>
      <c r="AK26" s="1275">
        <f ca="1">N(INDEX(CHOOSE(dbУчДисц[[#This Row],[код]],BAZZS[id_РД],BAZLS[id_РД],MAZZS[id_РД],MAZLS[id_РД]),dbУчДисц[[#This Row],[№]],0))</f>
        <v>0</v>
      </c>
      <c r="AL2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6" s="1383" t="str">
        <f ca="1">T(INDEX(CHOOSE(dbУчДисц[[#This Row],[код]],BAZZS[Факултет1],BAZLS[Факултет1],MAZZS[Факултет1],MAZLS[Факултет1]),dbУчДисц[[#This Row],[№]],0))</f>
        <v/>
      </c>
      <c r="AO2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6" s="931" t="s">
        <v>681</v>
      </c>
      <c r="AT26" s="955" t="s">
        <v>407</v>
      </c>
      <c r="AU26" s="950">
        <v>2</v>
      </c>
      <c r="AV26" s="981">
        <f ca="1">IF(dbУчПрактикиКР[[#This Row],[Семестър]]=OFFSET(dbУчПрактикиКР[[#This Row],[Семестър]],-1,0),N(OFFSET(dbУчПрактикиКР[[#This Row],[№]],-1,0))+1,1)</f>
        <v>4</v>
      </c>
      <c r="AW26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6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6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6" s="943" t="str">
        <f ca="1">T(INDEX(CHOOSE(dbУчПрактикиКР[[#This Row],[код]],BPZS[Вид],BPLS[Вид],MPZS[Вид],MPLS[Вид]),dbУчПрактикиКР[[#This Row],[№]],0))</f>
        <v/>
      </c>
      <c r="BA26" s="944" t="str">
        <f ca="1">T(INDEX(CHOOSE(dbУчПрактикиКР[[#This Row],[код]],BPZS[Курс],BPLS[Курс],MPZS[Курс],MPLS[Курс]),dbУчПрактикиКР[[#This Row],[№]],0))</f>
        <v/>
      </c>
      <c r="BB26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6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6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6" s="1303">
        <f ca="1">N(INDEX(CHOOSE(dbУчПрактикиКР[[#This Row],[код]],BPZS[Група],BPLS[Група],MPZS[Група],MPLS[Група]),dbУчПрактикиКР[[#This Row],[№]],0))</f>
        <v>0</v>
      </c>
      <c r="BF26" s="1308">
        <f ca="1">N(INDEX(CHOOSE(dbУчПрактикиКР[[#This Row],[код]],BPZS[Ден],BPLS[Ден],MPZS[Ден],MPLS[Ден]),dbУчПрактикиКР[[#This Row],[№]],0))</f>
        <v>0</v>
      </c>
      <c r="BG26" s="1046" t="str">
        <f ca="1">T(INDEX(CHOOSE(dbУчПрактикиКР[[#This Row],[код]],BPZS[ФормаОц],BPLS[ФормаОц],MPZS[ФормаОц],MPLS[ФормаОц]),dbУчПрактикиКР[[#This Row],[№]],0))</f>
        <v/>
      </c>
      <c r="BH26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6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26" s="1324">
        <f ca="1">N(INDEX(CHOOSE(dbУчПрактикиКР[[#This Row],[код]],BPZS[ТО],BPLS[ТО],MPZS[ТО],MPLS[ТО]),dbУчПрактикиКР[[#This Row],[№]],0))</f>
        <v>0</v>
      </c>
      <c r="BK26" s="1325">
        <f ca="1">N(INDEX(CHOOSE(dbУчПрактикиКР[[#This Row],[код]],BPZS[КР],BPLS[КР],MPZS[КР],MPLS[КР]),dbУчПрактикиКР[[#This Row],[№]],0))</f>
        <v>0</v>
      </c>
      <c r="BL26" s="1318">
        <f ca="1">IFERROR(MATCH(dbУчПрактикиКР[[#This Row],[ВидПрактика]],T_Практики[Практика и курсова работа],0),0)</f>
        <v>0</v>
      </c>
      <c r="BM26" s="1340" t="str">
        <f ca="1">IF(dbУчПрактикиКР[[#This Row],[пВидПрактика]],INDEX(T_Практики[Студенти],dbУчПрактикиКР[[#This Row],[пВидПрактика]]),"-")</f>
        <v>-</v>
      </c>
      <c r="BN26" s="1340" t="str">
        <f ca="1">IF(dbУчПрактикиКР[[#This Row],[пВидПрактика]],INDEX(T_Практики[Група],dbУчПрактикиКР[[#This Row],[пВидПрактика]])*2,"-")</f>
        <v>-</v>
      </c>
      <c r="BO26" s="1341" t="str">
        <f ca="1">IF(dbУчПрактикиКР[[#This Row],[пВидПрактика]],INDEX(T_Практики[Ден],dbУчПрактикиКР[[#This Row],[пВидПрактика]])*4,"-")</f>
        <v>-</v>
      </c>
      <c r="BP26" s="1335">
        <f ca="1">IFERROR(AND(dbУчПрактикиКР[[#This Row],[ТО]]&lt;&gt;0,dbУчПрактикиКР[[#This Row],[ФормаОб]]=0)*1,0)</f>
        <v>0</v>
      </c>
      <c r="BQ26" s="1335">
        <f ca="1">IFERROR(AND(dbУчПрактикиКР[[#This Row],[Изпитани]]&lt;&gt;0,LEN(dbУчПрактикиКР[[#This Row],[Изпитващ]])=0)*1,0)</f>
        <v>0</v>
      </c>
      <c r="BR26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6" s="1335">
        <f ca="1">IFERROR(IF(dbУчПрактикиКР[[#This Row],[ФормаОб]]=list!$A$55,Coef!$B$10,Coef!$B$9),0)</f>
        <v>0.5</v>
      </c>
      <c r="BT26" s="1343">
        <v>5</v>
      </c>
      <c r="BU26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6" s="1335">
        <f ca="1">dbУчПрактикиКР[[#This Row],[кИзпитващ]]*N(dbУчПрактикиКР[[#This Row],[Изпитани]])</f>
        <v>0</v>
      </c>
      <c r="BW26" s="1335">
        <f ca="1">N(dbУчПрактикиКР[[#This Row],[ТО]])*N(dbУчПрактикиКР[[#This Row],[кTO]])</f>
        <v>0</v>
      </c>
      <c r="BX26" s="1343">
        <f ca="1">N(dbУчПрактикиКР[[#This Row],[КР]])*dbУчПрактикиКР[[#This Row],[кКР]]</f>
        <v>0</v>
      </c>
      <c r="BY26" s="1342">
        <f ca="1">N(INDEX(CHOOSE(dbУчПрактикиКР[[#This Row],[код]],BPZS[id_РД],BPLS[id_РД],MPZS[id_РД],MPLS[id_РД]),dbУчПрактикиКР[[#This Row],[№]],0))</f>
        <v>0</v>
      </c>
      <c r="BZ26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6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6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6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6" s="964" t="s">
        <v>681</v>
      </c>
      <c r="CH26" s="968" t="s">
        <v>407</v>
      </c>
      <c r="CI26" s="972">
        <v>2</v>
      </c>
      <c r="CJ26" s="978">
        <f ca="1">IF(dbДипломиране[[#This Row],[Семестър]]=OFFSET(dbДипломиране[[#This Row],[Семестър]],-1,0),N(OFFSET(dbДипломиране[[#This Row],[№]],-1,0))+1,1)</f>
        <v>6</v>
      </c>
      <c r="CK26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6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6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26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6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6" s="1359">
        <f ca="1">dbДипломиране[[#This Row],[ДР]]*30</f>
        <v>0</v>
      </c>
      <c r="CQ26" s="1359">
        <f ca="1">dbДипломиране[[#This Row],[Рецензии]]*5</f>
        <v>0</v>
      </c>
      <c r="CR26" s="1365">
        <f ca="1">dbДипломиране[[#This Row],[И/ДИ/З]]*0.8</f>
        <v>0</v>
      </c>
    </row>
    <row r="27" spans="5:146" ht="16.5" x14ac:dyDescent="0.3">
      <c r="E27" s="915" t="s">
        <v>681</v>
      </c>
      <c r="F27" s="916" t="s">
        <v>406</v>
      </c>
      <c r="G27" s="846">
        <v>1</v>
      </c>
      <c r="H27" s="860">
        <f ca="1">IF(dbУчДисц[[#This Row],[Семестър]]=OFFSET(dbУчДисц[[#This Row],[Семестър]],-1,0),N(OFFSET(dbУчДисц[[#This Row],[№]],-1,0))+1,1)</f>
        <v>15</v>
      </c>
      <c r="I27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7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7" s="847" t="str">
        <f ca="1">T(INDEX(CHOOSE(dbУчДисц[[#This Row],[код]],BAZZS[Факултет],BAZLS[Факултет],MAZZS[Факултет],MAZLS[Факултет]),dbУчДисц[[#This Row],[№]],0))</f>
        <v/>
      </c>
      <c r="L27" s="878" t="str">
        <f ca="1">T(INDEX(CHOOSE(dbУчДисц[[#This Row],[код]],BAZZS[Вид],BAZLS[Вид],MAZZS[Вид],MAZLS[Вид]),dbУчДисц[[#This Row],[№]],0))</f>
        <v/>
      </c>
      <c r="M27" s="879" t="str">
        <f ca="1">T(INDEX(CHOOSE(dbУчДисц[[#This Row],[код]],BAZZS[Курс],BAZLS[Курс],MAZZS[Курс],MAZLS[Курс]),dbУчДисц[[#This Row],[№]],0))</f>
        <v/>
      </c>
      <c r="N27" s="237" t="str">
        <f ca="1">T(INDEX(CHOOSE(dbУчДисц[[#This Row],[код]],BAZZS[ФормаОб],BAZLS[ФормаОб],MAZZS[ФормаОб],MAZLS[ФормаОб]),dbУчДисц[[#This Row],[№]],0))</f>
        <v/>
      </c>
      <c r="O27" s="1249" cm="1">
        <f t="array" aca="1" ref="O27" ca="1">INDEX(CHOOSE(dbУчДисц[[#This Row],[код]],BAZZS[Студенти],BAZLS[Студенти],MAZZS[Студенти],MAZLS[Студенти]),dbУчДисц[[#This Row],[№]],0)</f>
        <v>0</v>
      </c>
      <c r="P27" s="1250" cm="1">
        <f t="array" aca="1" ref="P27" ca="1">INDEX(CHOOSE(dbУчДисц[[#This Row],[код]],BAZZS[Лекции],BAZLS[Лекции],MAZZS[Лекции],MAZLS[Лекции]),dbУчДисц[[#This Row],[№]],0)</f>
        <v>0</v>
      </c>
      <c r="Q27" s="1250" cm="1">
        <f t="array" aca="1" ref="Q27" ca="1">INDEX(CHOOSE(dbУчДисц[[#This Row],[код]],BAZZS[Упражнения],BAZLS[Упражнения],MAZZS[Упражнения],MAZLS[Упражнения]),dbУчДисц[[#This Row],[№]],0)</f>
        <v>0</v>
      </c>
      <c r="R27" s="880" t="str">
        <f ca="1">T(INDEX(CHOOSE(dbУчДисц[[#This Row],[код]],BAZZS[Език],BAZLS[Език],MAZZS[Език],MAZLS[Език]),dbУчДисц[[#This Row],[№]],0))</f>
        <v>БЕ</v>
      </c>
      <c r="S27" s="237" t="str">
        <f ca="1">T(INDEX(CHOOSE(dbУчДисц[[#This Row],[код]],BAZZS[ФормаОц],BAZLS[ФормаОц],MAZZS[ФормаОц],MAZLS[ФормаОц]),dbУчДисц[[#This Row],[№]],0))</f>
        <v/>
      </c>
      <c r="T27" s="240" t="str">
        <f ca="1">T(INDEX(CHOOSE(dbУчДисц[[#This Row],[код]],BAZZS[Изпитващ],BAZLS[Изпитващ],MAZZS[Изпитващ],MAZLS[Изпитващ]),dbУчДисц[[#This Row],[№]],0))</f>
        <v/>
      </c>
      <c r="U27" s="1250" cm="1">
        <f t="array" aca="1" ref="U27" ca="1">INDEX(CHOOSE(dbУчДисц[[#This Row],[код]],BAZZS[Изпитани],BAZLS[Изпитани],MAZZS[Изпитани],MAZLS[Изпитани]),dbУчДисц[[#This Row],[№]],0)</f>
        <v>0</v>
      </c>
      <c r="V27" s="1268" cm="1">
        <f t="array" aca="1" ref="V27" ca="1">INDEX(CHOOSE(dbУчДисц[[#This Row],[код]],BAZZS[ТО],BAZLS[ТО],MAZZS[ТО],MAZLS[ТО]),dbУчДисц[[#This Row],[№]],0)</f>
        <v>0</v>
      </c>
      <c r="W27" s="1268" cm="1">
        <f t="array" aca="1" ref="W27" ca="1">INDEX(CHOOSE(dbУчДисц[[#This Row],[код]],BAZZS[КР],BAZLS[КР],MAZZS[КР],MAZLS[КР]),dbУчДисц[[#This Row],[№]],0)</f>
        <v>0</v>
      </c>
      <c r="X2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7" s="1270">
        <f ca="1">IF(AND(dbУчДисц[[#This Row],[Изпитани]]&lt;&gt;0,dbУчДисц[[#This Row],[Изпитващ]]=0),1,0)</f>
        <v>0</v>
      </c>
      <c r="AA27" s="1271">
        <f ca="1">IFERROR(VLOOKUP(dbУчДисц[[#This Row],[Език]],Коефициент_Eзик[],2,0),0)</f>
        <v>1</v>
      </c>
      <c r="AB27" s="1272" cm="1">
        <f t="array" aca="1" ref="AB2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7" s="1273">
        <v>0.5</v>
      </c>
      <c r="AE27" s="1274">
        <v>5</v>
      </c>
      <c r="AF27" s="1271">
        <f ca="1">N(dbУчДисц[[#This Row],[Лекции]])*dbУчДисц[[#This Row],[кЕзик]]*dbУчДисц[[#This Row],[кСтуденти]]*кЛекции</f>
        <v>0</v>
      </c>
      <c r="AG27" s="1272">
        <f ca="1">N(dbУчДисц[[#This Row],[Упражнения]])*dbУчДисц[[#This Row],[кЕзик]]*dbУчДисц[[#This Row],[кСтуденти]]*кУпражнение</f>
        <v>0</v>
      </c>
      <c r="AH27" s="1272">
        <f ca="1">N(dbУчДисц[[#This Row],[Изпитани]])*dbУчДисц[[#This Row],[кИзпитващ]]</f>
        <v>0</v>
      </c>
      <c r="AI27" s="1273">
        <f ca="1">dbУчДисц[[#This Row],[ТО]]*dbУчДисц[[#This Row],[кTO]]</f>
        <v>0</v>
      </c>
      <c r="AJ27" s="1266">
        <f ca="1">dbУчДисц[[#This Row],[КР]]*dbУчДисц[[#This Row],[кКР]]</f>
        <v>0</v>
      </c>
      <c r="AK27" s="1275">
        <f ca="1">N(INDEX(CHOOSE(dbУчДисц[[#This Row],[код]],BAZZS[id_РД],BAZLS[id_РД],MAZZS[id_РД],MAZLS[id_РД]),dbУчДисц[[#This Row],[№]],0))</f>
        <v>0</v>
      </c>
      <c r="AL2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7" s="1383" t="str">
        <f ca="1">T(INDEX(CHOOSE(dbУчДисц[[#This Row],[код]],BAZZS[Факултет1],BAZLS[Факултет1],MAZZS[Факултет1],MAZLS[Факултет1]),dbУчДисц[[#This Row],[№]],0))</f>
        <v/>
      </c>
      <c r="AO2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7" s="931" t="s">
        <v>681</v>
      </c>
      <c r="AT27" s="955" t="s">
        <v>407</v>
      </c>
      <c r="AU27" s="950">
        <v>2</v>
      </c>
      <c r="AV27" s="981">
        <f ca="1">IF(dbУчПрактикиКР[[#This Row],[Семестър]]=OFFSET(dbУчПрактикиКР[[#This Row],[Семестър]],-1,0),N(OFFSET(dbУчПрактикиКР[[#This Row],[№]],-1,0))+1,1)</f>
        <v>5</v>
      </c>
      <c r="AW27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7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7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7" s="943" t="str">
        <f ca="1">T(INDEX(CHOOSE(dbУчПрактикиКР[[#This Row],[код]],BPZS[Вид],BPLS[Вид],MPZS[Вид],MPLS[Вид]),dbУчПрактикиКР[[#This Row],[№]],0))</f>
        <v/>
      </c>
      <c r="BA27" s="944" t="str">
        <f ca="1">T(INDEX(CHOOSE(dbУчПрактикиКР[[#This Row],[код]],BPZS[Курс],BPLS[Курс],MPZS[Курс],MPLS[Курс]),dbУчПрактикиКР[[#This Row],[№]],0))</f>
        <v/>
      </c>
      <c r="BB27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7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7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7" s="1303">
        <f ca="1">N(INDEX(CHOOSE(dbУчПрактикиКР[[#This Row],[код]],BPZS[Група],BPLS[Група],MPZS[Група],MPLS[Група]),dbУчПрактикиКР[[#This Row],[№]],0))</f>
        <v>0</v>
      </c>
      <c r="BF27" s="1308">
        <f ca="1">N(INDEX(CHOOSE(dbУчПрактикиКР[[#This Row],[код]],BPZS[Ден],BPLS[Ден],MPZS[Ден],MPLS[Ден]),dbУчПрактикиКР[[#This Row],[№]],0))</f>
        <v>0</v>
      </c>
      <c r="BG27" s="1046" t="str">
        <f ca="1">T(INDEX(CHOOSE(dbУчПрактикиКР[[#This Row],[код]],BPZS[ФормаОц],BPLS[ФормаОц],MPZS[ФормаОц],MPLS[ФормаОц]),dbУчПрактикиКР[[#This Row],[№]],0))</f>
        <v/>
      </c>
      <c r="BH27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7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27" s="1324">
        <f ca="1">N(INDEX(CHOOSE(dbУчПрактикиКР[[#This Row],[код]],BPZS[ТО],BPLS[ТО],MPZS[ТО],MPLS[ТО]),dbУчПрактикиКР[[#This Row],[№]],0))</f>
        <v>0</v>
      </c>
      <c r="BK27" s="1325">
        <f ca="1">N(INDEX(CHOOSE(dbУчПрактикиКР[[#This Row],[код]],BPZS[КР],BPLS[КР],MPZS[КР],MPLS[КР]),dbУчПрактикиКР[[#This Row],[№]],0))</f>
        <v>0</v>
      </c>
      <c r="BL27" s="1318">
        <f ca="1">IFERROR(MATCH(dbУчПрактикиКР[[#This Row],[ВидПрактика]],T_Практики[Практика и курсова работа],0),0)</f>
        <v>0</v>
      </c>
      <c r="BM27" s="1340" t="str">
        <f ca="1">IF(dbУчПрактикиКР[[#This Row],[пВидПрактика]],INDEX(T_Практики[Студенти],dbУчПрактикиКР[[#This Row],[пВидПрактика]]),"-")</f>
        <v>-</v>
      </c>
      <c r="BN27" s="1340" t="str">
        <f ca="1">IF(dbУчПрактикиКР[[#This Row],[пВидПрактика]],INDEX(T_Практики[Група],dbУчПрактикиКР[[#This Row],[пВидПрактика]])*2,"-")</f>
        <v>-</v>
      </c>
      <c r="BO27" s="1341" t="str">
        <f ca="1">IF(dbУчПрактикиКР[[#This Row],[пВидПрактика]],INDEX(T_Практики[Ден],dbУчПрактикиКР[[#This Row],[пВидПрактика]])*4,"-")</f>
        <v>-</v>
      </c>
      <c r="BP27" s="1335">
        <f ca="1">IFERROR(AND(dbУчПрактикиКР[[#This Row],[ТО]]&lt;&gt;0,dbУчПрактикиКР[[#This Row],[ФормаОб]]=0)*1,0)</f>
        <v>0</v>
      </c>
      <c r="BQ27" s="1335">
        <f ca="1">IFERROR(AND(dbУчПрактикиКР[[#This Row],[Изпитани]]&lt;&gt;0,LEN(dbУчПрактикиКР[[#This Row],[Изпитващ]])=0)*1,0)</f>
        <v>0</v>
      </c>
      <c r="BR27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7" s="1335">
        <f ca="1">IFERROR(IF(dbУчПрактикиКР[[#This Row],[ФормаОб]]=list!$A$55,Coef!$B$10,Coef!$B$9),0)</f>
        <v>0.5</v>
      </c>
      <c r="BT27" s="1343">
        <v>5</v>
      </c>
      <c r="BU27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7" s="1335">
        <f ca="1">dbУчПрактикиКР[[#This Row],[кИзпитващ]]*N(dbУчПрактикиКР[[#This Row],[Изпитани]])</f>
        <v>0</v>
      </c>
      <c r="BW27" s="1335">
        <f ca="1">N(dbУчПрактикиКР[[#This Row],[ТО]])*N(dbУчПрактикиКР[[#This Row],[кTO]])</f>
        <v>0</v>
      </c>
      <c r="BX27" s="1343">
        <f ca="1">N(dbУчПрактикиКР[[#This Row],[КР]])*dbУчПрактикиКР[[#This Row],[кКР]]</f>
        <v>0</v>
      </c>
      <c r="BY27" s="1342">
        <f ca="1">N(INDEX(CHOOSE(dbУчПрактикиКР[[#This Row],[код]],BPZS[id_РД],BPLS[id_РД],MPZS[id_РД],MPLS[id_РД]),dbУчПрактикиКР[[#This Row],[№]],0))</f>
        <v>0</v>
      </c>
      <c r="BZ27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7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7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7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7" s="964" t="s">
        <v>681</v>
      </c>
      <c r="CH27" s="968" t="s">
        <v>407</v>
      </c>
      <c r="CI27" s="972">
        <v>2</v>
      </c>
      <c r="CJ27" s="978">
        <f ca="1">IF(dbДипломиране[[#This Row],[Семестър]]=OFFSET(dbДипломиране[[#This Row],[Семестър]],-1,0),N(OFFSET(dbДипломиране[[#This Row],[№]],-1,0))+1,1)</f>
        <v>7</v>
      </c>
      <c r="CK27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7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7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27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7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7" s="1359">
        <f ca="1">dbДипломиране[[#This Row],[ДР]]*30</f>
        <v>0</v>
      </c>
      <c r="CQ27" s="1359">
        <f ca="1">dbДипломиране[[#This Row],[Рецензии]]*5</f>
        <v>0</v>
      </c>
      <c r="CR27" s="1365">
        <f ca="1">dbДипломиране[[#This Row],[И/ДИ/З]]*0.8</f>
        <v>0</v>
      </c>
    </row>
    <row r="28" spans="5:146" ht="17.25" thickBot="1" x14ac:dyDescent="0.35">
      <c r="E28" s="915" t="s">
        <v>681</v>
      </c>
      <c r="F28" s="916" t="s">
        <v>406</v>
      </c>
      <c r="G28" s="846">
        <v>1</v>
      </c>
      <c r="H28" s="860">
        <f ca="1">IF(dbУчДисц[[#This Row],[Семестър]]=OFFSET(dbУчДисц[[#This Row],[Семестър]],-1,0),N(OFFSET(dbУчДисц[[#This Row],[№]],-1,0))+1,1)</f>
        <v>16</v>
      </c>
      <c r="I28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8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8" s="847" t="str">
        <f ca="1">T(INDEX(CHOOSE(dbУчДисц[[#This Row],[код]],BAZZS[Факултет],BAZLS[Факултет],MAZZS[Факултет],MAZLS[Факултет]),dbУчДисц[[#This Row],[№]],0))</f>
        <v/>
      </c>
      <c r="L28" s="878" t="str">
        <f ca="1">T(INDEX(CHOOSE(dbУчДисц[[#This Row],[код]],BAZZS[Вид],BAZLS[Вид],MAZZS[Вид],MAZLS[Вид]),dbУчДисц[[#This Row],[№]],0))</f>
        <v/>
      </c>
      <c r="M28" s="879" t="str">
        <f ca="1">T(INDEX(CHOOSE(dbУчДисц[[#This Row],[код]],BAZZS[Курс],BAZLS[Курс],MAZZS[Курс],MAZLS[Курс]),dbУчДисц[[#This Row],[№]],0))</f>
        <v/>
      </c>
      <c r="N28" s="237" t="str">
        <f ca="1">T(INDEX(CHOOSE(dbУчДисц[[#This Row],[код]],BAZZS[ФормаОб],BAZLS[ФормаОб],MAZZS[ФормаОб],MAZLS[ФормаОб]),dbУчДисц[[#This Row],[№]],0))</f>
        <v/>
      </c>
      <c r="O28" s="1249" cm="1">
        <f t="array" aca="1" ref="O28" ca="1">INDEX(CHOOSE(dbУчДисц[[#This Row],[код]],BAZZS[Студенти],BAZLS[Студенти],MAZZS[Студенти],MAZLS[Студенти]),dbУчДисц[[#This Row],[№]],0)</f>
        <v>0</v>
      </c>
      <c r="P28" s="1250" cm="1">
        <f t="array" aca="1" ref="P28" ca="1">INDEX(CHOOSE(dbУчДисц[[#This Row],[код]],BAZZS[Лекции],BAZLS[Лекции],MAZZS[Лекции],MAZLS[Лекции]),dbУчДисц[[#This Row],[№]],0)</f>
        <v>0</v>
      </c>
      <c r="Q28" s="1250" cm="1">
        <f t="array" aca="1" ref="Q28" ca="1">INDEX(CHOOSE(dbУчДисц[[#This Row],[код]],BAZZS[Упражнения],BAZLS[Упражнения],MAZZS[Упражнения],MAZLS[Упражнения]),dbУчДисц[[#This Row],[№]],0)</f>
        <v>0</v>
      </c>
      <c r="R28" s="880" t="str">
        <f ca="1">T(INDEX(CHOOSE(dbУчДисц[[#This Row],[код]],BAZZS[Език],BAZLS[Език],MAZZS[Език],MAZLS[Език]),dbУчДисц[[#This Row],[№]],0))</f>
        <v>БЕ</v>
      </c>
      <c r="S28" s="237" t="str">
        <f ca="1">T(INDEX(CHOOSE(dbУчДисц[[#This Row],[код]],BAZZS[ФормаОц],BAZLS[ФормаОц],MAZZS[ФормаОц],MAZLS[ФормаОц]),dbУчДисц[[#This Row],[№]],0))</f>
        <v/>
      </c>
      <c r="T28" s="244" t="str">
        <f ca="1">T(INDEX(CHOOSE(dbУчДисц[[#This Row],[код]],BAZZS[Изпитващ],BAZLS[Изпитващ],MAZZS[Изпитващ],MAZLS[Изпитващ]),dbУчДисц[[#This Row],[№]],0))</f>
        <v/>
      </c>
      <c r="U28" s="1250" cm="1">
        <f t="array" aca="1" ref="U28" ca="1">INDEX(CHOOSE(dbУчДисц[[#This Row],[код]],BAZZS[Изпитани],BAZLS[Изпитани],MAZZS[Изпитани],MAZLS[Изпитани]),dbУчДисц[[#This Row],[№]],0)</f>
        <v>0</v>
      </c>
      <c r="V28" s="1268" cm="1">
        <f t="array" aca="1" ref="V28" ca="1">INDEX(CHOOSE(dbУчДисц[[#This Row],[код]],BAZZS[ТО],BAZLS[ТО],MAZZS[ТО],MAZLS[ТО]),dbУчДисц[[#This Row],[№]],0)</f>
        <v>0</v>
      </c>
      <c r="W28" s="1268" cm="1">
        <f t="array" aca="1" ref="W28" ca="1">INDEX(CHOOSE(dbУчДисц[[#This Row],[код]],BAZZS[КР],BAZLS[КР],MAZZS[КР],MAZLS[КР]),dbУчДисц[[#This Row],[№]],0)</f>
        <v>0</v>
      </c>
      <c r="X2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8" s="1270">
        <f ca="1">IF(AND(dbУчДисц[[#This Row],[Изпитани]]&lt;&gt;0,dbУчДисц[[#This Row],[Изпитващ]]=0),1,0)</f>
        <v>0</v>
      </c>
      <c r="AA28" s="1271">
        <f ca="1">IFERROR(VLOOKUP(dbУчДисц[[#This Row],[Език]],Коефициент_Eзик[],2,0),0)</f>
        <v>1</v>
      </c>
      <c r="AB28" s="1272" cm="1">
        <f t="array" aca="1" ref="AB2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8" s="1273">
        <v>0.5</v>
      </c>
      <c r="AE28" s="1274">
        <v>5</v>
      </c>
      <c r="AF28" s="1271">
        <f ca="1">N(dbУчДисц[[#This Row],[Лекции]])*dbУчДисц[[#This Row],[кЕзик]]*dbУчДисц[[#This Row],[кСтуденти]]*кЛекции</f>
        <v>0</v>
      </c>
      <c r="AG28" s="1272">
        <f ca="1">N(dbУчДисц[[#This Row],[Упражнения]])*dbУчДисц[[#This Row],[кЕзик]]*dbУчДисц[[#This Row],[кСтуденти]]*кУпражнение</f>
        <v>0</v>
      </c>
      <c r="AH28" s="1272">
        <f ca="1">N(dbУчДисц[[#This Row],[Изпитани]])*dbУчДисц[[#This Row],[кИзпитващ]]</f>
        <v>0</v>
      </c>
      <c r="AI28" s="1273">
        <f ca="1">dbУчДисц[[#This Row],[ТО]]*dbУчДисц[[#This Row],[кTO]]</f>
        <v>0</v>
      </c>
      <c r="AJ28" s="1266">
        <f ca="1">dbУчДисц[[#This Row],[КР]]*dbУчДисц[[#This Row],[кКР]]</f>
        <v>0</v>
      </c>
      <c r="AK28" s="1275">
        <f ca="1">N(INDEX(CHOOSE(dbУчДисц[[#This Row],[код]],BAZZS[id_РД],BAZLS[id_РД],MAZZS[id_РД],MAZLS[id_РД]),dbУчДисц[[#This Row],[№]],0))</f>
        <v>0</v>
      </c>
      <c r="AL2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8" s="1383" t="str">
        <f ca="1">T(INDEX(CHOOSE(dbУчДисц[[#This Row],[код]],BAZZS[Факултет1],BAZLS[Факултет1],MAZZS[Факултет1],MAZLS[Факултет1]),dbУчДисц[[#This Row],[№]],0))</f>
        <v/>
      </c>
      <c r="AO2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8" s="931" t="s">
        <v>681</v>
      </c>
      <c r="AT28" s="955" t="s">
        <v>407</v>
      </c>
      <c r="AU28" s="950">
        <v>2</v>
      </c>
      <c r="AV28" s="981">
        <f ca="1">IF(dbУчПрактикиКР[[#This Row],[Семестър]]=OFFSET(dbУчПрактикиКР[[#This Row],[Семестър]],-1,0),N(OFFSET(dbУчПрактикиКР[[#This Row],[№]],-1,0))+1,1)</f>
        <v>6</v>
      </c>
      <c r="AW28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8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8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8" s="943" t="str">
        <f ca="1">T(INDEX(CHOOSE(dbУчПрактикиКР[[#This Row],[код]],BPZS[Вид],BPLS[Вид],MPZS[Вид],MPLS[Вид]),dbУчПрактикиКР[[#This Row],[№]],0))</f>
        <v/>
      </c>
      <c r="BA28" s="944" t="str">
        <f ca="1">T(INDEX(CHOOSE(dbУчПрактикиКР[[#This Row],[код]],BPZS[Курс],BPLS[Курс],MPZS[Курс],MPLS[Курс]),dbУчПрактикиКР[[#This Row],[№]],0))</f>
        <v/>
      </c>
      <c r="BB28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8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8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8" s="1303">
        <f ca="1">N(INDEX(CHOOSE(dbУчПрактикиКР[[#This Row],[код]],BPZS[Група],BPLS[Група],MPZS[Група],MPLS[Група]),dbУчПрактикиКР[[#This Row],[№]],0))</f>
        <v>0</v>
      </c>
      <c r="BF28" s="1308">
        <f ca="1">N(INDEX(CHOOSE(dbУчПрактикиКР[[#This Row],[код]],BPZS[Ден],BPLS[Ден],MPZS[Ден],MPLS[Ден]),dbУчПрактикиКР[[#This Row],[№]],0))</f>
        <v>0</v>
      </c>
      <c r="BG28" s="1046" t="str">
        <f ca="1">T(INDEX(CHOOSE(dbУчПрактикиКР[[#This Row],[код]],BPZS[ФормаОц],BPLS[ФормаОц],MPZS[ФормаОц],MPLS[ФормаОц]),dbУчПрактикиКР[[#This Row],[№]],0))</f>
        <v/>
      </c>
      <c r="BH28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8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28" s="1324">
        <f ca="1">N(INDEX(CHOOSE(dbУчПрактикиКР[[#This Row],[код]],BPZS[ТО],BPLS[ТО],MPZS[ТО],MPLS[ТО]),dbУчПрактикиКР[[#This Row],[№]],0))</f>
        <v>0</v>
      </c>
      <c r="BK28" s="1325">
        <f ca="1">N(INDEX(CHOOSE(dbУчПрактикиКР[[#This Row],[код]],BPZS[КР],BPLS[КР],MPZS[КР],MPLS[КР]),dbУчПрактикиКР[[#This Row],[№]],0))</f>
        <v>0</v>
      </c>
      <c r="BL28" s="1318">
        <f ca="1">IFERROR(MATCH(dbУчПрактикиКР[[#This Row],[ВидПрактика]],T_Практики[Практика и курсова работа],0),0)</f>
        <v>0</v>
      </c>
      <c r="BM28" s="1340" t="str">
        <f ca="1">IF(dbУчПрактикиКР[[#This Row],[пВидПрактика]],INDEX(T_Практики[Студенти],dbУчПрактикиКР[[#This Row],[пВидПрактика]]),"-")</f>
        <v>-</v>
      </c>
      <c r="BN28" s="1340" t="str">
        <f ca="1">IF(dbУчПрактикиКР[[#This Row],[пВидПрактика]],INDEX(T_Практики[Група],dbУчПрактикиКР[[#This Row],[пВидПрактика]])*2,"-")</f>
        <v>-</v>
      </c>
      <c r="BO28" s="1341" t="str">
        <f ca="1">IF(dbУчПрактикиКР[[#This Row],[пВидПрактика]],INDEX(T_Практики[Ден],dbУчПрактикиКР[[#This Row],[пВидПрактика]])*4,"-")</f>
        <v>-</v>
      </c>
      <c r="BP28" s="1335">
        <f ca="1">IFERROR(AND(dbУчПрактикиКР[[#This Row],[ТО]]&lt;&gt;0,dbУчПрактикиКР[[#This Row],[ФормаОб]]=0)*1,0)</f>
        <v>0</v>
      </c>
      <c r="BQ28" s="1335">
        <f ca="1">IFERROR(AND(dbУчПрактикиКР[[#This Row],[Изпитани]]&lt;&gt;0,LEN(dbУчПрактикиКР[[#This Row],[Изпитващ]])=0)*1,0)</f>
        <v>0</v>
      </c>
      <c r="BR28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8" s="1335">
        <f ca="1">IFERROR(IF(dbУчПрактикиКР[[#This Row],[ФормаОб]]=list!$A$55,Coef!$B$10,Coef!$B$9),0)</f>
        <v>0.5</v>
      </c>
      <c r="BT28" s="1343">
        <v>5</v>
      </c>
      <c r="BU28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8" s="1335">
        <f ca="1">dbУчПрактикиКР[[#This Row],[кИзпитващ]]*N(dbУчПрактикиКР[[#This Row],[Изпитани]])</f>
        <v>0</v>
      </c>
      <c r="BW28" s="1335">
        <f ca="1">N(dbУчПрактикиКР[[#This Row],[ТО]])*N(dbУчПрактикиКР[[#This Row],[кTO]])</f>
        <v>0</v>
      </c>
      <c r="BX28" s="1343">
        <f ca="1">N(dbУчПрактикиКР[[#This Row],[КР]])*dbУчПрактикиКР[[#This Row],[кКР]]</f>
        <v>0</v>
      </c>
      <c r="BY28" s="1342">
        <f ca="1">N(INDEX(CHOOSE(dbУчПрактикиКР[[#This Row],[код]],BPZS[id_РД],BPLS[id_РД],MPZS[id_РД],MPLS[id_РД]),dbУчПрактикиКР[[#This Row],[№]],0))</f>
        <v>0</v>
      </c>
      <c r="BZ28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8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8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8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8" s="966" t="s">
        <v>681</v>
      </c>
      <c r="CH28" s="970" t="s">
        <v>407</v>
      </c>
      <c r="CI28" s="974">
        <v>2</v>
      </c>
      <c r="CJ28" s="978">
        <f ca="1">IF(dbДипломиране[[#This Row],[Семестър]]=OFFSET(dbДипломиране[[#This Row],[Семестър]],-1,0),N(OFFSET(dbДипломиране[[#This Row],[№]],-1,0))+1,1)</f>
        <v>8</v>
      </c>
      <c r="CK28" s="857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8" s="268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8" s="1366">
        <f ca="1">N(INDEX(CHOOSE(dbДипломиране[[#This Row],[код]],BDiplomiraneZS[ДР],BDiplomiraneLS[ФормаОб],MDiplomiraneZS[ДР],MDiplomiraneLS[ДР]),dbДипломиране[[#This Row],[№]],0))</f>
        <v>0</v>
      </c>
      <c r="CN28" s="1258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8" s="1257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8" s="1367">
        <f ca="1">dbДипломиране[[#This Row],[ДР]]*30</f>
        <v>0</v>
      </c>
      <c r="CQ28" s="1367">
        <f ca="1">dbДипломиране[[#This Row],[Рецензии]]*5</f>
        <v>0</v>
      </c>
      <c r="CR28" s="1368">
        <f ca="1">dbДипломиране[[#This Row],[И/ДИ/З]]*0.8</f>
        <v>0</v>
      </c>
    </row>
    <row r="29" spans="5:146" ht="16.5" x14ac:dyDescent="0.3">
      <c r="E29" s="915" t="s">
        <v>681</v>
      </c>
      <c r="F29" s="916" t="s">
        <v>406</v>
      </c>
      <c r="G29" s="846">
        <v>1</v>
      </c>
      <c r="H29" s="860">
        <f ca="1">IF(dbУчДисц[[#This Row],[Семестър]]=OFFSET(dbУчДисц[[#This Row],[Семестър]],-1,0),N(OFFSET(dbУчДисц[[#This Row],[№]],-1,0))+1,1)</f>
        <v>17</v>
      </c>
      <c r="I29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29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29" s="847" t="str">
        <f ca="1">T(INDEX(CHOOSE(dbУчДисц[[#This Row],[код]],BAZZS[Факултет],BAZLS[Факултет],MAZZS[Факултет],MAZLS[Факултет]),dbУчДисц[[#This Row],[№]],0))</f>
        <v/>
      </c>
      <c r="L29" s="878" t="str">
        <f ca="1">T(INDEX(CHOOSE(dbУчДисц[[#This Row],[код]],BAZZS[Вид],BAZLS[Вид],MAZZS[Вид],MAZLS[Вид]),dbУчДисц[[#This Row],[№]],0))</f>
        <v/>
      </c>
      <c r="M29" s="879" t="str">
        <f ca="1">T(INDEX(CHOOSE(dbУчДисц[[#This Row],[код]],BAZZS[Курс],BAZLS[Курс],MAZZS[Курс],MAZLS[Курс]),dbУчДисц[[#This Row],[№]],0))</f>
        <v/>
      </c>
      <c r="N29" s="237" t="str">
        <f ca="1">T(INDEX(CHOOSE(dbУчДисц[[#This Row],[код]],BAZZS[ФормаОб],BAZLS[ФормаОб],MAZZS[ФормаОб],MAZLS[ФормаОб]),dbУчДисц[[#This Row],[№]],0))</f>
        <v/>
      </c>
      <c r="O29" s="1249" cm="1">
        <f t="array" aca="1" ref="O29" ca="1">INDEX(CHOOSE(dbУчДисц[[#This Row],[код]],BAZZS[Студенти],BAZLS[Студенти],MAZZS[Студенти],MAZLS[Студенти]),dbУчДисц[[#This Row],[№]],0)</f>
        <v>0</v>
      </c>
      <c r="P29" s="1250" cm="1">
        <f t="array" aca="1" ref="P29" ca="1">INDEX(CHOOSE(dbУчДисц[[#This Row],[код]],BAZZS[Лекции],BAZLS[Лекции],MAZZS[Лекции],MAZLS[Лекции]),dbУчДисц[[#This Row],[№]],0)</f>
        <v>0</v>
      </c>
      <c r="Q29" s="1250" cm="1">
        <f t="array" aca="1" ref="Q29" ca="1">INDEX(CHOOSE(dbУчДисц[[#This Row],[код]],BAZZS[Упражнения],BAZLS[Упражнения],MAZZS[Упражнения],MAZLS[Упражнения]),dbУчДисц[[#This Row],[№]],0)</f>
        <v>0</v>
      </c>
      <c r="R29" s="880" t="str">
        <f ca="1">T(INDEX(CHOOSE(dbУчДисц[[#This Row],[код]],BAZZS[Език],BAZLS[Език],MAZZS[Език],MAZLS[Език]),dbУчДисц[[#This Row],[№]],0))</f>
        <v>БЕ</v>
      </c>
      <c r="S29" s="237" t="str">
        <f ca="1">T(INDEX(CHOOSE(dbУчДисц[[#This Row],[код]],BAZZS[ФормаОц],BAZLS[ФормаОц],MAZZS[ФормаОц],MAZLS[ФормаОц]),dbУчДисц[[#This Row],[№]],0))</f>
        <v/>
      </c>
      <c r="T29" s="240" t="str">
        <f ca="1">T(INDEX(CHOOSE(dbУчДисц[[#This Row],[код]],BAZZS[Изпитващ],BAZLS[Изпитващ],MAZZS[Изпитващ],MAZLS[Изпитващ]),dbУчДисц[[#This Row],[№]],0))</f>
        <v/>
      </c>
      <c r="U29" s="1250" cm="1">
        <f t="array" aca="1" ref="U29" ca="1">INDEX(CHOOSE(dbУчДисц[[#This Row],[код]],BAZZS[Изпитани],BAZLS[Изпитани],MAZZS[Изпитани],MAZLS[Изпитани]),dbУчДисц[[#This Row],[№]],0)</f>
        <v>0</v>
      </c>
      <c r="V29" s="1268" cm="1">
        <f t="array" aca="1" ref="V29" ca="1">INDEX(CHOOSE(dbУчДисц[[#This Row],[код]],BAZZS[ТО],BAZLS[ТО],MAZZS[ТО],MAZLS[ТО]),dbУчДисц[[#This Row],[№]],0)</f>
        <v>0</v>
      </c>
      <c r="W29" s="1268" cm="1">
        <f t="array" aca="1" ref="W29" ca="1">INDEX(CHOOSE(dbУчДисц[[#This Row],[код]],BAZZS[КР],BAZLS[КР],MAZZS[КР],MAZLS[КР]),dbУчДисц[[#This Row],[№]],0)</f>
        <v>0</v>
      </c>
      <c r="X29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29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29" s="1270">
        <f ca="1">IF(AND(dbУчДисц[[#This Row],[Изпитани]]&lt;&gt;0,dbУчДисц[[#This Row],[Изпитващ]]=0),1,0)</f>
        <v>0</v>
      </c>
      <c r="AA29" s="1271">
        <f ca="1">IFERROR(VLOOKUP(dbУчДисц[[#This Row],[Език]],Коефициент_Eзик[],2,0),0)</f>
        <v>1</v>
      </c>
      <c r="AB29" s="1272" cm="1">
        <f t="array" aca="1" ref="AB2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29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29" s="1273">
        <v>0.5</v>
      </c>
      <c r="AE29" s="1274">
        <v>5</v>
      </c>
      <c r="AF29" s="1271">
        <f ca="1">N(dbУчДисц[[#This Row],[Лекции]])*dbУчДисц[[#This Row],[кЕзик]]*dbУчДисц[[#This Row],[кСтуденти]]*кЛекции</f>
        <v>0</v>
      </c>
      <c r="AG29" s="1272">
        <f ca="1">N(dbУчДисц[[#This Row],[Упражнения]])*dbУчДисц[[#This Row],[кЕзик]]*dbУчДисц[[#This Row],[кСтуденти]]*кУпражнение</f>
        <v>0</v>
      </c>
      <c r="AH29" s="1272">
        <f ca="1">N(dbУчДисц[[#This Row],[Изпитани]])*dbУчДисц[[#This Row],[кИзпитващ]]</f>
        <v>0</v>
      </c>
      <c r="AI29" s="1273">
        <f ca="1">dbУчДисц[[#This Row],[ТО]]*dbУчДисц[[#This Row],[кTO]]</f>
        <v>0</v>
      </c>
      <c r="AJ29" s="1266">
        <f ca="1">dbУчДисц[[#This Row],[КР]]*dbУчДисц[[#This Row],[кКР]]</f>
        <v>0</v>
      </c>
      <c r="AK29" s="1275">
        <f ca="1">N(INDEX(CHOOSE(dbУчДисц[[#This Row],[код]],BAZZS[id_РД],BAZLS[id_РД],MAZZS[id_РД],MAZLS[id_РД]),dbУчДисц[[#This Row],[№]],0))</f>
        <v>0</v>
      </c>
      <c r="AL29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29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29" s="1383" t="str">
        <f ca="1">T(INDEX(CHOOSE(dbУчДисц[[#This Row],[код]],BAZZS[Факултет1],BAZLS[Факултет1],MAZZS[Факултет1],MAZLS[Факултет1]),dbУчДисц[[#This Row],[№]],0))</f>
        <v/>
      </c>
      <c r="AO29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29" s="931" t="s">
        <v>681</v>
      </c>
      <c r="AT29" s="955" t="s">
        <v>407</v>
      </c>
      <c r="AU29" s="950">
        <v>2</v>
      </c>
      <c r="AV29" s="981">
        <f ca="1">IF(dbУчПрактикиКР[[#This Row],[Семестър]]=OFFSET(dbУчПрактикиКР[[#This Row],[Семестър]],-1,0),N(OFFSET(dbУчПрактикиКР[[#This Row],[№]],-1,0))+1,1)</f>
        <v>7</v>
      </c>
      <c r="AW29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29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29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29" s="943" t="str">
        <f ca="1">T(INDEX(CHOOSE(dbУчПрактикиКР[[#This Row],[код]],BPZS[Вид],BPLS[Вид],MPZS[Вид],MPLS[Вид]),dbУчПрактикиКР[[#This Row],[№]],0))</f>
        <v/>
      </c>
      <c r="BA29" s="944" t="str">
        <f ca="1">T(INDEX(CHOOSE(dbУчПрактикиКР[[#This Row],[код]],BPZS[Курс],BPLS[Курс],MPZS[Курс],MPLS[Курс]),dbУчПрактикиКР[[#This Row],[№]],0))</f>
        <v/>
      </c>
      <c r="BB29" s="1034" t="str">
        <f ca="1">T(INDEX(CHOOSE(dbУчПрактикиКР[[#This Row],[код]],BPZS[ФормаОб],BPLS[ФормаОб],MPZS[ФормаОб],MPLS[ФормаОб]),dbУчПрактикиКР[[#This Row],[№]],0))</f>
        <v/>
      </c>
      <c r="BC29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29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29" s="1303">
        <f ca="1">N(INDEX(CHOOSE(dbУчПрактикиКР[[#This Row],[код]],BPZS[Група],BPLS[Група],MPZS[Група],MPLS[Група]),dbУчПрактикиКР[[#This Row],[№]],0))</f>
        <v>0</v>
      </c>
      <c r="BF29" s="1308">
        <f ca="1">N(INDEX(CHOOSE(dbУчПрактикиКР[[#This Row],[код]],BPZS[Ден],BPLS[Ден],MPZS[Ден],MPLS[Ден]),dbУчПрактикиКР[[#This Row],[№]],0))</f>
        <v>0</v>
      </c>
      <c r="BG29" s="1046" t="str">
        <f ca="1">T(INDEX(CHOOSE(dbУчПрактикиКР[[#This Row],[код]],BPZS[ФормаОц],BPLS[ФормаОц],MPZS[ФормаОц],MPLS[ФормаОц]),dbУчПрактикиКР[[#This Row],[№]],0))</f>
        <v/>
      </c>
      <c r="BH29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29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29" s="1324">
        <f ca="1">N(INDEX(CHOOSE(dbУчПрактикиКР[[#This Row],[код]],BPZS[ТО],BPLS[ТО],MPZS[ТО],MPLS[ТО]),dbУчПрактикиКР[[#This Row],[№]],0))</f>
        <v>0</v>
      </c>
      <c r="BK29" s="1325">
        <f ca="1">N(INDEX(CHOOSE(dbУчПрактикиКР[[#This Row],[код]],BPZS[КР],BPLS[КР],MPZS[КР],MPLS[КР]),dbУчПрактикиКР[[#This Row],[№]],0))</f>
        <v>0</v>
      </c>
      <c r="BL29" s="1318">
        <f ca="1">IFERROR(MATCH(dbУчПрактикиКР[[#This Row],[ВидПрактика]],T_Практики[Практика и курсова работа],0),0)</f>
        <v>0</v>
      </c>
      <c r="BM29" s="1340" t="str">
        <f ca="1">IF(dbУчПрактикиКР[[#This Row],[пВидПрактика]],INDEX(T_Практики[Студенти],dbУчПрактикиКР[[#This Row],[пВидПрактика]]),"-")</f>
        <v>-</v>
      </c>
      <c r="BN29" s="1340" t="str">
        <f ca="1">IF(dbУчПрактикиКР[[#This Row],[пВидПрактика]],INDEX(T_Практики[Група],dbУчПрактикиКР[[#This Row],[пВидПрактика]])*2,"-")</f>
        <v>-</v>
      </c>
      <c r="BO29" s="1341" t="str">
        <f ca="1">IF(dbУчПрактикиКР[[#This Row],[пВидПрактика]],INDEX(T_Практики[Ден],dbУчПрактикиКР[[#This Row],[пВидПрактика]])*4,"-")</f>
        <v>-</v>
      </c>
      <c r="BP29" s="1335">
        <f ca="1">IFERROR(AND(dbУчПрактикиКР[[#This Row],[ТО]]&lt;&gt;0,dbУчПрактикиКР[[#This Row],[ФормаОб]]=0)*1,0)</f>
        <v>0</v>
      </c>
      <c r="BQ29" s="1335">
        <f ca="1">IFERROR(AND(dbУчПрактикиКР[[#This Row],[Изпитани]]&lt;&gt;0,LEN(dbУчПрактикиКР[[#This Row],[Изпитващ]])=0)*1,0)</f>
        <v>0</v>
      </c>
      <c r="BR29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29" s="1335">
        <f ca="1">IFERROR(IF(dbУчПрактикиКР[[#This Row],[ФормаОб]]=list!$A$55,Coef!$B$10,Coef!$B$9),0)</f>
        <v>0.5</v>
      </c>
      <c r="BT29" s="1343">
        <v>5</v>
      </c>
      <c r="BU29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29" s="1335">
        <f ca="1">dbУчПрактикиКР[[#This Row],[кИзпитващ]]*N(dbУчПрактикиКР[[#This Row],[Изпитани]])</f>
        <v>0</v>
      </c>
      <c r="BW29" s="1335">
        <f ca="1">N(dbУчПрактикиКР[[#This Row],[ТО]])*N(dbУчПрактикиКР[[#This Row],[кTO]])</f>
        <v>0</v>
      </c>
      <c r="BX29" s="1343">
        <f ca="1">N(dbУчПрактикиКР[[#This Row],[КР]])*dbУчПрактикиКР[[#This Row],[кКР]]</f>
        <v>0</v>
      </c>
      <c r="BY29" s="1342">
        <f ca="1">N(INDEX(CHOOSE(dbУчПрактикиКР[[#This Row],[код]],BPZS[id_РД],BPLS[id_РД],MPZS[id_РД],MPLS[id_РД]),dbУчПрактикиКР[[#This Row],[№]],0))</f>
        <v>0</v>
      </c>
      <c r="BZ29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29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29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29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29" s="963" t="s">
        <v>682</v>
      </c>
      <c r="CH29" s="967" t="s">
        <v>406</v>
      </c>
      <c r="CI29" s="971">
        <v>3</v>
      </c>
      <c r="CJ29" s="975">
        <f ca="1">IF(dbДипломиране[[#This Row],[Семестър]]=OFFSET(dbДипломиране[[#This Row],[Семестър]],-1,0),N(OFFSET(dbДипломиране[[#This Row],[№]],-1,0))+1,1)</f>
        <v>1</v>
      </c>
      <c r="CK29" s="84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29" s="875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29" s="1358">
        <f ca="1">N(INDEX(CHOOSE(dbДипломиране[[#This Row],[код]],BDiplomiraneZS[ДР],BDiplomiraneLS[ФормаОб],MDiplomiraneZS[ДР],MDiplomiraneLS[ДР]),dbДипломиране[[#This Row],[№]],0))</f>
        <v>0</v>
      </c>
      <c r="CN29" s="1248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29" s="1247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29" s="1363">
        <f ca="1">dbДипломиране[[#This Row],[ДР]]*30</f>
        <v>0</v>
      </c>
      <c r="CQ29" s="1363">
        <f ca="1">dbДипломиране[[#This Row],[Рецензии]]*5</f>
        <v>0</v>
      </c>
      <c r="CR29" s="1364">
        <f ca="1">dbДипломиране[[#This Row],[И/ДИ/З]]*0.8</f>
        <v>0</v>
      </c>
    </row>
    <row r="30" spans="5:146" ht="16.5" x14ac:dyDescent="0.3">
      <c r="E30" s="915" t="s">
        <v>681</v>
      </c>
      <c r="F30" s="916" t="s">
        <v>406</v>
      </c>
      <c r="G30" s="846">
        <v>1</v>
      </c>
      <c r="H30" s="860">
        <f ca="1">IF(dbУчДисц[[#This Row],[Семестър]]=OFFSET(dbУчДисц[[#This Row],[Семестър]],-1,0),N(OFFSET(dbУчДисц[[#This Row],[№]],-1,0))+1,1)</f>
        <v>18</v>
      </c>
      <c r="I30" s="839" t="str">
        <f ca="1">T(INDEX(CHOOSE(dbУчДисц[[#This Row],[код]],BAZZS[Дисциплина],BAZLS[Дисциплина],MAZZS[Дисциплина],MAZLS[Дисциплина]),dbУчДисц[[#This Row],[№]],0))</f>
        <v/>
      </c>
      <c r="J30" s="853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0" s="847" t="str">
        <f ca="1">T(INDEX(CHOOSE(dbУчДисц[[#This Row],[код]],BAZZS[Факултет],BAZLS[Факултет],MAZZS[Факултет],MAZLS[Факултет]),dbУчДисц[[#This Row],[№]],0))</f>
        <v/>
      </c>
      <c r="L30" s="878" t="str">
        <f ca="1">T(INDEX(CHOOSE(dbУчДисц[[#This Row],[код]],BAZZS[Вид],BAZLS[Вид],MAZZS[Вид],MAZLS[Вид]),dbУчДисц[[#This Row],[№]],0))</f>
        <v/>
      </c>
      <c r="M30" s="879" t="str">
        <f ca="1">T(INDEX(CHOOSE(dbУчДисц[[#This Row],[код]],BAZZS[Курс],BAZLS[Курс],MAZZS[Курс],MAZLS[Курс]),dbУчДисц[[#This Row],[№]],0))</f>
        <v/>
      </c>
      <c r="N30" s="237" t="str">
        <f ca="1">T(INDEX(CHOOSE(dbУчДисц[[#This Row],[код]],BAZZS[ФормаОб],BAZLS[ФормаОб],MAZZS[ФормаОб],MAZLS[ФормаОб]),dbУчДисц[[#This Row],[№]],0))</f>
        <v/>
      </c>
      <c r="O30" s="1249" cm="1">
        <f t="array" aca="1" ref="O30" ca="1">INDEX(CHOOSE(dbУчДисц[[#This Row],[код]],BAZZS[Студенти],BAZLS[Студенти],MAZZS[Студенти],MAZLS[Студенти]),dbУчДисц[[#This Row],[№]],0)</f>
        <v>0</v>
      </c>
      <c r="P30" s="1250" cm="1">
        <f t="array" aca="1" ref="P30" ca="1">INDEX(CHOOSE(dbУчДисц[[#This Row],[код]],BAZZS[Лекции],BAZLS[Лекции],MAZZS[Лекции],MAZLS[Лекции]),dbУчДисц[[#This Row],[№]],0)</f>
        <v>0</v>
      </c>
      <c r="Q30" s="1250" cm="1">
        <f t="array" aca="1" ref="Q30" ca="1">INDEX(CHOOSE(dbУчДисц[[#This Row],[код]],BAZZS[Упражнения],BAZLS[Упражнения],MAZZS[Упражнения],MAZLS[Упражнения]),dbУчДисц[[#This Row],[№]],0)</f>
        <v>0</v>
      </c>
      <c r="R30" s="880" t="str">
        <f ca="1">T(INDEX(CHOOSE(dbУчДисц[[#This Row],[код]],BAZZS[Език],BAZLS[Език],MAZZS[Език],MAZLS[Език]),dbУчДисц[[#This Row],[№]],0))</f>
        <v>БЕ</v>
      </c>
      <c r="S30" s="237" t="str">
        <f ca="1">T(INDEX(CHOOSE(dbУчДисц[[#This Row],[код]],BAZZS[ФормаОц],BAZLS[ФормаОц],MAZZS[ФормаОц],MAZLS[ФормаОц]),dbУчДисц[[#This Row],[№]],0))</f>
        <v/>
      </c>
      <c r="T30" s="244" t="str">
        <f ca="1">T(INDEX(CHOOSE(dbУчДисц[[#This Row],[код]],BAZZS[Изпитващ],BAZLS[Изпитващ],MAZZS[Изпитващ],MAZLS[Изпитващ]),dbУчДисц[[#This Row],[№]],0))</f>
        <v/>
      </c>
      <c r="U30" s="1250" cm="1">
        <f t="array" aca="1" ref="U30" ca="1">INDEX(CHOOSE(dbУчДисц[[#This Row],[код]],BAZZS[Изпитани],BAZLS[Изпитани],MAZZS[Изпитани],MAZLS[Изпитани]),dbУчДисц[[#This Row],[№]],0)</f>
        <v>0</v>
      </c>
      <c r="V30" s="1268" cm="1">
        <f t="array" aca="1" ref="V30" ca="1">INDEX(CHOOSE(dbУчДисц[[#This Row],[код]],BAZZS[ТО],BAZLS[ТО],MAZZS[ТО],MAZLS[ТО]),dbУчДисц[[#This Row],[№]],0)</f>
        <v>0</v>
      </c>
      <c r="W30" s="1268" cm="1">
        <f t="array" aca="1" ref="W30" ca="1">INDEX(CHOOSE(dbУчДисц[[#This Row],[код]],BAZZS[КР],BAZLS[КР],MAZZS[КР],MAZLS[КР]),dbУчДисц[[#This Row],[№]],0)</f>
        <v>0</v>
      </c>
      <c r="X3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0" s="1270">
        <f ca="1">IF(AND(dbУчДисц[[#This Row],[Изпитани]]&lt;&gt;0,dbУчДисц[[#This Row],[Изпитващ]]=0),1,0)</f>
        <v>0</v>
      </c>
      <c r="AA30" s="1271">
        <f ca="1">IFERROR(VLOOKUP(dbУчДисц[[#This Row],[Език]],Коефициент_Eзик[],2,0),0)</f>
        <v>1</v>
      </c>
      <c r="AB30" s="1272" cm="1">
        <f t="array" aca="1" ref="AB3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0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0" s="1273">
        <v>0.5</v>
      </c>
      <c r="AE30" s="1274">
        <v>5</v>
      </c>
      <c r="AF30" s="1271">
        <f ca="1">N(dbУчДисц[[#This Row],[Лекции]])*dbУчДисц[[#This Row],[кЕзик]]*dbУчДисц[[#This Row],[кСтуденти]]*кЛекции</f>
        <v>0</v>
      </c>
      <c r="AG30" s="1272">
        <f ca="1">N(dbУчДисц[[#This Row],[Упражнения]])*dbУчДисц[[#This Row],[кЕзик]]*dbУчДисц[[#This Row],[кСтуденти]]*кУпражнение</f>
        <v>0</v>
      </c>
      <c r="AH30" s="1272">
        <f ca="1">N(dbУчДисц[[#This Row],[Изпитани]])*dbУчДисц[[#This Row],[кИзпитващ]]</f>
        <v>0</v>
      </c>
      <c r="AI30" s="1273">
        <f ca="1">dbУчДисц[[#This Row],[ТО]]*dbУчДисц[[#This Row],[кTO]]</f>
        <v>0</v>
      </c>
      <c r="AJ30" s="1266">
        <f ca="1">dbУчДисц[[#This Row],[КР]]*dbУчДисц[[#This Row],[кКР]]</f>
        <v>0</v>
      </c>
      <c r="AK30" s="1275">
        <f ca="1">N(INDEX(CHOOSE(dbУчДисц[[#This Row],[код]],BAZZS[id_РД],BAZLS[id_РД],MAZZS[id_РД],MAZLS[id_РД]),dbУчДисц[[#This Row],[№]],0))</f>
        <v>0</v>
      </c>
      <c r="AL30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0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0" s="1383" t="str">
        <f ca="1">T(INDEX(CHOOSE(dbУчДисц[[#This Row],[код]],BAZZS[Факултет1],BAZLS[Факултет1],MAZZS[Факултет1],MAZLS[Факултет1]),dbУчДисц[[#This Row],[№]],0))</f>
        <v/>
      </c>
      <c r="AO30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0" s="931" t="s">
        <v>681</v>
      </c>
      <c r="AT30" s="955" t="s">
        <v>407</v>
      </c>
      <c r="AU30" s="950">
        <v>2</v>
      </c>
      <c r="AV30" s="981">
        <f ca="1">IF(dbУчПрактикиКР[[#This Row],[Семестър]]=OFFSET(dbУчПрактикиКР[[#This Row],[Семестър]],-1,0),N(OFFSET(dbУчПрактикиКР[[#This Row],[№]],-1,0))+1,1)</f>
        <v>8</v>
      </c>
      <c r="AW30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0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0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0" s="943" t="str">
        <f ca="1">T(INDEX(CHOOSE(dbУчПрактикиКР[[#This Row],[код]],BPZS[Вид],BPLS[Вид],MPZS[Вид],MPLS[Вид]),dbУчПрактикиКР[[#This Row],[№]],0))</f>
        <v/>
      </c>
      <c r="BA30" s="944" t="str">
        <f ca="1">T(INDEX(CHOOSE(dbУчПрактикиКР[[#This Row],[код]],BPZS[Курс],BPLS[Курс],MPZS[Курс],MPLS[Курс]),dbУчПрактикиКР[[#This Row],[№]],0))</f>
        <v/>
      </c>
      <c r="BB30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0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0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0" s="1303">
        <f ca="1">N(INDEX(CHOOSE(dbУчПрактикиКР[[#This Row],[код]],BPZS[Група],BPLS[Група],MPZS[Група],MPLS[Група]),dbУчПрактикиКР[[#This Row],[№]],0))</f>
        <v>0</v>
      </c>
      <c r="BF30" s="1308">
        <f ca="1">N(INDEX(CHOOSE(dbУчПрактикиКР[[#This Row],[код]],BPZS[Ден],BPLS[Ден],MPZS[Ден],MPLS[Ден]),dbУчПрактикиКР[[#This Row],[№]],0))</f>
        <v>0</v>
      </c>
      <c r="BG30" s="1046" t="str">
        <f ca="1">T(INDEX(CHOOSE(dbУчПрактикиКР[[#This Row],[код]],BPZS[ФормаОц],BPLS[ФормаОц],MPZS[ФормаОц],MPLS[ФормаОц]),dbУчПрактикиКР[[#This Row],[№]],0))</f>
        <v/>
      </c>
      <c r="BH30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0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30" s="1324">
        <f ca="1">N(INDEX(CHOOSE(dbУчПрактикиКР[[#This Row],[код]],BPZS[ТО],BPLS[ТО],MPZS[ТО],MPLS[ТО]),dbУчПрактикиКР[[#This Row],[№]],0))</f>
        <v>0</v>
      </c>
      <c r="BK30" s="1325">
        <f ca="1">N(INDEX(CHOOSE(dbУчПрактикиКР[[#This Row],[код]],BPZS[КР],BPLS[КР],MPZS[КР],MPLS[КР]),dbУчПрактикиКР[[#This Row],[№]],0))</f>
        <v>0</v>
      </c>
      <c r="BL30" s="1318">
        <f ca="1">IFERROR(MATCH(dbУчПрактикиКР[[#This Row],[ВидПрактика]],T_Практики[Практика и курсова работа],0),0)</f>
        <v>0</v>
      </c>
      <c r="BM30" s="1340" t="str">
        <f ca="1">IF(dbУчПрактикиКР[[#This Row],[пВидПрактика]],INDEX(T_Практики[Студенти],dbУчПрактикиКР[[#This Row],[пВидПрактика]]),"-")</f>
        <v>-</v>
      </c>
      <c r="BN30" s="1340" t="str">
        <f ca="1">IF(dbУчПрактикиКР[[#This Row],[пВидПрактика]],INDEX(T_Практики[Група],dbУчПрактикиКР[[#This Row],[пВидПрактика]])*2,"-")</f>
        <v>-</v>
      </c>
      <c r="BO30" s="1341" t="str">
        <f ca="1">IF(dbУчПрактикиКР[[#This Row],[пВидПрактика]],INDEX(T_Практики[Ден],dbУчПрактикиКР[[#This Row],[пВидПрактика]])*4,"-")</f>
        <v>-</v>
      </c>
      <c r="BP30" s="1335">
        <f ca="1">IFERROR(AND(dbУчПрактикиКР[[#This Row],[ТО]]&lt;&gt;0,dbУчПрактикиКР[[#This Row],[ФормаОб]]=0)*1,0)</f>
        <v>0</v>
      </c>
      <c r="BQ30" s="1335">
        <f ca="1">IFERROR(AND(dbУчПрактикиКР[[#This Row],[Изпитани]]&lt;&gt;0,LEN(dbУчПрактикиКР[[#This Row],[Изпитващ]])=0)*1,0)</f>
        <v>0</v>
      </c>
      <c r="BR30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0" s="1335">
        <f ca="1">IFERROR(IF(dbУчПрактикиКР[[#This Row],[ФормаОб]]=list!$A$55,Coef!$B$10,Coef!$B$9),0)</f>
        <v>0.5</v>
      </c>
      <c r="BT30" s="1343">
        <v>5</v>
      </c>
      <c r="BU30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0" s="1335">
        <f ca="1">dbУчПрактикиКР[[#This Row],[кИзпитващ]]*N(dbУчПрактикиКР[[#This Row],[Изпитани]])</f>
        <v>0</v>
      </c>
      <c r="BW30" s="1335">
        <f ca="1">N(dbУчПрактикиКР[[#This Row],[ТО]])*N(dbУчПрактикиКР[[#This Row],[кTO]])</f>
        <v>0</v>
      </c>
      <c r="BX30" s="1343">
        <f ca="1">N(dbУчПрактикиКР[[#This Row],[КР]])*dbУчПрактикиКР[[#This Row],[кКР]]</f>
        <v>0</v>
      </c>
      <c r="BY30" s="1342">
        <f ca="1">N(INDEX(CHOOSE(dbУчПрактикиКР[[#This Row],[код]],BPZS[id_РД],BPLS[id_РД],MPZS[id_РД],MPLS[id_РД]),dbУчПрактикиКР[[#This Row],[№]],0))</f>
        <v>0</v>
      </c>
      <c r="BZ30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0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0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0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0" s="964" t="s">
        <v>682</v>
      </c>
      <c r="CH30" s="968" t="s">
        <v>406</v>
      </c>
      <c r="CI30" s="972">
        <v>3</v>
      </c>
      <c r="CJ30" s="976">
        <f ca="1">IF(dbДипломиране[[#This Row],[Семестър]]=OFFSET(dbДипломиране[[#This Row],[Семестър]],-1,0),N(OFFSET(dbДипломиране[[#This Row],[№]],-1,0))+1,1)</f>
        <v>2</v>
      </c>
      <c r="CK30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0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0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0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0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0" s="1359">
        <f ca="1">dbДипломиране[[#This Row],[ДР]]*30</f>
        <v>0</v>
      </c>
      <c r="CQ30" s="1359">
        <f ca="1">dbДипломиране[[#This Row],[Рецензии]]*5</f>
        <v>0</v>
      </c>
      <c r="CR30" s="1365">
        <f ca="1">dbДипломиране[[#This Row],[И/ДИ/З]]*0.8</f>
        <v>0</v>
      </c>
    </row>
    <row r="31" spans="5:146" ht="17.25" thickBot="1" x14ac:dyDescent="0.35">
      <c r="E31" s="917" t="s">
        <v>681</v>
      </c>
      <c r="F31" s="918" t="s">
        <v>406</v>
      </c>
      <c r="G31" s="848">
        <v>1</v>
      </c>
      <c r="H31" s="861">
        <f ca="1">IF(dbУчДисц[[#This Row],[Семестър]]=OFFSET(dbУчДисц[[#This Row],[Семестър]],-1,0),N(OFFSET(dbУчДисц[[#This Row],[№]],-1,0))+1,1)</f>
        <v>19</v>
      </c>
      <c r="I31" s="850" t="str">
        <f ca="1">T(INDEX(CHOOSE(dbУчДисц[[#This Row],[код]],BAZZS[Дисциплина],BAZLS[Дисциплина],MAZZS[Дисциплина],MAZLS[Дисциплина]),dbУчДисц[[#This Row],[№]],0))</f>
        <v/>
      </c>
      <c r="J31" s="854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1" s="851" t="str">
        <f ca="1">T(INDEX(CHOOSE(dbУчДисц[[#This Row],[код]],BAZZS[Факултет],BAZLS[Факултет],MAZZS[Факултет],MAZLS[Факултет]),dbУчДисц[[#This Row],[№]],0))</f>
        <v/>
      </c>
      <c r="L31" s="883" t="str">
        <f ca="1">T(INDEX(CHOOSE(dbУчДисц[[#This Row],[код]],BAZZS[Вид],BAZLS[Вид],MAZZS[Вид],MAZLS[Вид]),dbУчДисц[[#This Row],[№]],0))</f>
        <v/>
      </c>
      <c r="M31" s="884" t="str">
        <f ca="1">T(INDEX(CHOOSE(dbУчДисц[[#This Row],[код]],BAZZS[Курс],BAZLS[Курс],MAZZS[Курс],MAZLS[Курс]),dbУчДисц[[#This Row],[№]],0))</f>
        <v/>
      </c>
      <c r="N31" s="885" t="str">
        <f ca="1">T(INDEX(CHOOSE(dbУчДисц[[#This Row],[код]],BAZZS[ФормаОб],BAZLS[ФормаОб],MAZZS[ФормаОб],MAZLS[ФормаОб]),dbУчДисц[[#This Row],[№]],0))</f>
        <v/>
      </c>
      <c r="O31" s="1251" cm="1">
        <f t="array" aca="1" ref="O31" ca="1">INDEX(CHOOSE(dbУчДисц[[#This Row],[код]],BAZZS[Студенти],BAZLS[Студенти],MAZZS[Студенти],MAZLS[Студенти]),dbУчДисц[[#This Row],[№]],0)</f>
        <v>0</v>
      </c>
      <c r="P31" s="1252" cm="1">
        <f t="array" aca="1" ref="P31" ca="1">INDEX(CHOOSE(dbУчДисц[[#This Row],[код]],BAZZS[Лекции],BAZLS[Лекции],MAZZS[Лекции],MAZLS[Лекции]),dbУчДисц[[#This Row],[№]],0)</f>
        <v>0</v>
      </c>
      <c r="Q31" s="1252" cm="1">
        <f t="array" aca="1" ref="Q31" ca="1">INDEX(CHOOSE(dbУчДисц[[#This Row],[код]],BAZZS[Упражнения],BAZLS[Упражнения],MAZZS[Упражнения],MAZLS[Упражнения]),dbУчДисц[[#This Row],[№]],0)</f>
        <v>0</v>
      </c>
      <c r="R31" s="887" t="str">
        <f ca="1">T(INDEX(CHOOSE(dbУчДисц[[#This Row],[код]],BAZZS[Език],BAZLS[Език],MAZZS[Език],MAZLS[Език]),dbУчДисц[[#This Row],[№]],0))</f>
        <v>БЕ</v>
      </c>
      <c r="S31" s="885" t="str">
        <f ca="1">T(INDEX(CHOOSE(dbУчДисц[[#This Row],[код]],BAZZS[ФормаОц],BAZLS[ФормаОц],MAZZS[ФормаОц],MAZLS[ФормаОц]),dbУчДисц[[#This Row],[№]],0))</f>
        <v/>
      </c>
      <c r="T31" s="886" t="str">
        <f ca="1">T(INDEX(CHOOSE(dbУчДисц[[#This Row],[код]],BAZZS[Изпитващ],BAZLS[Изпитващ],MAZZS[Изпитващ],MAZLS[Изпитващ]),dbУчДисц[[#This Row],[№]],0))</f>
        <v/>
      </c>
      <c r="U31" s="1252" cm="1">
        <f t="array" aca="1" ref="U31" ca="1">INDEX(CHOOSE(dbУчДисц[[#This Row],[код]],BAZZS[Изпитани],BAZLS[Изпитани],MAZZS[Изпитани],MAZLS[Изпитани]),dbУчДисц[[#This Row],[№]],0)</f>
        <v>0</v>
      </c>
      <c r="V31" s="1276" cm="1">
        <f t="array" aca="1" ref="V31" ca="1">INDEX(CHOOSE(dbУчДисц[[#This Row],[код]],BAZZS[ТО],BAZLS[ТО],MAZZS[ТО],MAZLS[ТО]),dbУчДисц[[#This Row],[№]],0)</f>
        <v>0</v>
      </c>
      <c r="W31" s="1276" cm="1">
        <f t="array" aca="1" ref="W31" ca="1">INDEX(CHOOSE(dbУчДисц[[#This Row],[код]],BAZZS[КР],BAZLS[КР],MAZZS[КР],MAZLS[КР]),dbУчДисц[[#This Row],[№]],0)</f>
        <v>0</v>
      </c>
      <c r="X31" s="1277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1" s="1278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1" s="1278">
        <f ca="1">IF(AND(dbУчДисц[[#This Row],[Изпитани]]&lt;&gt;0,dbУчДисц[[#This Row],[Изпитващ]]=0),1,0)</f>
        <v>0</v>
      </c>
      <c r="AA31" s="1279">
        <f ca="1">IFERROR(VLOOKUP(dbУчДисц[[#This Row],[Език]],Коефициент_Eзик[],2,0),0)</f>
        <v>1</v>
      </c>
      <c r="AB31" s="1280" cm="1">
        <f t="array" aca="1" ref="AB3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1" s="1280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1" s="1281">
        <v>0.5</v>
      </c>
      <c r="AE31" s="1282">
        <v>5</v>
      </c>
      <c r="AF31" s="1279">
        <f ca="1">N(dbУчДисц[[#This Row],[Лекции]])*dbУчДисц[[#This Row],[кЕзик]]*dbУчДисц[[#This Row],[кСтуденти]]*кЛекции</f>
        <v>0</v>
      </c>
      <c r="AG31" s="1280">
        <f ca="1">N(dbУчДисц[[#This Row],[Упражнения]])*dbУчДисц[[#This Row],[кЕзик]]*dbУчДисц[[#This Row],[кСтуденти]]*кУпражнение</f>
        <v>0</v>
      </c>
      <c r="AH31" s="1280">
        <f ca="1">N(dbУчДисц[[#This Row],[Изпитани]])*dbУчДисц[[#This Row],[кИзпитващ]]</f>
        <v>0</v>
      </c>
      <c r="AI31" s="1281">
        <f ca="1">dbУчДисц[[#This Row],[ТО]]*dbУчДисц[[#This Row],[кTO]]</f>
        <v>0</v>
      </c>
      <c r="AJ31" s="1266">
        <f ca="1">dbУчДисц[[#This Row],[КР]]*dbУчДисц[[#This Row],[кКР]]</f>
        <v>0</v>
      </c>
      <c r="AK31" s="1283">
        <f ca="1">N(INDEX(CHOOSE(dbУчДисц[[#This Row],[код]],BAZZS[id_РД],BAZLS[id_РД],MAZZS[id_РД],MAZLS[id_РД]),dbУчДисц[[#This Row],[№]],0))</f>
        <v>0</v>
      </c>
      <c r="AL31" s="1385" t="str">
        <f ca="1">T(INDEX(CHOOSE(dbУчДисц[[#This Row],[код]],BAZZS[Дисциплина1],BAZLS[Дисциплина1],MAZZS[Дисциплина1],MAZLS[Дисциплина1]),dbУчДисц[[#This Row],[№]],0))</f>
        <v/>
      </c>
      <c r="AM31" s="1385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1" s="1385" t="str">
        <f ca="1">T(INDEX(CHOOSE(dbУчДисц[[#This Row],[код]],BAZZS[Факултет1],BAZLS[Факултет1],MAZZS[Факултет1],MAZLS[Факултет1]),dbУчДисц[[#This Row],[№]],0))</f>
        <v/>
      </c>
      <c r="AO31" s="1386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1" s="931" t="s">
        <v>681</v>
      </c>
      <c r="AT31" s="955" t="s">
        <v>407</v>
      </c>
      <c r="AU31" s="950">
        <v>2</v>
      </c>
      <c r="AV31" s="981">
        <f ca="1">IF(dbУчПрактикиКР[[#This Row],[Семестър]]=OFFSET(dbУчПрактикиКР[[#This Row],[Семестър]],-1,0),N(OFFSET(dbУчПрактикиКР[[#This Row],[№]],-1,0))+1,1)</f>
        <v>9</v>
      </c>
      <c r="AW31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1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1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1" s="943" t="str">
        <f ca="1">T(INDEX(CHOOSE(dbУчПрактикиКР[[#This Row],[код]],BPZS[Вид],BPLS[Вид],MPZS[Вид],MPLS[Вид]),dbУчПрактикиКР[[#This Row],[№]],0))</f>
        <v/>
      </c>
      <c r="BA31" s="944" t="str">
        <f ca="1">T(INDEX(CHOOSE(dbУчПрактикиКР[[#This Row],[код]],BPZS[Курс],BPLS[Курс],MPZS[Курс],MPLS[Курс]),dbУчПрактикиКР[[#This Row],[№]],0))</f>
        <v/>
      </c>
      <c r="BB31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1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1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1" s="1303">
        <f ca="1">N(INDEX(CHOOSE(dbУчПрактикиКР[[#This Row],[код]],BPZS[Група],BPLS[Група],MPZS[Група],MPLS[Група]),dbУчПрактикиКР[[#This Row],[№]],0))</f>
        <v>0</v>
      </c>
      <c r="BF31" s="1308">
        <f ca="1">N(INDEX(CHOOSE(dbУчПрактикиКР[[#This Row],[код]],BPZS[Ден],BPLS[Ден],MPZS[Ден],MPLS[Ден]),dbУчПрактикиКР[[#This Row],[№]],0))</f>
        <v>0</v>
      </c>
      <c r="BG31" s="1046" t="str">
        <f ca="1">T(INDEX(CHOOSE(dbУчПрактикиКР[[#This Row],[код]],BPZS[ФормаОц],BPLS[ФормаОц],MPZS[ФормаОц],MPLS[ФормаОц]),dbУчПрактикиКР[[#This Row],[№]],0))</f>
        <v/>
      </c>
      <c r="BH31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1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31" s="1324">
        <f ca="1">N(INDEX(CHOOSE(dbУчПрактикиКР[[#This Row],[код]],BPZS[ТО],BPLS[ТО],MPZS[ТО],MPLS[ТО]),dbУчПрактикиКР[[#This Row],[№]],0))</f>
        <v>0</v>
      </c>
      <c r="BK31" s="1325">
        <f ca="1">N(INDEX(CHOOSE(dbУчПрактикиКР[[#This Row],[код]],BPZS[КР],BPLS[КР],MPZS[КР],MPLS[КР]),dbУчПрактикиКР[[#This Row],[№]],0))</f>
        <v>0</v>
      </c>
      <c r="BL31" s="1318">
        <f ca="1">IFERROR(MATCH(dbУчПрактикиКР[[#This Row],[ВидПрактика]],T_Практики[Практика и курсова работа],0),0)</f>
        <v>0</v>
      </c>
      <c r="BM31" s="1340" t="str">
        <f ca="1">IF(dbУчПрактикиКР[[#This Row],[пВидПрактика]],INDEX(T_Практики[Студенти],dbУчПрактикиКР[[#This Row],[пВидПрактика]]),"-")</f>
        <v>-</v>
      </c>
      <c r="BN31" s="1340" t="str">
        <f ca="1">IF(dbУчПрактикиКР[[#This Row],[пВидПрактика]],INDEX(T_Практики[Група],dbУчПрактикиКР[[#This Row],[пВидПрактика]])*2,"-")</f>
        <v>-</v>
      </c>
      <c r="BO31" s="1341" t="str">
        <f ca="1">IF(dbУчПрактикиКР[[#This Row],[пВидПрактика]],INDEX(T_Практики[Ден],dbУчПрактикиКР[[#This Row],[пВидПрактика]])*4,"-")</f>
        <v>-</v>
      </c>
      <c r="BP31" s="1335">
        <f ca="1">IFERROR(AND(dbУчПрактикиКР[[#This Row],[ТО]]&lt;&gt;0,dbУчПрактикиКР[[#This Row],[ФормаОб]]=0)*1,0)</f>
        <v>0</v>
      </c>
      <c r="BQ31" s="1335">
        <f ca="1">IFERROR(AND(dbУчПрактикиКР[[#This Row],[Изпитани]]&lt;&gt;0,LEN(dbУчПрактикиКР[[#This Row],[Изпитващ]])=0)*1,0)</f>
        <v>0</v>
      </c>
      <c r="BR31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1" s="1335">
        <f ca="1">IFERROR(IF(dbУчПрактикиКР[[#This Row],[ФормаОб]]=list!$A$55,Coef!$B$10,Coef!$B$9),0)</f>
        <v>0.5</v>
      </c>
      <c r="BT31" s="1343">
        <v>5</v>
      </c>
      <c r="BU31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1" s="1335">
        <f ca="1">dbУчПрактикиКР[[#This Row],[кИзпитващ]]*N(dbУчПрактикиКР[[#This Row],[Изпитани]])</f>
        <v>0</v>
      </c>
      <c r="BW31" s="1335">
        <f ca="1">N(dbУчПрактикиКР[[#This Row],[ТО]])*N(dbУчПрактикиКР[[#This Row],[кTO]])</f>
        <v>0</v>
      </c>
      <c r="BX31" s="1343">
        <f ca="1">N(dbУчПрактикиКР[[#This Row],[КР]])*dbУчПрактикиКР[[#This Row],[кКР]]</f>
        <v>0</v>
      </c>
      <c r="BY31" s="1342">
        <f ca="1">N(INDEX(CHOOSE(dbУчПрактикиКР[[#This Row],[код]],BPZS[id_РД],BPLS[id_РД],MPZS[id_РД],MPLS[id_РД]),dbУчПрактикиКР[[#This Row],[№]],0))</f>
        <v>0</v>
      </c>
      <c r="BZ31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1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1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1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1" s="964" t="s">
        <v>682</v>
      </c>
      <c r="CH31" s="968" t="s">
        <v>406</v>
      </c>
      <c r="CI31" s="972">
        <v>3</v>
      </c>
      <c r="CJ31" s="978">
        <f ca="1">IF(dbДипломиране[[#This Row],[Семестър]]=OFFSET(dbДипломиране[[#This Row],[Семестър]],-1,0),N(OFFSET(dbДипломиране[[#This Row],[№]],-1,0))+1,1)</f>
        <v>3</v>
      </c>
      <c r="CK31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1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1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1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1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1" s="1359">
        <f ca="1">dbДипломиране[[#This Row],[ДР]]*30</f>
        <v>0</v>
      </c>
      <c r="CQ31" s="1359">
        <f ca="1">dbДипломиране[[#This Row],[Рецензии]]*5</f>
        <v>0</v>
      </c>
      <c r="CR31" s="1365">
        <f ca="1">dbДипломиране[[#This Row],[И/ДИ/З]]*0.8</f>
        <v>0</v>
      </c>
    </row>
    <row r="32" spans="5:146" ht="17.25" thickBot="1" x14ac:dyDescent="0.35">
      <c r="E32" s="919" t="s">
        <v>681</v>
      </c>
      <c r="F32" s="920" t="s">
        <v>407</v>
      </c>
      <c r="G32" s="666">
        <v>2</v>
      </c>
      <c r="H32" s="860">
        <f ca="1">IF(dbУчДисц[[#This Row],[Семестър]]=OFFSET(dbУчДисц[[#This Row],[Семестър]],-1,0),N(OFFSET(dbУчДисц[[#This Row],[№]],-1,0))+1,1)</f>
        <v>1</v>
      </c>
      <c r="I32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2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2" s="842" t="str">
        <f ca="1">T(INDEX(CHOOSE(dbУчДисц[[#This Row],[код]],BAZZS[Факултет],BAZLS[Факултет],MAZZS[Факултет],MAZLS[Факултет]),dbУчДисц[[#This Row],[№]],0))</f>
        <v/>
      </c>
      <c r="L32" s="265" t="str">
        <f ca="1">T(INDEX(CHOOSE(dbУчДисц[[#This Row],[код]],BAZZS[Вид],BAZLS[Вид],MAZZS[Вид],MAZLS[Вид]),dbУчДисц[[#This Row],[№]],0))</f>
        <v/>
      </c>
      <c r="M32" s="243" t="str">
        <f ca="1">T(INDEX(CHOOSE(dbУчДисц[[#This Row],[код]],BAZZS[Курс],BAZLS[Курс],MAZZS[Курс],MAZLS[Курс]),dbУчДисц[[#This Row],[№]],0))</f>
        <v/>
      </c>
      <c r="N32" s="243" t="str">
        <f ca="1">T(INDEX(CHOOSE(dbУчДисц[[#This Row],[код]],BAZZS[ФормаОб],BAZLS[ФормаОб],MAZZS[ФормаОб],MAZLS[ФормаОб]),dbУчДисц[[#This Row],[№]],0))</f>
        <v/>
      </c>
      <c r="O32" s="1253" cm="1">
        <f t="array" aca="1" ref="O32" ca="1">INDEX(CHOOSE(dbУчДисц[[#This Row],[код]],BAZZS[Студенти],BAZLS[Студенти],MAZZS[Студенти],MAZLS[Студенти]),dbУчДисц[[#This Row],[№]],0)</f>
        <v>0</v>
      </c>
      <c r="P32" s="1254" cm="1">
        <f t="array" aca="1" ref="P32" ca="1">INDEX(CHOOSE(dbУчДисц[[#This Row],[код]],BAZZS[Лекции],BAZLS[Лекции],MAZZS[Лекции],MAZLS[Лекции]),dbУчДисц[[#This Row],[№]],0)</f>
        <v>0</v>
      </c>
      <c r="Q32" s="1254" cm="1">
        <f t="array" aca="1" ref="Q32" ca="1">INDEX(CHOOSE(dbУчДисц[[#This Row],[код]],BAZZS[Упражнения],BAZLS[Упражнения],MAZZS[Упражнения],MAZLS[Упражнения]),dbУчДисц[[#This Row],[№]],0)</f>
        <v>0</v>
      </c>
      <c r="R32" s="892" t="str">
        <f ca="1">T(INDEX(CHOOSE(dbУчДисц[[#This Row],[код]],BAZZS[Език],BAZLS[Език],MAZZS[Език],MAZLS[Език]),dbУчДисц[[#This Row],[№]],0))</f>
        <v>БЕ</v>
      </c>
      <c r="S32" s="243" t="str">
        <f ca="1">T(INDEX(CHOOSE(dbУчДисц[[#This Row],[код]],BAZZS[ФормаОц],BAZLS[ФормаОц],MAZZS[ФормаОц],MAZLS[ФормаОц]),dbУчДисц[[#This Row],[№]],0))</f>
        <v/>
      </c>
      <c r="T32" s="244" t="str">
        <f ca="1">T(INDEX(CHOOSE(dbУчДисц[[#This Row],[код]],BAZZS[Изпитващ],BAZLS[Изпитващ],MAZZS[Изпитващ],MAZLS[Изпитващ]),dbУчДисц[[#This Row],[№]],0))</f>
        <v/>
      </c>
      <c r="U32" s="1254" cm="1">
        <f t="array" aca="1" ref="U32" ca="1">INDEX(CHOOSE(dbУчДисц[[#This Row],[код]],BAZZS[Изпитани],BAZLS[Изпитани],MAZZS[Изпитани],MAZLS[Изпитани]),dbУчДисц[[#This Row],[№]],0)</f>
        <v>0</v>
      </c>
      <c r="V32" s="1268" cm="1">
        <f t="array" aca="1" ref="V32" ca="1">INDEX(CHOOSE(dbУчДисц[[#This Row],[код]],BAZZS[ТО],BAZLS[ТО],MAZZS[ТО],MAZLS[ТО]),dbУчДисц[[#This Row],[№]],0)</f>
        <v>0</v>
      </c>
      <c r="W32" s="1268" cm="1">
        <f t="array" aca="1" ref="W32" ca="1">INDEX(CHOOSE(dbУчДисц[[#This Row],[код]],BAZZS[КР],BAZLS[КР],MAZZS[КР],MAZLS[КР]),dbУчДисц[[#This Row],[№]],0)</f>
        <v>0</v>
      </c>
      <c r="X3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2" s="1270">
        <f ca="1">IF(AND(dbУчДисц[[#This Row],[Изпитани]]&lt;&gt;0,dbУчДисц[[#This Row],[Изпитващ]]=0),1,0)</f>
        <v>0</v>
      </c>
      <c r="AA32" s="1284">
        <f ca="1">IFERROR(VLOOKUP(dbУчДисц[[#This Row],[Език]],Коефициент_Eзик[],2,0),0)</f>
        <v>1</v>
      </c>
      <c r="AB32" s="1285" cm="1">
        <f t="array" aca="1" ref="AB3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2" s="1285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2" s="1286">
        <v>0.5</v>
      </c>
      <c r="AE32" s="1287">
        <v>5</v>
      </c>
      <c r="AF32" s="1284">
        <f ca="1">N(dbУчДисц[[#This Row],[Лекции]])*dbУчДисц[[#This Row],[кЕзик]]*dbУчДисц[[#This Row],[кСтуденти]]*кЛекции</f>
        <v>0</v>
      </c>
      <c r="AG32" s="1285">
        <f ca="1">N(dbУчДисц[[#This Row],[Упражнения]])*dbУчДисц[[#This Row],[кЕзик]]*dbУчДисц[[#This Row],[кСтуденти]]*кУпражнение</f>
        <v>0</v>
      </c>
      <c r="AH32" s="1285">
        <f ca="1">N(dbУчДисц[[#This Row],[Изпитани]])*dbУчДисц[[#This Row],[кИзпитващ]]</f>
        <v>0</v>
      </c>
      <c r="AI32" s="1286">
        <f ca="1">dbУчДисц[[#This Row],[ТО]]*dbУчДисц[[#This Row],[кTO]]</f>
        <v>0</v>
      </c>
      <c r="AJ32" s="1288">
        <f ca="1">dbУчДисц[[#This Row],[КР]]*dbУчДисц[[#This Row],[кКР]]</f>
        <v>0</v>
      </c>
      <c r="AK32" s="1267">
        <f ca="1">N(INDEX(CHOOSE(dbУчДисц[[#This Row],[код]],BAZZS[id_РД],BAZLS[id_РД],MAZZS[id_РД],MAZLS[id_РД]),dbУчДисц[[#This Row],[№]],0))</f>
        <v>0</v>
      </c>
      <c r="AL32" s="1381" t="str">
        <f ca="1">T(INDEX(CHOOSE(dbУчДисц[[#This Row],[код]],BAZZS[Дисциплина1],BAZLS[Дисциплина1],MAZZS[Дисциплина1],MAZLS[Дисциплина1]),dbУчДисц[[#This Row],[№]],0))</f>
        <v/>
      </c>
      <c r="AM32" s="1381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2" s="1381" t="str">
        <f ca="1">T(INDEX(CHOOSE(dbУчДисц[[#This Row],[код]],BAZZS[Факултет1],BAZLS[Факултет1],MAZZS[Факултет1],MAZLS[Факултет1]),dbУчДисц[[#This Row],[№]],0))</f>
        <v/>
      </c>
      <c r="AO32" s="1382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2" s="937" t="s">
        <v>681</v>
      </c>
      <c r="AT32" s="958" t="s">
        <v>407</v>
      </c>
      <c r="AU32" s="953">
        <v>2</v>
      </c>
      <c r="AV32" s="983">
        <f ca="1">IF(dbУчПрактикиКР[[#This Row],[Семестър]]=OFFSET(dbУчПрактикиКР[[#This Row],[Семестър]],-1,0),N(OFFSET(dbУчПрактикиКР[[#This Row],[№]],-1,0))+1,1)</f>
        <v>10</v>
      </c>
      <c r="AW32" s="850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2" s="1029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2" s="267" t="str">
        <f ca="1">T(INDEX(CHOOSE(dbУчПрактикиКР[[#This Row],[код]],BPZS[Факултет],BPLS[Факултет],MPZS[Факултет],MPLS[Факултет]),dbУчПрактикиКР[[#This Row],[№]],0))</f>
        <v/>
      </c>
      <c r="AZ32" s="945" t="str">
        <f ca="1">T(INDEX(CHOOSE(dbУчПрактикиКР[[#This Row],[код]],BPZS[Вид],BPLS[Вид],MPZS[Вид],MPLS[Вид]),dbУчПрактикиКР[[#This Row],[№]],0))</f>
        <v/>
      </c>
      <c r="BA32" s="947" t="str">
        <f ca="1">T(INDEX(CHOOSE(dbУчПрактикиКР[[#This Row],[код]],BPZS[Курс],BPLS[Курс],MPZS[Курс],MPLS[Курс]),dbУчПрактикиКР[[#This Row],[№]],0))</f>
        <v/>
      </c>
      <c r="BB32" s="1048" t="str">
        <f ca="1">T(INDEX(CHOOSE(dbУчПрактикиКР[[#This Row],[код]],BPZS[ФормаОб],BPLS[ФормаОб],MPZS[ФормаОб],MPLS[ФормаОб]),dbУчПрактикиКР[[#This Row],[№]],0))</f>
        <v/>
      </c>
      <c r="BC32" s="1299">
        <f ca="1">N(INDEX(CHOOSE(dbУчПрактикиКР[[#This Row],[код]],BPZS[Студенти],BPLS[Студенти],MPZS[Студенти],MPLS[Студенти]),dbУчПрактикиКР[[#This Row],[№]],0))</f>
        <v>0</v>
      </c>
      <c r="BD32" s="1049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2" s="1309">
        <f ca="1">N(INDEX(CHOOSE(dbУчПрактикиКР[[#This Row],[код]],BPZS[Група],BPLS[Група],MPZS[Група],MPLS[Група]),dbУчПрактикиКР[[#This Row],[№]],0))</f>
        <v>0</v>
      </c>
      <c r="BF32" s="1310">
        <f ca="1">N(INDEX(CHOOSE(dbУчПрактикиКР[[#This Row],[код]],BPZS[Ден],BPLS[Ден],MPZS[Ден],MPLS[Ден]),dbУчПрактикиКР[[#This Row],[№]],0))</f>
        <v>0</v>
      </c>
      <c r="BG32" s="1050" t="str">
        <f ca="1">T(INDEX(CHOOSE(dbУчПрактикиКР[[#This Row],[код]],BPZS[ФормаОц],BPLS[ФормаОц],MPZS[ФормаОц],MPLS[ФормаОц]),dbУчПрактикиКР[[#This Row],[№]],0))</f>
        <v/>
      </c>
      <c r="BH32" s="1051" t="str">
        <f ca="1">T(INDEX(CHOOSE(dbУчПрактикиКР[[#This Row],[код]],BPZS[Изпитващ],BPLS[Изпитващ],MPZS[Изпитващ],MPLS[Изпитващ]),dbУчПрактикиКР[[#This Row],[№]],0))</f>
        <v/>
      </c>
      <c r="BI32" s="1326">
        <f ca="1">N(INDEX(CHOOSE(dbУчПрактикиКР[[#This Row],[код]],BPZS[Изпитани],BPLS[Изпитани],MPZS[Изпитани],MPLS[Изпитани]),dbУчПрактикиКР[[#This Row],[№]],0))</f>
        <v>0</v>
      </c>
      <c r="BJ32" s="1327">
        <f ca="1">N(INDEX(CHOOSE(dbУчПрактикиКР[[#This Row],[код]],BPZS[ТО],BPLS[ТО],MPZS[ТО],MPLS[ТО]),dbУчПрактикиКР[[#This Row],[№]],0))</f>
        <v>0</v>
      </c>
      <c r="BK32" s="1328">
        <f ca="1">N(INDEX(CHOOSE(dbУчПрактикиКР[[#This Row],[код]],BPZS[КР],BPLS[КР],MPZS[КР],MPLS[КР]),dbУчПрактикиКР[[#This Row],[№]],0))</f>
        <v>0</v>
      </c>
      <c r="BL32" s="1329">
        <f ca="1">IFERROR(MATCH(dbУчПрактикиКР[[#This Row],[ВидПрактика]],T_Практики[Практика и курсова работа],0),0)</f>
        <v>0</v>
      </c>
      <c r="BM32" s="1348" t="str">
        <f ca="1">IF(dbУчПрактикиКР[[#This Row],[пВидПрактика]],INDEX(T_Практики[Студенти],dbУчПрактикиКР[[#This Row],[пВидПрактика]]),"-")</f>
        <v>-</v>
      </c>
      <c r="BN32" s="1348" t="str">
        <f ca="1">IF(dbУчПрактикиКР[[#This Row],[пВидПрактика]],INDEX(T_Практики[Група],dbУчПрактикиКР[[#This Row],[пВидПрактика]])*2,"-")</f>
        <v>-</v>
      </c>
      <c r="BO32" s="1349" t="str">
        <f ca="1">IF(dbУчПрактикиКР[[#This Row],[пВидПрактика]],INDEX(T_Практики[Ден],dbУчПрактикиКР[[#This Row],[пВидПрактика]])*4,"-")</f>
        <v>-</v>
      </c>
      <c r="BP32" s="1350">
        <f ca="1">IFERROR(AND(dbУчПрактикиКР[[#This Row],[ТО]]&lt;&gt;0,dbУчПрактикиКР[[#This Row],[ФормаОб]]=0)*1,0)</f>
        <v>0</v>
      </c>
      <c r="BQ32" s="1350">
        <f ca="1">IFERROR(AND(dbУчПрактикиКР[[#This Row],[Изпитани]]&lt;&gt;0,LEN(dbУчПрактикиКР[[#This Row],[Изпитващ]])=0)*1,0)</f>
        <v>0</v>
      </c>
      <c r="BR32" s="1351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2" s="1350">
        <f ca="1">IFERROR(IF(dbУчПрактикиКР[[#This Row],[ФормаОб]]=list!$A$55,Coef!$B$10,Coef!$B$9),0)</f>
        <v>0.5</v>
      </c>
      <c r="BT32" s="1352">
        <v>5</v>
      </c>
      <c r="BU32" s="1351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2" s="1350">
        <f ca="1">dbУчПрактикиКР[[#This Row],[кИзпитващ]]*N(dbУчПрактикиКР[[#This Row],[Изпитани]])</f>
        <v>0</v>
      </c>
      <c r="BW32" s="1350">
        <f ca="1">N(dbУчПрактикиКР[[#This Row],[ТО]])*N(dbУчПрактикиКР[[#This Row],[кTO]])</f>
        <v>0</v>
      </c>
      <c r="BX32" s="1352">
        <f ca="1">N(dbУчПрактикиКР[[#This Row],[КР]])*dbУчПрактикиКР[[#This Row],[кКР]]</f>
        <v>0</v>
      </c>
      <c r="BY32" s="1351">
        <f ca="1">N(INDEX(CHOOSE(dbУчПрактикиКР[[#This Row],[код]],BPZS[id_РД],BPLS[id_РД],MPZS[id_РД],MPLS[id_РД]),dbУчПрактикиКР[[#This Row],[№]],0))</f>
        <v>0</v>
      </c>
      <c r="BZ32" s="1379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2" s="1379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2" s="1379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2" s="1380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2" s="964" t="s">
        <v>682</v>
      </c>
      <c r="CH32" s="968" t="s">
        <v>406</v>
      </c>
      <c r="CI32" s="972">
        <v>3</v>
      </c>
      <c r="CJ32" s="978">
        <f ca="1">IF(dbДипломиране[[#This Row],[Семестър]]=OFFSET(dbДипломиране[[#This Row],[Семестър]],-1,0),N(OFFSET(dbДипломиране[[#This Row],[№]],-1,0))+1,1)</f>
        <v>4</v>
      </c>
      <c r="CK32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2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2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2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2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2" s="1359">
        <f ca="1">dbДипломиране[[#This Row],[ДР]]*30</f>
        <v>0</v>
      </c>
      <c r="CQ32" s="1359">
        <f ca="1">dbДипломиране[[#This Row],[Рецензии]]*5</f>
        <v>0</v>
      </c>
      <c r="CR32" s="1365">
        <f ca="1">dbДипломиране[[#This Row],[И/ДИ/З]]*0.8</f>
        <v>0</v>
      </c>
    </row>
    <row r="33" spans="5:96" ht="16.5" x14ac:dyDescent="0.3">
      <c r="E33" s="919" t="s">
        <v>681</v>
      </c>
      <c r="F33" s="921" t="s">
        <v>407</v>
      </c>
      <c r="G33" s="666">
        <v>2</v>
      </c>
      <c r="H33" s="860">
        <f ca="1">IF(dbУчДисц[[#This Row],[Семестър]]=OFFSET(dbУчДисц[[#This Row],[Семестър]],-1,0),N(OFFSET(dbУчДисц[[#This Row],[№]],-1,0))+1,1)</f>
        <v>2</v>
      </c>
      <c r="I33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3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3" s="842" t="str">
        <f ca="1">T(INDEX(CHOOSE(dbУчДисц[[#This Row],[код]],BAZZS[Факултет],BAZLS[Факултет],MAZZS[Факултет],MAZLS[Факултет]),dbУчДисц[[#This Row],[№]],0))</f>
        <v/>
      </c>
      <c r="L33" s="265" t="str">
        <f ca="1">T(INDEX(CHOOSE(dbУчДисц[[#This Row],[код]],BAZZS[Вид],BAZLS[Вид],MAZZS[Вид],MAZLS[Вид]),dbУчДисц[[#This Row],[№]],0))</f>
        <v/>
      </c>
      <c r="M33" s="243" t="str">
        <f ca="1">T(INDEX(CHOOSE(dbУчДисц[[#This Row],[код]],BAZZS[Курс],BAZLS[Курс],MAZZS[Курс],MAZLS[Курс]),dbУчДисц[[#This Row],[№]],0))</f>
        <v/>
      </c>
      <c r="N33" s="243" t="str">
        <f ca="1">T(INDEX(CHOOSE(dbУчДисц[[#This Row],[код]],BAZZS[ФормаОб],BAZLS[ФормаОб],MAZZS[ФормаОб],MAZLS[ФормаОб]),dbУчДисц[[#This Row],[№]],0))</f>
        <v/>
      </c>
      <c r="O33" s="1253" cm="1">
        <f t="array" aca="1" ref="O33" ca="1">INDEX(CHOOSE(dbУчДисц[[#This Row],[код]],BAZZS[Студенти],BAZLS[Студенти],MAZZS[Студенти],MAZLS[Студенти]),dbУчДисц[[#This Row],[№]],0)</f>
        <v>0</v>
      </c>
      <c r="P33" s="1254" cm="1">
        <f t="array" aca="1" ref="P33" ca="1">INDEX(CHOOSE(dbУчДисц[[#This Row],[код]],BAZZS[Лекции],BAZLS[Лекции],MAZZS[Лекции],MAZLS[Лекции]),dbУчДисц[[#This Row],[№]],0)</f>
        <v>0</v>
      </c>
      <c r="Q33" s="1254" cm="1">
        <f t="array" aca="1" ref="Q33" ca="1">INDEX(CHOOSE(dbУчДисц[[#This Row],[код]],BAZZS[Упражнения],BAZLS[Упражнения],MAZZS[Упражнения],MAZLS[Упражнения]),dbУчДисц[[#This Row],[№]],0)</f>
        <v>0</v>
      </c>
      <c r="R33" s="892" t="str">
        <f ca="1">T(INDEX(CHOOSE(dbУчДисц[[#This Row],[код]],BAZZS[Език],BAZLS[Език],MAZZS[Език],MAZLS[Език]),dbУчДисц[[#This Row],[№]],0))</f>
        <v>БЕ</v>
      </c>
      <c r="S33" s="243" t="str">
        <f ca="1">T(INDEX(CHOOSE(dbУчДисц[[#This Row],[код]],BAZZS[ФормаОц],BAZLS[ФормаОц],MAZZS[ФормаОц],MAZLS[ФормаОц]),dbУчДисц[[#This Row],[№]],0))</f>
        <v/>
      </c>
      <c r="T33" s="244" t="str">
        <f ca="1">T(INDEX(CHOOSE(dbУчДисц[[#This Row],[код]],BAZZS[Изпитващ],BAZLS[Изпитващ],MAZZS[Изпитващ],MAZLS[Изпитващ]),dbУчДисц[[#This Row],[№]],0))</f>
        <v/>
      </c>
      <c r="U33" s="1254" cm="1">
        <f t="array" aca="1" ref="U33" ca="1">INDEX(CHOOSE(dbУчДисц[[#This Row],[код]],BAZZS[Изпитани],BAZLS[Изпитани],MAZZS[Изпитани],MAZLS[Изпитани]),dbУчДисц[[#This Row],[№]],0)</f>
        <v>0</v>
      </c>
      <c r="V33" s="1268" cm="1">
        <f t="array" aca="1" ref="V33" ca="1">INDEX(CHOOSE(dbУчДисц[[#This Row],[код]],BAZZS[ТО],BAZLS[ТО],MAZZS[ТО],MAZLS[ТО]),dbУчДисц[[#This Row],[№]],0)</f>
        <v>0</v>
      </c>
      <c r="W33" s="1268" cm="1">
        <f t="array" aca="1" ref="W33" ca="1">INDEX(CHOOSE(dbУчДисц[[#This Row],[код]],BAZZS[КР],BAZLS[КР],MAZZS[КР],MAZLS[КР]),dbУчДисц[[#This Row],[№]],0)</f>
        <v>0</v>
      </c>
      <c r="X3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3" s="1270">
        <f ca="1">IF(AND(dbУчДисц[[#This Row],[Изпитани]]&lt;&gt;0,dbУчДисц[[#This Row],[Изпитващ]]=0),1,0)</f>
        <v>0</v>
      </c>
      <c r="AA33" s="1271">
        <f ca="1">IFERROR(VLOOKUP(dbУчДисц[[#This Row],[Език]],Коефициент_Eзик[],2,0),0)</f>
        <v>1</v>
      </c>
      <c r="AB33" s="1272" cm="1">
        <f t="array" aca="1" ref="AB3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3" s="1273">
        <v>0.5</v>
      </c>
      <c r="AE33" s="1274">
        <v>5</v>
      </c>
      <c r="AF33" s="1271">
        <f ca="1">N(dbУчДисц[[#This Row],[Лекции]])*dbУчДисц[[#This Row],[кЕзик]]*dbУчДисц[[#This Row],[кСтуденти]]*кЛекции</f>
        <v>0</v>
      </c>
      <c r="AG33" s="1272">
        <f ca="1">N(dbУчДисц[[#This Row],[Упражнения]])*dbУчДисц[[#This Row],[кЕзик]]*dbУчДисц[[#This Row],[кСтуденти]]*кУпражнение</f>
        <v>0</v>
      </c>
      <c r="AH33" s="1272">
        <f ca="1">N(dbУчДисц[[#This Row],[Изпитани]])*dbУчДисц[[#This Row],[кИзпитващ]]</f>
        <v>0</v>
      </c>
      <c r="AI33" s="1273">
        <f ca="1">dbУчДисц[[#This Row],[ТО]]*dbУчДисц[[#This Row],[кTO]]</f>
        <v>0</v>
      </c>
      <c r="AJ33" s="1266">
        <f ca="1">dbУчДисц[[#This Row],[КР]]*dbУчДисц[[#This Row],[кКР]]</f>
        <v>0</v>
      </c>
      <c r="AK33" s="1275">
        <f ca="1">N(INDEX(CHOOSE(dbУчДисц[[#This Row],[код]],BAZZS[id_РД],BAZLS[id_РД],MAZZS[id_РД],MAZLS[id_РД]),dbУчДисц[[#This Row],[№]],0))</f>
        <v>0</v>
      </c>
      <c r="AL3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3" s="1383" t="str">
        <f ca="1">T(INDEX(CHOOSE(dbУчДисц[[#This Row],[код]],BAZZS[Факултет1],BAZLS[Факултет1],MAZZS[Факултет1],MAZLS[Факултет1]),dbУчДисц[[#This Row],[№]],0))</f>
        <v/>
      </c>
      <c r="AO3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3" s="933" t="s">
        <v>970</v>
      </c>
      <c r="AT33" s="957" t="s">
        <v>406</v>
      </c>
      <c r="AU33" s="952">
        <v>3</v>
      </c>
      <c r="AV33" s="980">
        <f ca="1">IF(dbУчПрактикиКР[[#This Row],[Семестър]]=OFFSET(dbУчПрактикиКР[[#This Row],[Семестър]],-1,0),N(OFFSET(dbУчПрактикиКР[[#This Row],[№]],-1,0))+1,1)</f>
        <v>1</v>
      </c>
      <c r="AW33" s="845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3" s="1028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3" s="891" t="str">
        <f ca="1">T(INDEX(CHOOSE(dbУчПрактикиКР[[#This Row],[код]],BPZS[Факултет],BPLS[Факултет],MPZS[Факултет],MPLS[Факултет]),dbУчПрактикиКР[[#This Row],[№]],0))</f>
        <v/>
      </c>
      <c r="AZ33" s="959" t="str">
        <f ca="1">T(INDEX(CHOOSE(dbУчПрактикиКР[[#This Row],[код]],BPZS[Вид],BPLS[Вид],MPZS[Вид],MPLS[Вид]),dbУчПрактикиКР[[#This Row],[№]],0))</f>
        <v/>
      </c>
      <c r="BA33" s="946" t="str">
        <f ca="1">T(INDEX(CHOOSE(dbУчПрактикиКР[[#This Row],[код]],BPZS[Курс],BPLS[Курс],MPZS[Курс],MPLS[Курс]),dbУчПрактикиКР[[#This Row],[№]],0))</f>
        <v/>
      </c>
      <c r="BB33" s="1030" t="str">
        <f ca="1">T(INDEX(CHOOSE(dbУчПрактикиКР[[#This Row],[код]],BPZS[ФормаОб],BPLS[ФормаОб],MPZS[ФормаОб],MPLS[ФормаОб]),dbУчПрактикиКР[[#This Row],[№]],0))</f>
        <v/>
      </c>
      <c r="BC33" s="1296">
        <f ca="1">N(INDEX(CHOOSE(dbУчПрактикиКР[[#This Row],[код]],BPZS[Студенти],BPLS[Студенти],MPZS[Студенти],MPLS[Студенти]),dbУчПрактикиКР[[#This Row],[№]],0))</f>
        <v>0</v>
      </c>
      <c r="BD33" s="1042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3" s="1306">
        <f ca="1">N(INDEX(CHOOSE(dbУчПрактикиКР[[#This Row],[код]],BPZS[Група],BPLS[Група],MPZS[Група],MPLS[Група]),dbУчПрактикиКР[[#This Row],[№]],0))</f>
        <v>0</v>
      </c>
      <c r="BF33" s="1307">
        <f ca="1">N(INDEX(CHOOSE(dbУчПрактикиКР[[#This Row],[код]],BPZS[Ден],BPLS[Ден],MPZS[Ден],MPLS[Ден]),dbУчПрактикиКР[[#This Row],[№]],0))</f>
        <v>0</v>
      </c>
      <c r="BG33" s="1032" t="str">
        <f ca="1">T(INDEX(CHOOSE(dbУчПрактикиКР[[#This Row],[код]],BPZS[ФормаОц],BPLS[ФормаОц],MPZS[ФормаОц],MPLS[ФормаОц]),dbУчПрактикиКР[[#This Row],[№]],0))</f>
        <v/>
      </c>
      <c r="BH33" s="1033" t="str">
        <f ca="1">T(INDEX(CHOOSE(dbУчПрактикиКР[[#This Row],[код]],BPZS[Изпитващ],BPLS[Изпитващ],MPZS[Изпитващ],MPLS[Изпитващ]),dbУчПрактикиКР[[#This Row],[№]],0))</f>
        <v/>
      </c>
      <c r="BI33" s="1311">
        <f ca="1">N(INDEX(CHOOSE(dbУчПрактикиКР[[#This Row],[код]],BPZS[Изпитани],BPLS[Изпитани],MPZS[Изпитани],MPLS[Изпитани]),dbУчПрактикиКР[[#This Row],[№]],0))</f>
        <v>0</v>
      </c>
      <c r="BJ33" s="1312">
        <f ca="1">N(INDEX(CHOOSE(dbУчПрактикиКР[[#This Row],[код]],BPZS[ТО],BPLS[ТО],MPZS[ТО],MPLS[ТО]),dbУчПрактикиКР[[#This Row],[№]],0))</f>
        <v>0</v>
      </c>
      <c r="BK33" s="1313">
        <f ca="1">N(INDEX(CHOOSE(dbУчПрактикиКР[[#This Row],[код]],BPZS[КР],BPLS[КР],MPZS[КР],MPLS[КР]),dbУчПрактикиКР[[#This Row],[№]],0))</f>
        <v>0</v>
      </c>
      <c r="BL33" s="1314">
        <f ca="1">IFERROR(MATCH(dbУчПрактикиКР[[#This Row],[ВидПрактика]],T_Практики[Практика и курсова работа],0),0)</f>
        <v>0</v>
      </c>
      <c r="BM33" s="1333" t="str">
        <f ca="1">IF(dbУчПрактикиКР[[#This Row],[пВидПрактика]],INDEX(T_Практики[Студенти],dbУчПрактикиКР[[#This Row],[пВидПрактика]]),"-")</f>
        <v>-</v>
      </c>
      <c r="BN33" s="1333" t="str">
        <f ca="1">IF(dbУчПрактикиКР[[#This Row],[пВидПрактика]],INDEX(T_Практики[Група],dbУчПрактикиКР[[#This Row],[пВидПрактика]])*2,"-")</f>
        <v>-</v>
      </c>
      <c r="BO33" s="1334" t="str">
        <f ca="1">IF(dbУчПрактикиКР[[#This Row],[пВидПрактика]],INDEX(T_Практики[Ден],dbУчПрактикиКР[[#This Row],[пВидПрактика]])*4,"-")</f>
        <v>-</v>
      </c>
      <c r="BP33" s="1337">
        <f ca="1">IFERROR(AND(dbУчПрактикиКР[[#This Row],[ТО]]&lt;&gt;0,dbУчПрактикиКР[[#This Row],[ФормаОб]]=0)*1,0)</f>
        <v>0</v>
      </c>
      <c r="BQ33" s="1337">
        <f ca="1">IFERROR(AND(dbУчПрактикиКР[[#This Row],[Изпитани]]&lt;&gt;0,LEN(dbУчПрактикиКР[[#This Row],[Изпитващ]])=0)*1,0)</f>
        <v>0</v>
      </c>
      <c r="BR33" s="1336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3" s="1337">
        <f ca="1">IFERROR(IF(dbУчПрактикиКР[[#This Row],[ФормаОб]]=list!$A$55,Coef!$B$10,Coef!$B$9),0)</f>
        <v>0.5</v>
      </c>
      <c r="BT33" s="1338">
        <v>5</v>
      </c>
      <c r="BU33" s="1314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3" s="1333">
        <f ca="1">dbУчПрактикиКР[[#This Row],[кИзпитващ]]*N(dbУчПрактикиКР[[#This Row],[Изпитани]])</f>
        <v>0</v>
      </c>
      <c r="BW33" s="1339">
        <f ca="1">N(dbУчПрактикиКР[[#This Row],[ТО]])*N(dbУчПрактикиКР[[#This Row],[кTO]])</f>
        <v>0</v>
      </c>
      <c r="BX33" s="1338">
        <f ca="1">N(dbУчПрактикиКР[[#This Row],[КР]])*dbУчПрактикиКР[[#This Row],[кКР]]</f>
        <v>0</v>
      </c>
      <c r="BY33" s="1336">
        <f ca="1">N(INDEX(CHOOSE(dbУчПрактикиКР[[#This Row],[код]],BPZS[id_РД],BPLS[id_РД],MPZS[id_РД],MPLS[id_РД]),dbУчПрактикиКР[[#This Row],[№]],0))</f>
        <v>0</v>
      </c>
      <c r="BZ33" s="1376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3" s="1376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3" s="1376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3" s="1377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3" s="964" t="s">
        <v>682</v>
      </c>
      <c r="CH33" s="968" t="s">
        <v>406</v>
      </c>
      <c r="CI33" s="972">
        <v>3</v>
      </c>
      <c r="CJ33" s="978">
        <f ca="1">IF(dbДипломиране[[#This Row],[Семестър]]=OFFSET(dbДипломиране[[#This Row],[Семестър]],-1,0),N(OFFSET(dbДипломиране[[#This Row],[№]],-1,0))+1,1)</f>
        <v>5</v>
      </c>
      <c r="CK33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3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3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3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3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3" s="1359">
        <f ca="1">dbДипломиране[[#This Row],[ДР]]*30</f>
        <v>0</v>
      </c>
      <c r="CQ33" s="1359">
        <f ca="1">dbДипломиране[[#This Row],[Рецензии]]*5</f>
        <v>0</v>
      </c>
      <c r="CR33" s="1365">
        <f ca="1">dbДипломиране[[#This Row],[И/ДИ/З]]*0.8</f>
        <v>0</v>
      </c>
    </row>
    <row r="34" spans="5:96" ht="16.5" x14ac:dyDescent="0.3">
      <c r="E34" s="919" t="s">
        <v>681</v>
      </c>
      <c r="F34" s="921" t="s">
        <v>407</v>
      </c>
      <c r="G34" s="666">
        <v>2</v>
      </c>
      <c r="H34" s="860">
        <f ca="1">IF(dbУчДисц[[#This Row],[Семестър]]=OFFSET(dbУчДисц[[#This Row],[Семестър]],-1,0),N(OFFSET(dbУчДисц[[#This Row],[№]],-1,0))+1,1)</f>
        <v>3</v>
      </c>
      <c r="I34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4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4" s="842" t="str">
        <f ca="1">T(INDEX(CHOOSE(dbУчДисц[[#This Row],[код]],BAZZS[Факултет],BAZLS[Факултет],MAZZS[Факултет],MAZLS[Факултет]),dbУчДисц[[#This Row],[№]],0))</f>
        <v/>
      </c>
      <c r="L34" s="265" t="str">
        <f ca="1">T(INDEX(CHOOSE(dbУчДисц[[#This Row],[код]],BAZZS[Вид],BAZLS[Вид],MAZZS[Вид],MAZLS[Вид]),dbУчДисц[[#This Row],[№]],0))</f>
        <v/>
      </c>
      <c r="M34" s="243" t="str">
        <f ca="1">T(INDEX(CHOOSE(dbУчДисц[[#This Row],[код]],BAZZS[Курс],BAZLS[Курс],MAZZS[Курс],MAZLS[Курс]),dbУчДисц[[#This Row],[№]],0))</f>
        <v/>
      </c>
      <c r="N34" s="243" t="str">
        <f ca="1">T(INDEX(CHOOSE(dbУчДисц[[#This Row],[код]],BAZZS[ФормаОб],BAZLS[ФормаОб],MAZZS[ФормаОб],MAZLS[ФормаОб]),dbУчДисц[[#This Row],[№]],0))</f>
        <v/>
      </c>
      <c r="O34" s="1253" cm="1">
        <f t="array" aca="1" ref="O34" ca="1">INDEX(CHOOSE(dbУчДисц[[#This Row],[код]],BAZZS[Студенти],BAZLS[Студенти],MAZZS[Студенти],MAZLS[Студенти]),dbУчДисц[[#This Row],[№]],0)</f>
        <v>0</v>
      </c>
      <c r="P34" s="1254" cm="1">
        <f t="array" aca="1" ref="P34" ca="1">INDEX(CHOOSE(dbУчДисц[[#This Row],[код]],BAZZS[Лекции],BAZLS[Лекции],MAZZS[Лекции],MAZLS[Лекции]),dbУчДисц[[#This Row],[№]],0)</f>
        <v>0</v>
      </c>
      <c r="Q34" s="1254" cm="1">
        <f t="array" aca="1" ref="Q34" ca="1">INDEX(CHOOSE(dbУчДисц[[#This Row],[код]],BAZZS[Упражнения],BAZLS[Упражнения],MAZZS[Упражнения],MAZLS[Упражнения]),dbУчДисц[[#This Row],[№]],0)</f>
        <v>0</v>
      </c>
      <c r="R34" s="892" t="str">
        <f ca="1">T(INDEX(CHOOSE(dbУчДисц[[#This Row],[код]],BAZZS[Език],BAZLS[Език],MAZZS[Език],MAZLS[Език]),dbУчДисц[[#This Row],[№]],0))</f>
        <v>БЕ</v>
      </c>
      <c r="S34" s="243" t="str">
        <f ca="1">T(INDEX(CHOOSE(dbУчДисц[[#This Row],[код]],BAZZS[ФормаОц],BAZLS[ФормаОц],MAZZS[ФормаОц],MAZLS[ФормаОц]),dbУчДисц[[#This Row],[№]],0))</f>
        <v/>
      </c>
      <c r="T34" s="244" t="str">
        <f ca="1">T(INDEX(CHOOSE(dbУчДисц[[#This Row],[код]],BAZZS[Изпитващ],BAZLS[Изпитващ],MAZZS[Изпитващ],MAZLS[Изпитващ]),dbУчДисц[[#This Row],[№]],0))</f>
        <v/>
      </c>
      <c r="U34" s="1254" cm="1">
        <f t="array" aca="1" ref="U34" ca="1">INDEX(CHOOSE(dbУчДисц[[#This Row],[код]],BAZZS[Изпитани],BAZLS[Изпитани],MAZZS[Изпитани],MAZLS[Изпитани]),dbУчДисц[[#This Row],[№]],0)</f>
        <v>0</v>
      </c>
      <c r="V34" s="1268" cm="1">
        <f t="array" aca="1" ref="V34" ca="1">INDEX(CHOOSE(dbУчДисц[[#This Row],[код]],BAZZS[ТО],BAZLS[ТО],MAZZS[ТО],MAZLS[ТО]),dbУчДисц[[#This Row],[№]],0)</f>
        <v>0</v>
      </c>
      <c r="W34" s="1268" cm="1">
        <f t="array" aca="1" ref="W34" ca="1">INDEX(CHOOSE(dbУчДисц[[#This Row],[код]],BAZZS[КР],BAZLS[КР],MAZZS[КР],MAZLS[КР]),dbУчДисц[[#This Row],[№]],0)</f>
        <v>0</v>
      </c>
      <c r="X3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4" s="1270">
        <f ca="1">IF(AND(dbУчДисц[[#This Row],[Изпитани]]&lt;&gt;0,dbУчДисц[[#This Row],[Изпитващ]]=0),1,0)</f>
        <v>0</v>
      </c>
      <c r="AA34" s="1271">
        <f ca="1">IFERROR(VLOOKUP(dbУчДисц[[#This Row],[Език]],Коефициент_Eзик[],2,0),0)</f>
        <v>1</v>
      </c>
      <c r="AB34" s="1272" cm="1">
        <f t="array" aca="1" ref="AB3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4" s="1273">
        <v>0.5</v>
      </c>
      <c r="AE34" s="1274">
        <v>5</v>
      </c>
      <c r="AF34" s="1271">
        <f ca="1">N(dbУчДисц[[#This Row],[Лекции]])*dbУчДисц[[#This Row],[кЕзик]]*dbУчДисц[[#This Row],[кСтуденти]]*кЛекции</f>
        <v>0</v>
      </c>
      <c r="AG34" s="1272">
        <f ca="1">N(dbУчДисц[[#This Row],[Упражнения]])*dbУчДисц[[#This Row],[кЕзик]]*dbУчДисц[[#This Row],[кСтуденти]]*кУпражнение</f>
        <v>0</v>
      </c>
      <c r="AH34" s="1272">
        <f ca="1">N(dbУчДисц[[#This Row],[Изпитани]])*dbУчДисц[[#This Row],[кИзпитващ]]</f>
        <v>0</v>
      </c>
      <c r="AI34" s="1273">
        <f ca="1">dbУчДисц[[#This Row],[ТО]]*dbУчДисц[[#This Row],[кTO]]</f>
        <v>0</v>
      </c>
      <c r="AJ34" s="1266">
        <f ca="1">dbУчДисц[[#This Row],[КР]]*dbУчДисц[[#This Row],[кКР]]</f>
        <v>0</v>
      </c>
      <c r="AK34" s="1275">
        <f ca="1">N(INDEX(CHOOSE(dbУчДисц[[#This Row],[код]],BAZZS[id_РД],BAZLS[id_РД],MAZZS[id_РД],MAZLS[id_РД]),dbУчДисц[[#This Row],[№]],0))</f>
        <v>0</v>
      </c>
      <c r="AL3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4" s="1383" t="str">
        <f ca="1">T(INDEX(CHOOSE(dbУчДисц[[#This Row],[код]],BAZZS[Факултет1],BAZLS[Факултет1],MAZZS[Факултет1],MAZLS[Факултет1]),dbУчДисц[[#This Row],[№]],0))</f>
        <v/>
      </c>
      <c r="AO3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4" s="931" t="s">
        <v>970</v>
      </c>
      <c r="AT34" s="955" t="s">
        <v>406</v>
      </c>
      <c r="AU34" s="950">
        <v>3</v>
      </c>
      <c r="AV34" s="981">
        <f ca="1">IF(dbУчПрактикиКР[[#This Row],[Семестър]]=OFFSET(dbУчПрактикиКР[[#This Row],[Семестър]],-1,0),N(OFFSET(dbУчПрактикиКР[[#This Row],[№]],-1,0))+1,1)</f>
        <v>2</v>
      </c>
      <c r="AW34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4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4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4" s="943" t="str">
        <f ca="1">T(INDEX(CHOOSE(dbУчПрактикиКР[[#This Row],[код]],BPZS[Вид],BPLS[Вид],MPZS[Вид],MPLS[Вид]),dbУчПрактикиКР[[#This Row],[№]],0))</f>
        <v/>
      </c>
      <c r="BA34" s="944" t="str">
        <f ca="1">T(INDEX(CHOOSE(dbУчПрактикиКР[[#This Row],[код]],BPZS[Курс],BPLS[Курс],MPZS[Курс],MPLS[Курс]),dbУчПрактикиКР[[#This Row],[№]],0))</f>
        <v/>
      </c>
      <c r="BB34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4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4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4" s="1303">
        <f ca="1">N(INDEX(CHOOSE(dbУчПрактикиКР[[#This Row],[код]],BPZS[Група],BPLS[Група],MPZS[Група],MPLS[Група]),dbУчПрактикиКР[[#This Row],[№]],0))</f>
        <v>0</v>
      </c>
      <c r="BF34" s="1308">
        <f ca="1">N(INDEX(CHOOSE(dbУчПрактикиКР[[#This Row],[код]],BPZS[Ден],BPLS[Ден],MPZS[Ден],MPLS[Ден]),dbУчПрактикиКР[[#This Row],[№]],0))</f>
        <v>0</v>
      </c>
      <c r="BG34" s="1036" t="str">
        <f ca="1">T(INDEX(CHOOSE(dbУчПрактикиКР[[#This Row],[код]],BPZS[ФормаОц],BPLS[ФормаОц],MPZS[ФормаОц],MPLS[ФормаОц]),dbУчПрактикиКР[[#This Row],[№]],0))</f>
        <v/>
      </c>
      <c r="BH34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4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34" s="1316">
        <f ca="1">N(INDEX(CHOOSE(dbУчПрактикиКР[[#This Row],[код]],BPZS[ТО],BPLS[ТО],MPZS[ТО],MPLS[ТО]),dbУчПрактикиКР[[#This Row],[№]],0))</f>
        <v>0</v>
      </c>
      <c r="BK34" s="1317">
        <f ca="1">N(INDEX(CHOOSE(dbУчПрактикиКР[[#This Row],[код]],BPZS[КР],BPLS[КР],MPZS[КР],MPLS[КР]),dbУчПрактикиКР[[#This Row],[№]],0))</f>
        <v>0</v>
      </c>
      <c r="BL34" s="1318">
        <f ca="1">IFERROR(MATCH(dbУчПрактикиКР[[#This Row],[ВидПрактика]],T_Практики[Практика и курсова работа],0),0)</f>
        <v>0</v>
      </c>
      <c r="BM34" s="1340" t="str">
        <f ca="1">IF(dbУчПрактикиКР[[#This Row],[пВидПрактика]],INDEX(T_Практики[Студенти],dbУчПрактикиКР[[#This Row],[пВидПрактика]]),"-")</f>
        <v>-</v>
      </c>
      <c r="BN34" s="1340" t="str">
        <f ca="1">IF(dbУчПрактикиКР[[#This Row],[пВидПрактика]],INDEX(T_Практики[Група],dbУчПрактикиКР[[#This Row],[пВидПрактика]])*2,"-")</f>
        <v>-</v>
      </c>
      <c r="BO34" s="1341" t="str">
        <f ca="1">IF(dbУчПрактикиКР[[#This Row],[пВидПрактика]],INDEX(T_Практики[Ден],dbУчПрактикиКР[[#This Row],[пВидПрактика]])*4,"-")</f>
        <v>-</v>
      </c>
      <c r="BP34" s="1335">
        <f ca="1">IFERROR(AND(dbУчПрактикиКР[[#This Row],[ТО]]&lt;&gt;0,dbУчПрактикиКР[[#This Row],[ФормаОб]]=0)*1,0)</f>
        <v>0</v>
      </c>
      <c r="BQ34" s="1335">
        <f ca="1">IFERROR(AND(dbУчПрактикиКР[[#This Row],[Изпитани]]&lt;&gt;0,LEN(dbУчПрактикиКР[[#This Row],[Изпитващ]])=0)*1,0)</f>
        <v>0</v>
      </c>
      <c r="BR34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4" s="1335">
        <f ca="1">IFERROR(IF(dbУчПрактикиКР[[#This Row],[ФормаОб]]=list!$A$55,Coef!$B$10,Coef!$B$9),0)</f>
        <v>0.5</v>
      </c>
      <c r="BT34" s="1343">
        <v>5</v>
      </c>
      <c r="BU34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4" s="1340">
        <f ca="1">dbУчПрактикиКР[[#This Row],[кИзпитващ]]*N(dbУчПрактикиКР[[#This Row],[Изпитани]])</f>
        <v>0</v>
      </c>
      <c r="BW34" s="1344">
        <f ca="1">N(dbУчПрактикиКР[[#This Row],[ТО]])*N(dbУчПрактикиКР[[#This Row],[кTO]])</f>
        <v>0</v>
      </c>
      <c r="BX34" s="1343">
        <f ca="1">N(dbУчПрактикиКР[[#This Row],[КР]])*dbУчПрактикиКР[[#This Row],[кКР]]</f>
        <v>0</v>
      </c>
      <c r="BY34" s="1342">
        <f ca="1">N(INDEX(CHOOSE(dbУчПрактикиКР[[#This Row],[код]],BPZS[id_РД],BPLS[id_РД],MPZS[id_РД],MPLS[id_РД]),dbУчПрактикиКР[[#This Row],[№]],0))</f>
        <v>0</v>
      </c>
      <c r="BZ34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4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4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4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4" s="964" t="s">
        <v>682</v>
      </c>
      <c r="CH34" s="968" t="s">
        <v>406</v>
      </c>
      <c r="CI34" s="972">
        <v>3</v>
      </c>
      <c r="CJ34" s="978">
        <f ca="1">IF(dbДипломиране[[#This Row],[Семестър]]=OFFSET(dbДипломиране[[#This Row],[Семестър]],-1,0),N(OFFSET(dbДипломиране[[#This Row],[№]],-1,0))+1,1)</f>
        <v>6</v>
      </c>
      <c r="CK34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4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4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4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4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4" s="1359">
        <f ca="1">dbДипломиране[[#This Row],[ДР]]*30</f>
        <v>0</v>
      </c>
      <c r="CQ34" s="1359">
        <f ca="1">dbДипломиране[[#This Row],[Рецензии]]*5</f>
        <v>0</v>
      </c>
      <c r="CR34" s="1365">
        <f ca="1">dbДипломиране[[#This Row],[И/ДИ/З]]*0.8</f>
        <v>0</v>
      </c>
    </row>
    <row r="35" spans="5:96" ht="16.5" x14ac:dyDescent="0.3">
      <c r="E35" s="919" t="s">
        <v>681</v>
      </c>
      <c r="F35" s="921" t="s">
        <v>407</v>
      </c>
      <c r="G35" s="666">
        <v>2</v>
      </c>
      <c r="H35" s="860">
        <f ca="1">IF(dbУчДисц[[#This Row],[Семестър]]=OFFSET(dbУчДисц[[#This Row],[Семестър]],-1,0),N(OFFSET(dbУчДисц[[#This Row],[№]],-1,0))+1,1)</f>
        <v>4</v>
      </c>
      <c r="I35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5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5" s="842" t="str">
        <f ca="1">T(INDEX(CHOOSE(dbУчДисц[[#This Row],[код]],BAZZS[Факултет],BAZLS[Факултет],MAZZS[Факултет],MAZLS[Факултет]),dbУчДисц[[#This Row],[№]],0))</f>
        <v/>
      </c>
      <c r="L35" s="265" t="str">
        <f ca="1">T(INDEX(CHOOSE(dbУчДисц[[#This Row],[код]],BAZZS[Вид],BAZLS[Вид],MAZZS[Вид],MAZLS[Вид]),dbУчДисц[[#This Row],[№]],0))</f>
        <v/>
      </c>
      <c r="M35" s="243" t="str">
        <f ca="1">T(INDEX(CHOOSE(dbУчДисц[[#This Row],[код]],BAZZS[Курс],BAZLS[Курс],MAZZS[Курс],MAZLS[Курс]),dbУчДисц[[#This Row],[№]],0))</f>
        <v/>
      </c>
      <c r="N35" s="243" t="str">
        <f ca="1">T(INDEX(CHOOSE(dbУчДисц[[#This Row],[код]],BAZZS[ФормаОб],BAZLS[ФормаОб],MAZZS[ФормаОб],MAZLS[ФормаОб]),dbУчДисц[[#This Row],[№]],0))</f>
        <v/>
      </c>
      <c r="O35" s="1253" cm="1">
        <f t="array" aca="1" ref="O35" ca="1">INDEX(CHOOSE(dbУчДисц[[#This Row],[код]],BAZZS[Студенти],BAZLS[Студенти],MAZZS[Студенти],MAZLS[Студенти]),dbУчДисц[[#This Row],[№]],0)</f>
        <v>0</v>
      </c>
      <c r="P35" s="1254" cm="1">
        <f t="array" aca="1" ref="P35" ca="1">INDEX(CHOOSE(dbУчДисц[[#This Row],[код]],BAZZS[Лекции],BAZLS[Лекции],MAZZS[Лекции],MAZLS[Лекции]),dbУчДисц[[#This Row],[№]],0)</f>
        <v>0</v>
      </c>
      <c r="Q35" s="1254" cm="1">
        <f t="array" aca="1" ref="Q35" ca="1">INDEX(CHOOSE(dbУчДисц[[#This Row],[код]],BAZZS[Упражнения],BAZLS[Упражнения],MAZZS[Упражнения],MAZLS[Упражнения]),dbУчДисц[[#This Row],[№]],0)</f>
        <v>0</v>
      </c>
      <c r="R35" s="892" t="str">
        <f ca="1">T(INDEX(CHOOSE(dbУчДисц[[#This Row],[код]],BAZZS[Език],BAZLS[Език],MAZZS[Език],MAZLS[Език]),dbУчДисц[[#This Row],[№]],0))</f>
        <v>БЕ</v>
      </c>
      <c r="S35" s="243" t="str">
        <f ca="1">T(INDEX(CHOOSE(dbУчДисц[[#This Row],[код]],BAZZS[ФормаОц],BAZLS[ФормаОц],MAZZS[ФормаОц],MAZLS[ФормаОц]),dbУчДисц[[#This Row],[№]],0))</f>
        <v/>
      </c>
      <c r="T35" s="244" t="str">
        <f ca="1">T(INDEX(CHOOSE(dbУчДисц[[#This Row],[код]],BAZZS[Изпитващ],BAZLS[Изпитващ],MAZZS[Изпитващ],MAZLS[Изпитващ]),dbУчДисц[[#This Row],[№]],0))</f>
        <v/>
      </c>
      <c r="U35" s="1254" cm="1">
        <f t="array" aca="1" ref="U35" ca="1">INDEX(CHOOSE(dbУчДисц[[#This Row],[код]],BAZZS[Изпитани],BAZLS[Изпитани],MAZZS[Изпитани],MAZLS[Изпитани]),dbУчДисц[[#This Row],[№]],0)</f>
        <v>0</v>
      </c>
      <c r="V35" s="1268" cm="1">
        <f t="array" aca="1" ref="V35" ca="1">INDEX(CHOOSE(dbУчДисц[[#This Row],[код]],BAZZS[ТО],BAZLS[ТО],MAZZS[ТО],MAZLS[ТО]),dbУчДисц[[#This Row],[№]],0)</f>
        <v>0</v>
      </c>
      <c r="W35" s="1268" cm="1">
        <f t="array" aca="1" ref="W35" ca="1">INDEX(CHOOSE(dbУчДисц[[#This Row],[код]],BAZZS[КР],BAZLS[КР],MAZZS[КР],MAZLS[КР]),dbУчДисц[[#This Row],[№]],0)</f>
        <v>0</v>
      </c>
      <c r="X3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5" s="1270">
        <f ca="1">IF(AND(dbУчДисц[[#This Row],[Изпитани]]&lt;&gt;0,dbУчДисц[[#This Row],[Изпитващ]]=0),1,0)</f>
        <v>0</v>
      </c>
      <c r="AA35" s="1271">
        <f ca="1">IFERROR(VLOOKUP(dbУчДисц[[#This Row],[Език]],Коефициент_Eзик[],2,0),0)</f>
        <v>1</v>
      </c>
      <c r="AB35" s="1272" cm="1">
        <f t="array" aca="1" ref="AB3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5" s="1273">
        <v>0.5</v>
      </c>
      <c r="AE35" s="1274">
        <v>5</v>
      </c>
      <c r="AF35" s="1271">
        <f ca="1">N(dbУчДисц[[#This Row],[Лекции]])*dbУчДисц[[#This Row],[кЕзик]]*dbУчДисц[[#This Row],[кСтуденти]]*кЛекции</f>
        <v>0</v>
      </c>
      <c r="AG35" s="1272">
        <f ca="1">N(dbУчДисц[[#This Row],[Упражнения]])*dbУчДисц[[#This Row],[кЕзик]]*dbУчДисц[[#This Row],[кСтуденти]]*кУпражнение</f>
        <v>0</v>
      </c>
      <c r="AH35" s="1272">
        <f ca="1">N(dbУчДисц[[#This Row],[Изпитани]])*dbУчДисц[[#This Row],[кИзпитващ]]</f>
        <v>0</v>
      </c>
      <c r="AI35" s="1273">
        <f ca="1">dbУчДисц[[#This Row],[ТО]]*dbУчДисц[[#This Row],[кTO]]</f>
        <v>0</v>
      </c>
      <c r="AJ35" s="1266">
        <f ca="1">dbУчДисц[[#This Row],[КР]]*dbУчДисц[[#This Row],[кКР]]</f>
        <v>0</v>
      </c>
      <c r="AK35" s="1275">
        <f ca="1">N(INDEX(CHOOSE(dbУчДисц[[#This Row],[код]],BAZZS[id_РД],BAZLS[id_РД],MAZZS[id_РД],MAZLS[id_РД]),dbУчДисц[[#This Row],[№]],0))</f>
        <v>0</v>
      </c>
      <c r="AL3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5" s="1383" t="str">
        <f ca="1">T(INDEX(CHOOSE(dbУчДисц[[#This Row],[код]],BAZZS[Факултет1],BAZLS[Факултет1],MAZZS[Факултет1],MAZLS[Факултет1]),dbУчДисц[[#This Row],[№]],0))</f>
        <v/>
      </c>
      <c r="AO3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5" s="931" t="s">
        <v>970</v>
      </c>
      <c r="AT35" s="955" t="s">
        <v>406</v>
      </c>
      <c r="AU35" s="950">
        <v>3</v>
      </c>
      <c r="AV35" s="981">
        <f ca="1">IF(dbУчПрактикиКР[[#This Row],[Семестър]]=OFFSET(dbУчПрактикиКР[[#This Row],[Семестър]],-1,0),N(OFFSET(dbУчПрактикиКР[[#This Row],[№]],-1,0))+1,1)</f>
        <v>3</v>
      </c>
      <c r="AW35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5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5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5" s="943" t="str">
        <f ca="1">T(INDEX(CHOOSE(dbУчПрактикиКР[[#This Row],[код]],BPZS[Вид],BPLS[Вид],MPZS[Вид],MPLS[Вид]),dbУчПрактикиКР[[#This Row],[№]],0))</f>
        <v/>
      </c>
      <c r="BA35" s="944" t="str">
        <f ca="1">T(INDEX(CHOOSE(dbУчПрактикиКР[[#This Row],[код]],BPZS[Курс],BPLS[Курс],MPZS[Курс],MPLS[Курс]),dbУчПрактикиКР[[#This Row],[№]],0))</f>
        <v/>
      </c>
      <c r="BB35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5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5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5" s="1303">
        <f ca="1">N(INDEX(CHOOSE(dbУчПрактикиКР[[#This Row],[код]],BPZS[Група],BPLS[Група],MPZS[Група],MPLS[Група]),dbУчПрактикиКР[[#This Row],[№]],0))</f>
        <v>0</v>
      </c>
      <c r="BF35" s="1308">
        <f ca="1">N(INDEX(CHOOSE(dbУчПрактикиКР[[#This Row],[код]],BPZS[Ден],BPLS[Ден],MPZS[Ден],MPLS[Ден]),dbУчПрактикиКР[[#This Row],[№]],0))</f>
        <v>0</v>
      </c>
      <c r="BG35" s="1036" t="str">
        <f ca="1">T(INDEX(CHOOSE(dbУчПрактикиКР[[#This Row],[код]],BPZS[ФормаОц],BPLS[ФормаОц],MPZS[ФормаОц],MPLS[ФормаОц]),dbУчПрактикиКР[[#This Row],[№]],0))</f>
        <v/>
      </c>
      <c r="BH35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5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35" s="1316">
        <f ca="1">N(INDEX(CHOOSE(dbУчПрактикиКР[[#This Row],[код]],BPZS[ТО],BPLS[ТО],MPZS[ТО],MPLS[ТО]),dbУчПрактикиКР[[#This Row],[№]],0))</f>
        <v>0</v>
      </c>
      <c r="BK35" s="1317">
        <f ca="1">N(INDEX(CHOOSE(dbУчПрактикиКР[[#This Row],[код]],BPZS[КР],BPLS[КР],MPZS[КР],MPLS[КР]),dbУчПрактикиКР[[#This Row],[№]],0))</f>
        <v>0</v>
      </c>
      <c r="BL35" s="1318">
        <f ca="1">IFERROR(MATCH(dbУчПрактикиКР[[#This Row],[ВидПрактика]],T_Практики[Практика и курсова работа],0),0)</f>
        <v>0</v>
      </c>
      <c r="BM35" s="1340" t="str">
        <f ca="1">IF(dbУчПрактикиКР[[#This Row],[пВидПрактика]],INDEX(T_Практики[Студенти],dbУчПрактикиКР[[#This Row],[пВидПрактика]]),"-")</f>
        <v>-</v>
      </c>
      <c r="BN35" s="1340" t="str">
        <f ca="1">IF(dbУчПрактикиКР[[#This Row],[пВидПрактика]],INDEX(T_Практики[Група],dbУчПрактикиКР[[#This Row],[пВидПрактика]])*2,"-")</f>
        <v>-</v>
      </c>
      <c r="BO35" s="1341" t="str">
        <f ca="1">IF(dbУчПрактикиКР[[#This Row],[пВидПрактика]],INDEX(T_Практики[Ден],dbУчПрактикиКР[[#This Row],[пВидПрактика]])*4,"-")</f>
        <v>-</v>
      </c>
      <c r="BP35" s="1335">
        <f ca="1">IFERROR(AND(dbУчПрактикиКР[[#This Row],[ТО]]&lt;&gt;0,dbУчПрактикиКР[[#This Row],[ФормаОб]]=0)*1,0)</f>
        <v>0</v>
      </c>
      <c r="BQ35" s="1335">
        <f ca="1">IFERROR(AND(dbУчПрактикиКР[[#This Row],[Изпитани]]&lt;&gt;0,LEN(dbУчПрактикиКР[[#This Row],[Изпитващ]])=0)*1,0)</f>
        <v>0</v>
      </c>
      <c r="BR35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5" s="1335">
        <f ca="1">IFERROR(IF(dbУчПрактикиКР[[#This Row],[ФормаОб]]=list!$A$55,Coef!$B$10,Coef!$B$9),0)</f>
        <v>0.5</v>
      </c>
      <c r="BT35" s="1343">
        <v>5</v>
      </c>
      <c r="BU35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5" s="1340">
        <f ca="1">dbУчПрактикиКР[[#This Row],[кИзпитващ]]*N(dbУчПрактикиКР[[#This Row],[Изпитани]])</f>
        <v>0</v>
      </c>
      <c r="BW35" s="1344">
        <f ca="1">N(dbУчПрактикиКР[[#This Row],[ТО]])*N(dbУчПрактикиКР[[#This Row],[кTO]])</f>
        <v>0</v>
      </c>
      <c r="BX35" s="1343">
        <f ca="1">N(dbУчПрактикиКР[[#This Row],[КР]])*dbУчПрактикиКР[[#This Row],[кКР]]</f>
        <v>0</v>
      </c>
      <c r="BY35" s="1342">
        <f ca="1">N(INDEX(CHOOSE(dbУчПрактикиКР[[#This Row],[код]],BPZS[id_РД],BPLS[id_РД],MPZS[id_РД],MPLS[id_РД]),dbУчПрактикиКР[[#This Row],[№]],0))</f>
        <v>0</v>
      </c>
      <c r="BZ35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5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5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5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5" s="964" t="s">
        <v>682</v>
      </c>
      <c r="CH35" s="968" t="s">
        <v>406</v>
      </c>
      <c r="CI35" s="972">
        <v>3</v>
      </c>
      <c r="CJ35" s="978">
        <f ca="1">IF(dbДипломиране[[#This Row],[Семестър]]=OFFSET(dbДипломиране[[#This Row],[Семестър]],-1,0),N(OFFSET(dbДипломиране[[#This Row],[№]],-1,0))+1,1)</f>
        <v>7</v>
      </c>
      <c r="CK35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5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5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5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5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5" s="1359">
        <f ca="1">dbДипломиране[[#This Row],[ДР]]*30</f>
        <v>0</v>
      </c>
      <c r="CQ35" s="1359">
        <f ca="1">dbДипломиране[[#This Row],[Рецензии]]*5</f>
        <v>0</v>
      </c>
      <c r="CR35" s="1365">
        <f ca="1">dbДипломиране[[#This Row],[И/ДИ/З]]*0.8</f>
        <v>0</v>
      </c>
    </row>
    <row r="36" spans="5:96" ht="17.25" thickBot="1" x14ac:dyDescent="0.35">
      <c r="E36" s="919" t="s">
        <v>681</v>
      </c>
      <c r="F36" s="921" t="s">
        <v>407</v>
      </c>
      <c r="G36" s="666">
        <v>2</v>
      </c>
      <c r="H36" s="860">
        <f ca="1">IF(dbУчДисц[[#This Row],[Семестър]]=OFFSET(dbУчДисц[[#This Row],[Семестър]],-1,0),N(OFFSET(dbУчДисц[[#This Row],[№]],-1,0))+1,1)</f>
        <v>5</v>
      </c>
      <c r="I36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6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6" s="842" t="str">
        <f ca="1">T(INDEX(CHOOSE(dbУчДисц[[#This Row],[код]],BAZZS[Факултет],BAZLS[Факултет],MAZZS[Факултет],MAZLS[Факултет]),dbУчДисц[[#This Row],[№]],0))</f>
        <v/>
      </c>
      <c r="L36" s="265" t="str">
        <f ca="1">T(INDEX(CHOOSE(dbУчДисц[[#This Row],[код]],BAZZS[Вид],BAZLS[Вид],MAZZS[Вид],MAZLS[Вид]),dbУчДисц[[#This Row],[№]],0))</f>
        <v/>
      </c>
      <c r="M36" s="243" t="str">
        <f ca="1">T(INDEX(CHOOSE(dbУчДисц[[#This Row],[код]],BAZZS[Курс],BAZLS[Курс],MAZZS[Курс],MAZLS[Курс]),dbУчДисц[[#This Row],[№]],0))</f>
        <v/>
      </c>
      <c r="N36" s="243" t="str">
        <f ca="1">T(INDEX(CHOOSE(dbУчДисц[[#This Row],[код]],BAZZS[ФормаОб],BAZLS[ФормаОб],MAZZS[ФормаОб],MAZLS[ФормаОб]),dbУчДисц[[#This Row],[№]],0))</f>
        <v/>
      </c>
      <c r="O36" s="1253" cm="1">
        <f t="array" aca="1" ref="O36" ca="1">INDEX(CHOOSE(dbУчДисц[[#This Row],[код]],BAZZS[Студенти],BAZLS[Студенти],MAZZS[Студенти],MAZLS[Студенти]),dbУчДисц[[#This Row],[№]],0)</f>
        <v>0</v>
      </c>
      <c r="P36" s="1254" cm="1">
        <f t="array" aca="1" ref="P36" ca="1">INDEX(CHOOSE(dbУчДисц[[#This Row],[код]],BAZZS[Лекции],BAZLS[Лекции],MAZZS[Лекции],MAZLS[Лекции]),dbУчДисц[[#This Row],[№]],0)</f>
        <v>0</v>
      </c>
      <c r="Q36" s="1254" cm="1">
        <f t="array" aca="1" ref="Q36" ca="1">INDEX(CHOOSE(dbУчДисц[[#This Row],[код]],BAZZS[Упражнения],BAZLS[Упражнения],MAZZS[Упражнения],MAZLS[Упражнения]),dbУчДисц[[#This Row],[№]],0)</f>
        <v>0</v>
      </c>
      <c r="R36" s="892" t="str">
        <f ca="1">T(INDEX(CHOOSE(dbУчДисц[[#This Row],[код]],BAZZS[Език],BAZLS[Език],MAZZS[Език],MAZLS[Език]),dbУчДисц[[#This Row],[№]],0))</f>
        <v>БЕ</v>
      </c>
      <c r="S36" s="243" t="str">
        <f ca="1">T(INDEX(CHOOSE(dbУчДисц[[#This Row],[код]],BAZZS[ФормаОц],BAZLS[ФормаОц],MAZZS[ФормаОц],MAZLS[ФормаОц]),dbУчДисц[[#This Row],[№]],0))</f>
        <v/>
      </c>
      <c r="T36" s="244" t="str">
        <f ca="1">T(INDEX(CHOOSE(dbУчДисц[[#This Row],[код]],BAZZS[Изпитващ],BAZLS[Изпитващ],MAZZS[Изпитващ],MAZLS[Изпитващ]),dbУчДисц[[#This Row],[№]],0))</f>
        <v/>
      </c>
      <c r="U36" s="1254" cm="1">
        <f t="array" aca="1" ref="U36" ca="1">INDEX(CHOOSE(dbУчДисц[[#This Row],[код]],BAZZS[Изпитани],BAZLS[Изпитани],MAZZS[Изпитани],MAZLS[Изпитани]),dbУчДисц[[#This Row],[№]],0)</f>
        <v>0</v>
      </c>
      <c r="V36" s="1268" cm="1">
        <f t="array" aca="1" ref="V36" ca="1">INDEX(CHOOSE(dbУчДисц[[#This Row],[код]],BAZZS[ТО],BAZLS[ТО],MAZZS[ТО],MAZLS[ТО]),dbУчДисц[[#This Row],[№]],0)</f>
        <v>0</v>
      </c>
      <c r="W36" s="1268" cm="1">
        <f t="array" aca="1" ref="W36" ca="1">INDEX(CHOOSE(dbУчДисц[[#This Row],[код]],BAZZS[КР],BAZLS[КР],MAZZS[КР],MAZLS[КР]),dbУчДисц[[#This Row],[№]],0)</f>
        <v>0</v>
      </c>
      <c r="X3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6" s="1270">
        <f ca="1">IF(AND(dbУчДисц[[#This Row],[Изпитани]]&lt;&gt;0,dbУчДисц[[#This Row],[Изпитващ]]=0),1,0)</f>
        <v>0</v>
      </c>
      <c r="AA36" s="1271">
        <f ca="1">IFERROR(VLOOKUP(dbУчДисц[[#This Row],[Език]],Коефициент_Eзик[],2,0),0)</f>
        <v>1</v>
      </c>
      <c r="AB36" s="1272" cm="1">
        <f t="array" aca="1" ref="AB3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6" s="1273">
        <v>0.5</v>
      </c>
      <c r="AE36" s="1274">
        <v>5</v>
      </c>
      <c r="AF36" s="1271">
        <f ca="1">N(dbУчДисц[[#This Row],[Лекции]])*dbУчДисц[[#This Row],[кЕзик]]*dbУчДисц[[#This Row],[кСтуденти]]*кЛекции</f>
        <v>0</v>
      </c>
      <c r="AG36" s="1272">
        <f ca="1">N(dbУчДисц[[#This Row],[Упражнения]])*dbУчДисц[[#This Row],[кЕзик]]*dbУчДисц[[#This Row],[кСтуденти]]*кУпражнение</f>
        <v>0</v>
      </c>
      <c r="AH36" s="1272">
        <f ca="1">N(dbУчДисц[[#This Row],[Изпитани]])*dbУчДисц[[#This Row],[кИзпитващ]]</f>
        <v>0</v>
      </c>
      <c r="AI36" s="1273">
        <f ca="1">dbУчДисц[[#This Row],[ТО]]*dbУчДисц[[#This Row],[кTO]]</f>
        <v>0</v>
      </c>
      <c r="AJ36" s="1266">
        <f ca="1">dbУчДисц[[#This Row],[КР]]*dbУчДисц[[#This Row],[кКР]]</f>
        <v>0</v>
      </c>
      <c r="AK36" s="1275">
        <f ca="1">N(INDEX(CHOOSE(dbУчДисц[[#This Row],[код]],BAZZS[id_РД],BAZLS[id_РД],MAZZS[id_РД],MAZLS[id_РД]),dbУчДисц[[#This Row],[№]],0))</f>
        <v>0</v>
      </c>
      <c r="AL3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6" s="1383" t="str">
        <f ca="1">T(INDEX(CHOOSE(dbУчДисц[[#This Row],[код]],BAZZS[Факултет1],BAZLS[Факултет1],MAZZS[Факултет1],MAZLS[Факултет1]),dbУчДисц[[#This Row],[№]],0))</f>
        <v/>
      </c>
      <c r="AO3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6" s="931" t="s">
        <v>970</v>
      </c>
      <c r="AT36" s="955" t="s">
        <v>406</v>
      </c>
      <c r="AU36" s="950">
        <v>3</v>
      </c>
      <c r="AV36" s="981">
        <f ca="1">IF(dbУчПрактикиКР[[#This Row],[Семестър]]=OFFSET(dbУчПрактикиКР[[#This Row],[Семестър]],-1,0),N(OFFSET(dbУчПрактикиКР[[#This Row],[№]],-1,0))+1,1)</f>
        <v>4</v>
      </c>
      <c r="AW36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6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6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6" s="943" t="str">
        <f ca="1">T(INDEX(CHOOSE(dbУчПрактикиКР[[#This Row],[код]],BPZS[Вид],BPLS[Вид],MPZS[Вид],MPLS[Вид]),dbУчПрактикиКР[[#This Row],[№]],0))</f>
        <v/>
      </c>
      <c r="BA36" s="944" t="str">
        <f ca="1">T(INDEX(CHOOSE(dbУчПрактикиКР[[#This Row],[код]],BPZS[Курс],BPLS[Курс],MPZS[Курс],MPLS[Курс]),dbУчПрактикиКР[[#This Row],[№]],0))</f>
        <v/>
      </c>
      <c r="BB36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6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6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6" s="1303">
        <f ca="1">N(INDEX(CHOOSE(dbУчПрактикиКР[[#This Row],[код]],BPZS[Група],BPLS[Група],MPZS[Група],MPLS[Група]),dbУчПрактикиКР[[#This Row],[№]],0))</f>
        <v>0</v>
      </c>
      <c r="BF36" s="1308">
        <f ca="1">N(INDEX(CHOOSE(dbУчПрактикиКР[[#This Row],[код]],BPZS[Ден],BPLS[Ден],MPZS[Ден],MPLS[Ден]),dbУчПрактикиКР[[#This Row],[№]],0))</f>
        <v>0</v>
      </c>
      <c r="BG36" s="1036" t="str">
        <f ca="1">T(INDEX(CHOOSE(dbУчПрактикиКР[[#This Row],[код]],BPZS[ФормаОц],BPLS[ФормаОц],MPZS[ФормаОц],MPLS[ФормаОц]),dbУчПрактикиКР[[#This Row],[№]],0))</f>
        <v/>
      </c>
      <c r="BH36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6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36" s="1316">
        <f ca="1">N(INDEX(CHOOSE(dbУчПрактикиКР[[#This Row],[код]],BPZS[ТО],BPLS[ТО],MPZS[ТО],MPLS[ТО]),dbУчПрактикиКР[[#This Row],[№]],0))</f>
        <v>0</v>
      </c>
      <c r="BK36" s="1317">
        <f ca="1">N(INDEX(CHOOSE(dbУчПрактикиКР[[#This Row],[код]],BPZS[КР],BPLS[КР],MPZS[КР],MPLS[КР]),dbУчПрактикиКР[[#This Row],[№]],0))</f>
        <v>0</v>
      </c>
      <c r="BL36" s="1318">
        <f ca="1">IFERROR(MATCH(dbУчПрактикиКР[[#This Row],[ВидПрактика]],T_Практики[Практика и курсова работа],0),0)</f>
        <v>0</v>
      </c>
      <c r="BM36" s="1340" t="str">
        <f ca="1">IF(dbУчПрактикиКР[[#This Row],[пВидПрактика]],INDEX(T_Практики[Студенти],dbУчПрактикиКР[[#This Row],[пВидПрактика]]),"-")</f>
        <v>-</v>
      </c>
      <c r="BN36" s="1340" t="str">
        <f ca="1">IF(dbУчПрактикиКР[[#This Row],[пВидПрактика]],INDEX(T_Практики[Група],dbУчПрактикиКР[[#This Row],[пВидПрактика]])*2,"-")</f>
        <v>-</v>
      </c>
      <c r="BO36" s="1341" t="str">
        <f ca="1">IF(dbУчПрактикиКР[[#This Row],[пВидПрактика]],INDEX(T_Практики[Ден],dbУчПрактикиКР[[#This Row],[пВидПрактика]])*4,"-")</f>
        <v>-</v>
      </c>
      <c r="BP36" s="1335">
        <f ca="1">IFERROR(AND(dbУчПрактикиКР[[#This Row],[ТО]]&lt;&gt;0,dbУчПрактикиКР[[#This Row],[ФормаОб]]=0)*1,0)</f>
        <v>0</v>
      </c>
      <c r="BQ36" s="1335">
        <f ca="1">IFERROR(AND(dbУчПрактикиКР[[#This Row],[Изпитани]]&lt;&gt;0,LEN(dbУчПрактикиКР[[#This Row],[Изпитващ]])=0)*1,0)</f>
        <v>0</v>
      </c>
      <c r="BR36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6" s="1335">
        <f ca="1">IFERROR(IF(dbУчПрактикиКР[[#This Row],[ФормаОб]]=list!$A$55,Coef!$B$10,Coef!$B$9),0)</f>
        <v>0.5</v>
      </c>
      <c r="BT36" s="1343">
        <v>5</v>
      </c>
      <c r="BU36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6" s="1340">
        <f ca="1">dbУчПрактикиКР[[#This Row],[кИзпитващ]]*N(dbУчПрактикиКР[[#This Row],[Изпитани]])</f>
        <v>0</v>
      </c>
      <c r="BW36" s="1344">
        <f ca="1">N(dbУчПрактикиКР[[#This Row],[ТО]])*N(dbУчПрактикиКР[[#This Row],[кTO]])</f>
        <v>0</v>
      </c>
      <c r="BX36" s="1343">
        <f ca="1">N(dbУчПрактикиКР[[#This Row],[КР]])*dbУчПрактикиКР[[#This Row],[кКР]]</f>
        <v>0</v>
      </c>
      <c r="BY36" s="1342">
        <f ca="1">N(INDEX(CHOOSE(dbУчПрактикиКР[[#This Row],[код]],BPZS[id_РД],BPLS[id_РД],MPZS[id_РД],MPLS[id_РД]),dbУчПрактикиКР[[#This Row],[№]],0))</f>
        <v>0</v>
      </c>
      <c r="BZ36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6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6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6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6" s="965" t="s">
        <v>682</v>
      </c>
      <c r="CH36" s="969" t="s">
        <v>406</v>
      </c>
      <c r="CI36" s="973">
        <v>3</v>
      </c>
      <c r="CJ36" s="977">
        <f ca="1">IF(dbДипломиране[[#This Row],[Семестър]]=OFFSET(dbДипломиране[[#This Row],[Семестър]],-1,0),N(OFFSET(dbДипломиране[[#This Row],[№]],-1,0))+1,1)</f>
        <v>8</v>
      </c>
      <c r="CK36" s="850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6" s="886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6" s="1369">
        <f ca="1">N(INDEX(CHOOSE(dbДипломиране[[#This Row],[код]],BDiplomiraneZS[ДР],BDiplomiraneLS[ФормаОб],MDiplomiraneZS[ДР],MDiplomiraneLS[ДР]),dbДипломиране[[#This Row],[№]],0))</f>
        <v>0</v>
      </c>
      <c r="CN36" s="1252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6" s="1251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6" s="1367">
        <f ca="1">dbДипломиране[[#This Row],[ДР]]*30</f>
        <v>0</v>
      </c>
      <c r="CQ36" s="1367">
        <f ca="1">dbДипломиране[[#This Row],[Рецензии]]*5</f>
        <v>0</v>
      </c>
      <c r="CR36" s="1368">
        <f ca="1">dbДипломиране[[#This Row],[И/ДИ/З]]*0.8</f>
        <v>0</v>
      </c>
    </row>
    <row r="37" spans="5:96" ht="16.5" x14ac:dyDescent="0.3">
      <c r="E37" s="919" t="s">
        <v>681</v>
      </c>
      <c r="F37" s="921" t="s">
        <v>407</v>
      </c>
      <c r="G37" s="666">
        <v>2</v>
      </c>
      <c r="H37" s="860">
        <f ca="1">IF(dbУчДисц[[#This Row],[Семестър]]=OFFSET(dbУчДисц[[#This Row],[Семестър]],-1,0),N(OFFSET(dbУчДисц[[#This Row],[№]],-1,0))+1,1)</f>
        <v>6</v>
      </c>
      <c r="I37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7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7" s="842" t="str">
        <f ca="1">T(INDEX(CHOOSE(dbУчДисц[[#This Row],[код]],BAZZS[Факултет],BAZLS[Факултет],MAZZS[Факултет],MAZLS[Факултет]),dbУчДисц[[#This Row],[№]],0))</f>
        <v/>
      </c>
      <c r="L37" s="265" t="str">
        <f ca="1">T(INDEX(CHOOSE(dbУчДисц[[#This Row],[код]],BAZZS[Вид],BAZLS[Вид],MAZZS[Вид],MAZLS[Вид]),dbУчДисц[[#This Row],[№]],0))</f>
        <v/>
      </c>
      <c r="M37" s="243" t="str">
        <f ca="1">T(INDEX(CHOOSE(dbУчДисц[[#This Row],[код]],BAZZS[Курс],BAZLS[Курс],MAZZS[Курс],MAZLS[Курс]),dbУчДисц[[#This Row],[№]],0))</f>
        <v/>
      </c>
      <c r="N37" s="243" t="str">
        <f ca="1">T(INDEX(CHOOSE(dbУчДисц[[#This Row],[код]],BAZZS[ФормаОб],BAZLS[ФормаОб],MAZZS[ФормаОб],MAZLS[ФормаОб]),dbУчДисц[[#This Row],[№]],0))</f>
        <v/>
      </c>
      <c r="O37" s="1253" cm="1">
        <f t="array" aca="1" ref="O37" ca="1">INDEX(CHOOSE(dbУчДисц[[#This Row],[код]],BAZZS[Студенти],BAZLS[Студенти],MAZZS[Студенти],MAZLS[Студенти]),dbУчДисц[[#This Row],[№]],0)</f>
        <v>0</v>
      </c>
      <c r="P37" s="1254" cm="1">
        <f t="array" aca="1" ref="P37" ca="1">INDEX(CHOOSE(dbУчДисц[[#This Row],[код]],BAZZS[Лекции],BAZLS[Лекции],MAZZS[Лекции],MAZLS[Лекции]),dbУчДисц[[#This Row],[№]],0)</f>
        <v>0</v>
      </c>
      <c r="Q37" s="1254" cm="1">
        <f t="array" aca="1" ref="Q37" ca="1">INDEX(CHOOSE(dbУчДисц[[#This Row],[код]],BAZZS[Упражнения],BAZLS[Упражнения],MAZZS[Упражнения],MAZLS[Упражнения]),dbУчДисц[[#This Row],[№]],0)</f>
        <v>0</v>
      </c>
      <c r="R37" s="892" t="str">
        <f ca="1">T(INDEX(CHOOSE(dbУчДисц[[#This Row],[код]],BAZZS[Език],BAZLS[Език],MAZZS[Език],MAZLS[Език]),dbУчДисц[[#This Row],[№]],0))</f>
        <v>БЕ</v>
      </c>
      <c r="S37" s="243" t="str">
        <f ca="1">T(INDEX(CHOOSE(dbУчДисц[[#This Row],[код]],BAZZS[ФормаОц],BAZLS[ФормаОц],MAZZS[ФормаОц],MAZLS[ФормаОц]),dbУчДисц[[#This Row],[№]],0))</f>
        <v/>
      </c>
      <c r="T37" s="244" t="str">
        <f ca="1">T(INDEX(CHOOSE(dbУчДисц[[#This Row],[код]],BAZZS[Изпитващ],BAZLS[Изпитващ],MAZZS[Изпитващ],MAZLS[Изпитващ]),dbУчДисц[[#This Row],[№]],0))</f>
        <v/>
      </c>
      <c r="U37" s="1254" cm="1">
        <f t="array" aca="1" ref="U37" ca="1">INDEX(CHOOSE(dbУчДисц[[#This Row],[код]],BAZZS[Изпитани],BAZLS[Изпитани],MAZZS[Изпитани],MAZLS[Изпитани]),dbУчДисц[[#This Row],[№]],0)</f>
        <v>0</v>
      </c>
      <c r="V37" s="1268" cm="1">
        <f t="array" aca="1" ref="V37" ca="1">INDEX(CHOOSE(dbУчДисц[[#This Row],[код]],BAZZS[ТО],BAZLS[ТО],MAZZS[ТО],MAZLS[ТО]),dbУчДисц[[#This Row],[№]],0)</f>
        <v>0</v>
      </c>
      <c r="W37" s="1268" cm="1">
        <f t="array" aca="1" ref="W37" ca="1">INDEX(CHOOSE(dbУчДисц[[#This Row],[код]],BAZZS[КР],BAZLS[КР],MAZZS[КР],MAZLS[КР]),dbУчДисц[[#This Row],[№]],0)</f>
        <v>0</v>
      </c>
      <c r="X3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7" s="1270">
        <f ca="1">IF(AND(dbУчДисц[[#This Row],[Изпитани]]&lt;&gt;0,dbУчДисц[[#This Row],[Изпитващ]]=0),1,0)</f>
        <v>0</v>
      </c>
      <c r="AA37" s="1271">
        <f ca="1">IFERROR(VLOOKUP(dbУчДисц[[#This Row],[Език]],Коефициент_Eзик[],2,0),0)</f>
        <v>1</v>
      </c>
      <c r="AB37" s="1272" cm="1">
        <f t="array" aca="1" ref="AB3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7" s="1273">
        <v>0.5</v>
      </c>
      <c r="AE37" s="1274">
        <v>5</v>
      </c>
      <c r="AF37" s="1271">
        <f ca="1">N(dbУчДисц[[#This Row],[Лекции]])*dbУчДисц[[#This Row],[кЕзик]]*dbУчДисц[[#This Row],[кСтуденти]]*кЛекции</f>
        <v>0</v>
      </c>
      <c r="AG37" s="1272">
        <f ca="1">N(dbУчДисц[[#This Row],[Упражнения]])*dbУчДисц[[#This Row],[кЕзик]]*dbУчДисц[[#This Row],[кСтуденти]]*кУпражнение</f>
        <v>0</v>
      </c>
      <c r="AH37" s="1272">
        <f ca="1">N(dbУчДисц[[#This Row],[Изпитани]])*dbУчДисц[[#This Row],[кИзпитващ]]</f>
        <v>0</v>
      </c>
      <c r="AI37" s="1273">
        <f ca="1">dbУчДисц[[#This Row],[ТО]]*dbУчДисц[[#This Row],[кTO]]</f>
        <v>0</v>
      </c>
      <c r="AJ37" s="1266">
        <f ca="1">dbУчДисц[[#This Row],[КР]]*dbУчДисц[[#This Row],[кКР]]</f>
        <v>0</v>
      </c>
      <c r="AK37" s="1275">
        <f ca="1">N(INDEX(CHOOSE(dbУчДисц[[#This Row],[код]],BAZZS[id_РД],BAZLS[id_РД],MAZZS[id_РД],MAZLS[id_РД]),dbУчДисц[[#This Row],[№]],0))</f>
        <v>0</v>
      </c>
      <c r="AL3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7" s="1383" t="str">
        <f ca="1">T(INDEX(CHOOSE(dbУчДисц[[#This Row],[код]],BAZZS[Факултет1],BAZLS[Факултет1],MAZZS[Факултет1],MAZLS[Факултет1]),dbУчДисц[[#This Row],[№]],0))</f>
        <v/>
      </c>
      <c r="AO3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7" s="931" t="s">
        <v>970</v>
      </c>
      <c r="AT37" s="955" t="s">
        <v>406</v>
      </c>
      <c r="AU37" s="950">
        <v>3</v>
      </c>
      <c r="AV37" s="981">
        <f ca="1">IF(dbУчПрактикиКР[[#This Row],[Семестър]]=OFFSET(dbУчПрактикиКР[[#This Row],[Семестър]],-1,0),N(OFFSET(dbУчПрактикиКР[[#This Row],[№]],-1,0))+1,1)</f>
        <v>5</v>
      </c>
      <c r="AW37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7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7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7" s="943" t="str">
        <f ca="1">T(INDEX(CHOOSE(dbУчПрактикиКР[[#This Row],[код]],BPZS[Вид],BPLS[Вид],MPZS[Вид],MPLS[Вид]),dbУчПрактикиКР[[#This Row],[№]],0))</f>
        <v/>
      </c>
      <c r="BA37" s="944" t="str">
        <f ca="1">T(INDEX(CHOOSE(dbУчПрактикиКР[[#This Row],[код]],BPZS[Курс],BPLS[Курс],MPZS[Курс],MPLS[Курс]),dbУчПрактикиКР[[#This Row],[№]],0))</f>
        <v/>
      </c>
      <c r="BB37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7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7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7" s="1303">
        <f ca="1">N(INDEX(CHOOSE(dbУчПрактикиКР[[#This Row],[код]],BPZS[Група],BPLS[Група],MPZS[Група],MPLS[Група]),dbУчПрактикиКР[[#This Row],[№]],0))</f>
        <v>0</v>
      </c>
      <c r="BF37" s="1308">
        <f ca="1">N(INDEX(CHOOSE(dbУчПрактикиКР[[#This Row],[код]],BPZS[Ден],BPLS[Ден],MPZS[Ден],MPLS[Ден]),dbУчПрактикиКР[[#This Row],[№]],0))</f>
        <v>0</v>
      </c>
      <c r="BG37" s="1036" t="str">
        <f ca="1">T(INDEX(CHOOSE(dbУчПрактикиКР[[#This Row],[код]],BPZS[ФормаОц],BPLS[ФормаОц],MPZS[ФормаОц],MPLS[ФормаОц]),dbУчПрактикиКР[[#This Row],[№]],0))</f>
        <v/>
      </c>
      <c r="BH37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7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37" s="1316">
        <f ca="1">N(INDEX(CHOOSE(dbУчПрактикиКР[[#This Row],[код]],BPZS[ТО],BPLS[ТО],MPZS[ТО],MPLS[ТО]),dbУчПрактикиКР[[#This Row],[№]],0))</f>
        <v>0</v>
      </c>
      <c r="BK37" s="1317">
        <f ca="1">N(INDEX(CHOOSE(dbУчПрактикиКР[[#This Row],[код]],BPZS[КР],BPLS[КР],MPZS[КР],MPLS[КР]),dbУчПрактикиКР[[#This Row],[№]],0))</f>
        <v>0</v>
      </c>
      <c r="BL37" s="1318">
        <f ca="1">IFERROR(MATCH(dbУчПрактикиКР[[#This Row],[ВидПрактика]],T_Практики[Практика и курсова работа],0),0)</f>
        <v>0</v>
      </c>
      <c r="BM37" s="1340" t="str">
        <f ca="1">IF(dbУчПрактикиКР[[#This Row],[пВидПрактика]],INDEX(T_Практики[Студенти],dbУчПрактикиКР[[#This Row],[пВидПрактика]]),"-")</f>
        <v>-</v>
      </c>
      <c r="BN37" s="1340" t="str">
        <f ca="1">IF(dbУчПрактикиКР[[#This Row],[пВидПрактика]],INDEX(T_Практики[Група],dbУчПрактикиКР[[#This Row],[пВидПрактика]])*2,"-")</f>
        <v>-</v>
      </c>
      <c r="BO37" s="1341" t="str">
        <f ca="1">IF(dbУчПрактикиКР[[#This Row],[пВидПрактика]],INDEX(T_Практики[Ден],dbУчПрактикиКР[[#This Row],[пВидПрактика]])*4,"-")</f>
        <v>-</v>
      </c>
      <c r="BP37" s="1335">
        <f ca="1">IFERROR(AND(dbУчПрактикиКР[[#This Row],[ТО]]&lt;&gt;0,dbУчПрактикиКР[[#This Row],[ФормаОб]]=0)*1,0)</f>
        <v>0</v>
      </c>
      <c r="BQ37" s="1335">
        <f ca="1">IFERROR(AND(dbУчПрактикиКР[[#This Row],[Изпитани]]&lt;&gt;0,LEN(dbУчПрактикиКР[[#This Row],[Изпитващ]])=0)*1,0)</f>
        <v>0</v>
      </c>
      <c r="BR37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7" s="1335">
        <f ca="1">IFERROR(IF(dbУчПрактикиКР[[#This Row],[ФормаОб]]=list!$A$55,Coef!$B$10,Coef!$B$9),0)</f>
        <v>0.5</v>
      </c>
      <c r="BT37" s="1343">
        <v>5</v>
      </c>
      <c r="BU37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7" s="1340">
        <f ca="1">dbУчПрактикиКР[[#This Row],[кИзпитващ]]*N(dbУчПрактикиКР[[#This Row],[Изпитани]])</f>
        <v>0</v>
      </c>
      <c r="BW37" s="1344">
        <f ca="1">N(dbУчПрактикиКР[[#This Row],[ТО]])*N(dbУчПрактикиКР[[#This Row],[кTO]])</f>
        <v>0</v>
      </c>
      <c r="BX37" s="1343">
        <f ca="1">N(dbУчПрактикиКР[[#This Row],[КР]])*dbУчПрактикиКР[[#This Row],[кКР]]</f>
        <v>0</v>
      </c>
      <c r="BY37" s="1342">
        <f ca="1">N(INDEX(CHOOSE(dbУчПрактикиКР[[#This Row],[код]],BPZS[id_РД],BPLS[id_РД],MPZS[id_РД],MPLS[id_РД]),dbУчПрактикиКР[[#This Row],[№]],0))</f>
        <v>0</v>
      </c>
      <c r="BZ37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7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7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7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7" s="963" t="s">
        <v>682</v>
      </c>
      <c r="CH37" s="967" t="s">
        <v>407</v>
      </c>
      <c r="CI37" s="971">
        <v>4</v>
      </c>
      <c r="CJ37" s="975">
        <f ca="1">IF(dbДипломиране[[#This Row],[Семестър]]=OFFSET(dbДипломиране[[#This Row],[Семестър]],-1,0),N(OFFSET(dbДипломиране[[#This Row],[№]],-1,0))+1,1)</f>
        <v>1</v>
      </c>
      <c r="CK37" s="863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7" s="890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7" s="1362">
        <f ca="1">N(INDEX(CHOOSE(dbДипломиране[[#This Row],[код]],BDiplomiraneZS[ДР],BDiplomiraneLS[ФормаОб],MDiplomiraneZS[ДР],MDiplomiraneLS[ДР]),dbДипломиране[[#This Row],[№]],0))</f>
        <v>0</v>
      </c>
      <c r="CN37" s="1256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7" s="1255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7" s="1363">
        <f ca="1">dbДипломиране[[#This Row],[ДР]]*30</f>
        <v>0</v>
      </c>
      <c r="CQ37" s="1363">
        <f ca="1">dbДипломиране[[#This Row],[Рецензии]]*5</f>
        <v>0</v>
      </c>
      <c r="CR37" s="1364">
        <f ca="1">dbДипломиране[[#This Row],[И/ДИ/З]]*0.8</f>
        <v>0</v>
      </c>
    </row>
    <row r="38" spans="5:96" ht="16.5" x14ac:dyDescent="0.3">
      <c r="E38" s="919" t="s">
        <v>681</v>
      </c>
      <c r="F38" s="921" t="s">
        <v>407</v>
      </c>
      <c r="G38" s="666">
        <v>2</v>
      </c>
      <c r="H38" s="860">
        <f ca="1">IF(dbУчДисц[[#This Row],[Семестър]]=OFFSET(dbУчДисц[[#This Row],[Семестър]],-1,0),N(OFFSET(dbУчДисц[[#This Row],[№]],-1,0))+1,1)</f>
        <v>7</v>
      </c>
      <c r="I38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8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8" s="842" t="str">
        <f ca="1">T(INDEX(CHOOSE(dbУчДисц[[#This Row],[код]],BAZZS[Факултет],BAZLS[Факултет],MAZZS[Факултет],MAZLS[Факултет]),dbУчДисц[[#This Row],[№]],0))</f>
        <v/>
      </c>
      <c r="L38" s="265" t="str">
        <f ca="1">T(INDEX(CHOOSE(dbУчДисц[[#This Row],[код]],BAZZS[Вид],BAZLS[Вид],MAZZS[Вид],MAZLS[Вид]),dbУчДисц[[#This Row],[№]],0))</f>
        <v/>
      </c>
      <c r="M38" s="243" t="str">
        <f ca="1">T(INDEX(CHOOSE(dbУчДисц[[#This Row],[код]],BAZZS[Курс],BAZLS[Курс],MAZZS[Курс],MAZLS[Курс]),dbУчДисц[[#This Row],[№]],0))</f>
        <v/>
      </c>
      <c r="N38" s="243" t="str">
        <f ca="1">T(INDEX(CHOOSE(dbУчДисц[[#This Row],[код]],BAZZS[ФормаОб],BAZLS[ФормаОб],MAZZS[ФормаОб],MAZLS[ФормаОб]),dbУчДисц[[#This Row],[№]],0))</f>
        <v/>
      </c>
      <c r="O38" s="1253" cm="1">
        <f t="array" aca="1" ref="O38" ca="1">INDEX(CHOOSE(dbУчДисц[[#This Row],[код]],BAZZS[Студенти],BAZLS[Студенти],MAZZS[Студенти],MAZLS[Студенти]),dbУчДисц[[#This Row],[№]],0)</f>
        <v>0</v>
      </c>
      <c r="P38" s="1254" cm="1">
        <f t="array" aca="1" ref="P38" ca="1">INDEX(CHOOSE(dbУчДисц[[#This Row],[код]],BAZZS[Лекции],BAZLS[Лекции],MAZZS[Лекции],MAZLS[Лекции]),dbУчДисц[[#This Row],[№]],0)</f>
        <v>0</v>
      </c>
      <c r="Q38" s="1254" cm="1">
        <f t="array" aca="1" ref="Q38" ca="1">INDEX(CHOOSE(dbУчДисц[[#This Row],[код]],BAZZS[Упражнения],BAZLS[Упражнения],MAZZS[Упражнения],MAZLS[Упражнения]),dbУчДисц[[#This Row],[№]],0)</f>
        <v>0</v>
      </c>
      <c r="R38" s="892" t="str">
        <f ca="1">T(INDEX(CHOOSE(dbУчДисц[[#This Row],[код]],BAZZS[Език],BAZLS[Език],MAZZS[Език],MAZLS[Език]),dbУчДисц[[#This Row],[№]],0))</f>
        <v>БЕ</v>
      </c>
      <c r="S38" s="243" t="str">
        <f ca="1">T(INDEX(CHOOSE(dbУчДисц[[#This Row],[код]],BAZZS[ФормаОц],BAZLS[ФормаОц],MAZZS[ФормаОц],MAZLS[ФормаОц]),dbУчДисц[[#This Row],[№]],0))</f>
        <v/>
      </c>
      <c r="T38" s="244" t="str">
        <f ca="1">T(INDEX(CHOOSE(dbУчДисц[[#This Row],[код]],BAZZS[Изпитващ],BAZLS[Изпитващ],MAZZS[Изпитващ],MAZLS[Изпитващ]),dbУчДисц[[#This Row],[№]],0))</f>
        <v/>
      </c>
      <c r="U38" s="1254" cm="1">
        <f t="array" aca="1" ref="U38" ca="1">INDEX(CHOOSE(dbУчДисц[[#This Row],[код]],BAZZS[Изпитани],BAZLS[Изпитани],MAZZS[Изпитани],MAZLS[Изпитани]),dbУчДисц[[#This Row],[№]],0)</f>
        <v>0</v>
      </c>
      <c r="V38" s="1268" cm="1">
        <f t="array" aca="1" ref="V38" ca="1">INDEX(CHOOSE(dbУчДисц[[#This Row],[код]],BAZZS[ТО],BAZLS[ТО],MAZZS[ТО],MAZLS[ТО]),dbУчДисц[[#This Row],[№]],0)</f>
        <v>0</v>
      </c>
      <c r="W38" s="1268" cm="1">
        <f t="array" aca="1" ref="W38" ca="1">INDEX(CHOOSE(dbУчДисц[[#This Row],[код]],BAZZS[КР],BAZLS[КР],MAZZS[КР],MAZLS[КР]),dbУчДисц[[#This Row],[№]],0)</f>
        <v>0</v>
      </c>
      <c r="X3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8" s="1270">
        <f ca="1">IF(AND(dbУчДисц[[#This Row],[Изпитани]]&lt;&gt;0,dbУчДисц[[#This Row],[Изпитващ]]=0),1,0)</f>
        <v>0</v>
      </c>
      <c r="AA38" s="1271">
        <f ca="1">IFERROR(VLOOKUP(dbУчДисц[[#This Row],[Език]],Коефициент_Eзик[],2,0),0)</f>
        <v>1</v>
      </c>
      <c r="AB38" s="1272" cm="1">
        <f t="array" aca="1" ref="AB3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8" s="1273">
        <v>0.5</v>
      </c>
      <c r="AE38" s="1274">
        <v>5</v>
      </c>
      <c r="AF38" s="1271">
        <f ca="1">N(dbУчДисц[[#This Row],[Лекции]])*dbУчДисц[[#This Row],[кЕзик]]*dbУчДисц[[#This Row],[кСтуденти]]*кЛекции</f>
        <v>0</v>
      </c>
      <c r="AG38" s="1272">
        <f ca="1">N(dbУчДисц[[#This Row],[Упражнения]])*dbУчДисц[[#This Row],[кЕзик]]*dbУчДисц[[#This Row],[кСтуденти]]*кУпражнение</f>
        <v>0</v>
      </c>
      <c r="AH38" s="1272">
        <f ca="1">N(dbУчДисц[[#This Row],[Изпитани]])*dbУчДисц[[#This Row],[кИзпитващ]]</f>
        <v>0</v>
      </c>
      <c r="AI38" s="1273">
        <f ca="1">dbУчДисц[[#This Row],[ТО]]*dbУчДисц[[#This Row],[кTO]]</f>
        <v>0</v>
      </c>
      <c r="AJ38" s="1266">
        <f ca="1">dbУчДисц[[#This Row],[КР]]*dbУчДисц[[#This Row],[кКР]]</f>
        <v>0</v>
      </c>
      <c r="AK38" s="1275">
        <f ca="1">N(INDEX(CHOOSE(dbУчДисц[[#This Row],[код]],BAZZS[id_РД],BAZLS[id_РД],MAZZS[id_РД],MAZLS[id_РД]),dbУчДисц[[#This Row],[№]],0))</f>
        <v>0</v>
      </c>
      <c r="AL3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8" s="1383" t="str">
        <f ca="1">T(INDEX(CHOOSE(dbУчДисц[[#This Row],[код]],BAZZS[Факултет1],BAZLS[Факултет1],MAZZS[Факултет1],MAZLS[Факултет1]),dbУчДисц[[#This Row],[№]],0))</f>
        <v/>
      </c>
      <c r="AO3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8" s="931" t="s">
        <v>970</v>
      </c>
      <c r="AT38" s="955" t="s">
        <v>406</v>
      </c>
      <c r="AU38" s="950">
        <v>3</v>
      </c>
      <c r="AV38" s="981">
        <f ca="1">IF(dbУчПрактикиКР[[#This Row],[Семестър]]=OFFSET(dbУчПрактикиКР[[#This Row],[Семестър]],-1,0),N(OFFSET(dbУчПрактикиКР[[#This Row],[№]],-1,0))+1,1)</f>
        <v>6</v>
      </c>
      <c r="AW38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8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8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8" s="943" t="str">
        <f ca="1">T(INDEX(CHOOSE(dbУчПрактикиКР[[#This Row],[код]],BPZS[Вид],BPLS[Вид],MPZS[Вид],MPLS[Вид]),dbУчПрактикиКР[[#This Row],[№]],0))</f>
        <v/>
      </c>
      <c r="BA38" s="944" t="str">
        <f ca="1">T(INDEX(CHOOSE(dbУчПрактикиКР[[#This Row],[код]],BPZS[Курс],BPLS[Курс],MPZS[Курс],MPLS[Курс]),dbУчПрактикиКР[[#This Row],[№]],0))</f>
        <v/>
      </c>
      <c r="BB38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8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8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8" s="1303">
        <f ca="1">N(INDEX(CHOOSE(dbУчПрактикиКР[[#This Row],[код]],BPZS[Група],BPLS[Група],MPZS[Група],MPLS[Група]),dbУчПрактикиКР[[#This Row],[№]],0))</f>
        <v>0</v>
      </c>
      <c r="BF38" s="1308">
        <f ca="1">N(INDEX(CHOOSE(dbУчПрактикиКР[[#This Row],[код]],BPZS[Ден],BPLS[Ден],MPZS[Ден],MPLS[Ден]),dbУчПрактикиКР[[#This Row],[№]],0))</f>
        <v>0</v>
      </c>
      <c r="BG38" s="1036" t="str">
        <f ca="1">T(INDEX(CHOOSE(dbУчПрактикиКР[[#This Row],[код]],BPZS[ФормаОц],BPLS[ФормаОц],MPZS[ФормаОц],MPLS[ФормаОц]),dbУчПрактикиКР[[#This Row],[№]],0))</f>
        <v/>
      </c>
      <c r="BH38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8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38" s="1316">
        <f ca="1">N(INDEX(CHOOSE(dbУчПрактикиКР[[#This Row],[код]],BPZS[ТО],BPLS[ТО],MPZS[ТО],MPLS[ТО]),dbУчПрактикиКР[[#This Row],[№]],0))</f>
        <v>0</v>
      </c>
      <c r="BK38" s="1317">
        <f ca="1">N(INDEX(CHOOSE(dbУчПрактикиКР[[#This Row],[код]],BPZS[КР],BPLS[КР],MPZS[КР],MPLS[КР]),dbУчПрактикиКР[[#This Row],[№]],0))</f>
        <v>0</v>
      </c>
      <c r="BL38" s="1318">
        <f ca="1">IFERROR(MATCH(dbУчПрактикиКР[[#This Row],[ВидПрактика]],T_Практики[Практика и курсова работа],0),0)</f>
        <v>0</v>
      </c>
      <c r="BM38" s="1340" t="str">
        <f ca="1">IF(dbУчПрактикиКР[[#This Row],[пВидПрактика]],INDEX(T_Практики[Студенти],dbУчПрактикиКР[[#This Row],[пВидПрактика]]),"-")</f>
        <v>-</v>
      </c>
      <c r="BN38" s="1340" t="str">
        <f ca="1">IF(dbУчПрактикиКР[[#This Row],[пВидПрактика]],INDEX(T_Практики[Група],dbУчПрактикиКР[[#This Row],[пВидПрактика]])*2,"-")</f>
        <v>-</v>
      </c>
      <c r="BO38" s="1341" t="str">
        <f ca="1">IF(dbУчПрактикиКР[[#This Row],[пВидПрактика]],INDEX(T_Практики[Ден],dbУчПрактикиКР[[#This Row],[пВидПрактика]])*4,"-")</f>
        <v>-</v>
      </c>
      <c r="BP38" s="1335">
        <f ca="1">IFERROR(AND(dbУчПрактикиКР[[#This Row],[ТО]]&lt;&gt;0,dbУчПрактикиКР[[#This Row],[ФормаОб]]=0)*1,0)</f>
        <v>0</v>
      </c>
      <c r="BQ38" s="1335">
        <f ca="1">IFERROR(AND(dbУчПрактикиКР[[#This Row],[Изпитани]]&lt;&gt;0,LEN(dbУчПрактикиКР[[#This Row],[Изпитващ]])=0)*1,0)</f>
        <v>0</v>
      </c>
      <c r="BR38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8" s="1335">
        <f ca="1">IFERROR(IF(dbУчПрактикиКР[[#This Row],[ФормаОб]]=list!$A$55,Coef!$B$10,Coef!$B$9),0)</f>
        <v>0.5</v>
      </c>
      <c r="BT38" s="1343">
        <v>5</v>
      </c>
      <c r="BU38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8" s="1340">
        <f ca="1">dbУчПрактикиКР[[#This Row],[кИзпитващ]]*N(dbУчПрактикиКР[[#This Row],[Изпитани]])</f>
        <v>0</v>
      </c>
      <c r="BW38" s="1344">
        <f ca="1">N(dbУчПрактикиКР[[#This Row],[ТО]])*N(dbУчПрактикиКР[[#This Row],[кTO]])</f>
        <v>0</v>
      </c>
      <c r="BX38" s="1343">
        <f ca="1">N(dbУчПрактикиКР[[#This Row],[КР]])*dbУчПрактикиКР[[#This Row],[кКР]]</f>
        <v>0</v>
      </c>
      <c r="BY38" s="1342">
        <f ca="1">N(INDEX(CHOOSE(dbУчПрактикиКР[[#This Row],[код]],BPZS[id_РД],BPLS[id_РД],MPZS[id_РД],MPLS[id_РД]),dbУчПрактикиКР[[#This Row],[№]],0))</f>
        <v>0</v>
      </c>
      <c r="BZ38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8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8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8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8" s="964" t="s">
        <v>682</v>
      </c>
      <c r="CH38" s="968" t="s">
        <v>407</v>
      </c>
      <c r="CI38" s="972">
        <v>4</v>
      </c>
      <c r="CJ38" s="976">
        <f ca="1">IF(dbДипломиране[[#This Row],[Семестър]]=OFFSET(dbДипломиране[[#This Row],[Семестър]],-1,0),N(OFFSET(dbДипломиране[[#This Row],[№]],-1,0))+1,1)</f>
        <v>2</v>
      </c>
      <c r="CK38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8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8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8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8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8" s="1359">
        <f ca="1">dbДипломиране[[#This Row],[ДР]]*30</f>
        <v>0</v>
      </c>
      <c r="CQ38" s="1359">
        <f ca="1">dbДипломиране[[#This Row],[Рецензии]]*5</f>
        <v>0</v>
      </c>
      <c r="CR38" s="1365">
        <f ca="1">dbДипломиране[[#This Row],[И/ДИ/З]]*0.8</f>
        <v>0</v>
      </c>
    </row>
    <row r="39" spans="5:96" ht="16.5" x14ac:dyDescent="0.3">
      <c r="E39" s="919" t="s">
        <v>681</v>
      </c>
      <c r="F39" s="921" t="s">
        <v>407</v>
      </c>
      <c r="G39" s="666">
        <v>2</v>
      </c>
      <c r="H39" s="860">
        <f ca="1">IF(dbУчДисц[[#This Row],[Семестър]]=OFFSET(dbУчДисц[[#This Row],[Семестър]],-1,0),N(OFFSET(dbУчДисц[[#This Row],[№]],-1,0))+1,1)</f>
        <v>8</v>
      </c>
      <c r="I39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39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39" s="842" t="str">
        <f ca="1">T(INDEX(CHOOSE(dbУчДисц[[#This Row],[код]],BAZZS[Факултет],BAZLS[Факултет],MAZZS[Факултет],MAZLS[Факултет]),dbУчДисц[[#This Row],[№]],0))</f>
        <v/>
      </c>
      <c r="L39" s="265" t="str">
        <f ca="1">T(INDEX(CHOOSE(dbУчДисц[[#This Row],[код]],BAZZS[Вид],BAZLS[Вид],MAZZS[Вид],MAZLS[Вид]),dbУчДисц[[#This Row],[№]],0))</f>
        <v/>
      </c>
      <c r="M39" s="243" t="str">
        <f ca="1">T(INDEX(CHOOSE(dbУчДисц[[#This Row],[код]],BAZZS[Курс],BAZLS[Курс],MAZZS[Курс],MAZLS[Курс]),dbУчДисц[[#This Row],[№]],0))</f>
        <v/>
      </c>
      <c r="N39" s="243" t="str">
        <f ca="1">T(INDEX(CHOOSE(dbУчДисц[[#This Row],[код]],BAZZS[ФормаОб],BAZLS[ФормаОб],MAZZS[ФормаОб],MAZLS[ФормаОб]),dbУчДисц[[#This Row],[№]],0))</f>
        <v/>
      </c>
      <c r="O39" s="1253" cm="1">
        <f t="array" aca="1" ref="O39" ca="1">INDEX(CHOOSE(dbУчДисц[[#This Row],[код]],BAZZS[Студенти],BAZLS[Студенти],MAZZS[Студенти],MAZLS[Студенти]),dbУчДисц[[#This Row],[№]],0)</f>
        <v>0</v>
      </c>
      <c r="P39" s="1254" cm="1">
        <f t="array" aca="1" ref="P39" ca="1">INDEX(CHOOSE(dbУчДисц[[#This Row],[код]],BAZZS[Лекции],BAZLS[Лекции],MAZZS[Лекции],MAZLS[Лекции]),dbУчДисц[[#This Row],[№]],0)</f>
        <v>0</v>
      </c>
      <c r="Q39" s="1254" cm="1">
        <f t="array" aca="1" ref="Q39" ca="1">INDEX(CHOOSE(dbУчДисц[[#This Row],[код]],BAZZS[Упражнения],BAZLS[Упражнения],MAZZS[Упражнения],MAZLS[Упражнения]),dbУчДисц[[#This Row],[№]],0)</f>
        <v>0</v>
      </c>
      <c r="R39" s="892" t="str">
        <f ca="1">T(INDEX(CHOOSE(dbУчДисц[[#This Row],[код]],BAZZS[Език],BAZLS[Език],MAZZS[Език],MAZLS[Език]),dbУчДисц[[#This Row],[№]],0))</f>
        <v>БЕ</v>
      </c>
      <c r="S39" s="243" t="str">
        <f ca="1">T(INDEX(CHOOSE(dbУчДисц[[#This Row],[код]],BAZZS[ФормаОц],BAZLS[ФормаОц],MAZZS[ФормаОц],MAZLS[ФормаОц]),dbУчДисц[[#This Row],[№]],0))</f>
        <v/>
      </c>
      <c r="T39" s="244" t="str">
        <f ca="1">T(INDEX(CHOOSE(dbУчДисц[[#This Row],[код]],BAZZS[Изпитващ],BAZLS[Изпитващ],MAZZS[Изпитващ],MAZLS[Изпитващ]),dbУчДисц[[#This Row],[№]],0))</f>
        <v/>
      </c>
      <c r="U39" s="1254" cm="1">
        <f t="array" aca="1" ref="U39" ca="1">INDEX(CHOOSE(dbУчДисц[[#This Row],[код]],BAZZS[Изпитани],BAZLS[Изпитани],MAZZS[Изпитани],MAZLS[Изпитани]),dbУчДисц[[#This Row],[№]],0)</f>
        <v>0</v>
      </c>
      <c r="V39" s="1268" cm="1">
        <f t="array" aca="1" ref="V39" ca="1">INDEX(CHOOSE(dbУчДисц[[#This Row],[код]],BAZZS[ТО],BAZLS[ТО],MAZZS[ТО],MAZLS[ТО]),dbУчДисц[[#This Row],[№]],0)</f>
        <v>0</v>
      </c>
      <c r="W39" s="1268" cm="1">
        <f t="array" aca="1" ref="W39" ca="1">INDEX(CHOOSE(dbУчДисц[[#This Row],[код]],BAZZS[КР],BAZLS[КР],MAZZS[КР],MAZLS[КР]),dbУчДисц[[#This Row],[№]],0)</f>
        <v>0</v>
      </c>
      <c r="X39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39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39" s="1270">
        <f ca="1">IF(AND(dbУчДисц[[#This Row],[Изпитани]]&lt;&gt;0,dbУчДисц[[#This Row],[Изпитващ]]=0),1,0)</f>
        <v>0</v>
      </c>
      <c r="AA39" s="1271">
        <f ca="1">IFERROR(VLOOKUP(dbУчДисц[[#This Row],[Език]],Коефициент_Eзик[],2,0),0)</f>
        <v>1</v>
      </c>
      <c r="AB39" s="1272" cm="1">
        <f t="array" aca="1" ref="AB3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39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39" s="1273">
        <v>0.5</v>
      </c>
      <c r="AE39" s="1274">
        <v>5</v>
      </c>
      <c r="AF39" s="1271">
        <f ca="1">N(dbУчДисц[[#This Row],[Лекции]])*dbУчДисц[[#This Row],[кЕзик]]*dbУчДисц[[#This Row],[кСтуденти]]*кЛекции</f>
        <v>0</v>
      </c>
      <c r="AG39" s="1272">
        <f ca="1">N(dbУчДисц[[#This Row],[Упражнения]])*dbУчДисц[[#This Row],[кЕзик]]*dbУчДисц[[#This Row],[кСтуденти]]*кУпражнение</f>
        <v>0</v>
      </c>
      <c r="AH39" s="1272">
        <f ca="1">N(dbУчДисц[[#This Row],[Изпитани]])*dbУчДисц[[#This Row],[кИзпитващ]]</f>
        <v>0</v>
      </c>
      <c r="AI39" s="1273">
        <f ca="1">dbУчДисц[[#This Row],[ТО]]*dbУчДисц[[#This Row],[кTO]]</f>
        <v>0</v>
      </c>
      <c r="AJ39" s="1266">
        <f ca="1">dbУчДисц[[#This Row],[КР]]*dbУчДисц[[#This Row],[кКР]]</f>
        <v>0</v>
      </c>
      <c r="AK39" s="1275">
        <f ca="1">N(INDEX(CHOOSE(dbУчДисц[[#This Row],[код]],BAZZS[id_РД],BAZLS[id_РД],MAZZS[id_РД],MAZLS[id_РД]),dbУчДисц[[#This Row],[№]],0))</f>
        <v>0</v>
      </c>
      <c r="AL39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39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39" s="1383" t="str">
        <f ca="1">T(INDEX(CHOOSE(dbУчДисц[[#This Row],[код]],BAZZS[Факултет1],BAZLS[Факултет1],MAZZS[Факултет1],MAZLS[Факултет1]),dbУчДисц[[#This Row],[№]],0))</f>
        <v/>
      </c>
      <c r="AO39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39" s="931" t="s">
        <v>970</v>
      </c>
      <c r="AT39" s="955" t="s">
        <v>406</v>
      </c>
      <c r="AU39" s="950">
        <v>3</v>
      </c>
      <c r="AV39" s="981">
        <f ca="1">IF(dbУчПрактикиКР[[#This Row],[Семестър]]=OFFSET(dbУчПрактикиКР[[#This Row],[Семестър]],-1,0),N(OFFSET(dbУчПрактикиКР[[#This Row],[№]],-1,0))+1,1)</f>
        <v>7</v>
      </c>
      <c r="AW39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39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39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39" s="943" t="str">
        <f ca="1">T(INDEX(CHOOSE(dbУчПрактикиКР[[#This Row],[код]],BPZS[Вид],BPLS[Вид],MPZS[Вид],MPLS[Вид]),dbУчПрактикиКР[[#This Row],[№]],0))</f>
        <v/>
      </c>
      <c r="BA39" s="944" t="str">
        <f ca="1">T(INDEX(CHOOSE(dbУчПрактикиКР[[#This Row],[код]],BPZS[Курс],BPLS[Курс],MPZS[Курс],MPLS[Курс]),dbУчПрактикиКР[[#This Row],[№]],0))</f>
        <v/>
      </c>
      <c r="BB39" s="1034" t="str">
        <f ca="1">T(INDEX(CHOOSE(dbУчПрактикиКР[[#This Row],[код]],BPZS[ФормаОб],BPLS[ФормаОб],MPZS[ФормаОб],MPLS[ФормаОб]),dbУчПрактикиКР[[#This Row],[№]],0))</f>
        <v/>
      </c>
      <c r="BC39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39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39" s="1303">
        <f ca="1">N(INDEX(CHOOSE(dbУчПрактикиКР[[#This Row],[код]],BPZS[Група],BPLS[Група],MPZS[Група],MPLS[Група]),dbУчПрактикиКР[[#This Row],[№]],0))</f>
        <v>0</v>
      </c>
      <c r="BF39" s="1308">
        <f ca="1">N(INDEX(CHOOSE(dbУчПрактикиКР[[#This Row],[код]],BPZS[Ден],BPLS[Ден],MPZS[Ден],MPLS[Ден]),dbУчПрактикиКР[[#This Row],[№]],0))</f>
        <v>0</v>
      </c>
      <c r="BG39" s="1036" t="str">
        <f ca="1">T(INDEX(CHOOSE(dbУчПрактикиКР[[#This Row],[код]],BPZS[ФормаОц],BPLS[ФормаОц],MPZS[ФормаОц],MPLS[ФормаОц]),dbУчПрактикиКР[[#This Row],[№]],0))</f>
        <v/>
      </c>
      <c r="BH39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39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39" s="1316">
        <f ca="1">N(INDEX(CHOOSE(dbУчПрактикиКР[[#This Row],[код]],BPZS[ТО],BPLS[ТО],MPZS[ТО],MPLS[ТО]),dbУчПрактикиКР[[#This Row],[№]],0))</f>
        <v>0</v>
      </c>
      <c r="BK39" s="1317">
        <f ca="1">N(INDEX(CHOOSE(dbУчПрактикиКР[[#This Row],[код]],BPZS[КР],BPLS[КР],MPZS[КР],MPLS[КР]),dbУчПрактикиКР[[#This Row],[№]],0))</f>
        <v>0</v>
      </c>
      <c r="BL39" s="1318">
        <f ca="1">IFERROR(MATCH(dbУчПрактикиКР[[#This Row],[ВидПрактика]],T_Практики[Практика и курсова работа],0),0)</f>
        <v>0</v>
      </c>
      <c r="BM39" s="1340" t="str">
        <f ca="1">IF(dbУчПрактикиКР[[#This Row],[пВидПрактика]],INDEX(T_Практики[Студенти],dbУчПрактикиКР[[#This Row],[пВидПрактика]]),"-")</f>
        <v>-</v>
      </c>
      <c r="BN39" s="1340" t="str">
        <f ca="1">IF(dbУчПрактикиКР[[#This Row],[пВидПрактика]],INDEX(T_Практики[Група],dbУчПрактикиКР[[#This Row],[пВидПрактика]])*2,"-")</f>
        <v>-</v>
      </c>
      <c r="BO39" s="1341" t="str">
        <f ca="1">IF(dbУчПрактикиКР[[#This Row],[пВидПрактика]],INDEX(T_Практики[Ден],dbУчПрактикиКР[[#This Row],[пВидПрактика]])*4,"-")</f>
        <v>-</v>
      </c>
      <c r="BP39" s="1335">
        <f ca="1">IFERROR(AND(dbУчПрактикиКР[[#This Row],[ТО]]&lt;&gt;0,dbУчПрактикиКР[[#This Row],[ФормаОб]]=0)*1,0)</f>
        <v>0</v>
      </c>
      <c r="BQ39" s="1335">
        <f ca="1">IFERROR(AND(dbУчПрактикиКР[[#This Row],[Изпитани]]&lt;&gt;0,LEN(dbУчПрактикиКР[[#This Row],[Изпитващ]])=0)*1,0)</f>
        <v>0</v>
      </c>
      <c r="BR39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39" s="1335">
        <f ca="1">IFERROR(IF(dbУчПрактикиКР[[#This Row],[ФормаОб]]=list!$A$55,Coef!$B$10,Coef!$B$9),0)</f>
        <v>0.5</v>
      </c>
      <c r="BT39" s="1343">
        <v>5</v>
      </c>
      <c r="BU39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39" s="1340">
        <f ca="1">dbУчПрактикиКР[[#This Row],[кИзпитващ]]*N(dbУчПрактикиКР[[#This Row],[Изпитани]])</f>
        <v>0</v>
      </c>
      <c r="BW39" s="1344">
        <f ca="1">N(dbУчПрактикиКР[[#This Row],[ТО]])*N(dbУчПрактикиКР[[#This Row],[кTO]])</f>
        <v>0</v>
      </c>
      <c r="BX39" s="1343">
        <f ca="1">N(dbУчПрактикиКР[[#This Row],[КР]])*dbУчПрактикиКР[[#This Row],[кКР]]</f>
        <v>0</v>
      </c>
      <c r="BY39" s="1342">
        <f ca="1">N(INDEX(CHOOSE(dbУчПрактикиКР[[#This Row],[код]],BPZS[id_РД],BPLS[id_РД],MPZS[id_РД],MPLS[id_РД]),dbУчПрактикиКР[[#This Row],[№]],0))</f>
        <v>0</v>
      </c>
      <c r="BZ39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39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39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39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39" s="964" t="s">
        <v>682</v>
      </c>
      <c r="CH39" s="968" t="s">
        <v>407</v>
      </c>
      <c r="CI39" s="972">
        <v>4</v>
      </c>
      <c r="CJ39" s="976">
        <f ca="1">IF(dbДипломиране[[#This Row],[Семестър]]=OFFSET(dbДипломиране[[#This Row],[Семестър]],-1,0),N(OFFSET(dbДипломиране[[#This Row],[№]],-1,0))+1,1)</f>
        <v>3</v>
      </c>
      <c r="CK39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39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39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39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39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39" s="1359">
        <f ca="1">dbДипломиране[[#This Row],[ДР]]*30</f>
        <v>0</v>
      </c>
      <c r="CQ39" s="1359">
        <f ca="1">dbДипломиране[[#This Row],[Рецензии]]*5</f>
        <v>0</v>
      </c>
      <c r="CR39" s="1365">
        <f ca="1">dbДипломиране[[#This Row],[И/ДИ/З]]*0.8</f>
        <v>0</v>
      </c>
    </row>
    <row r="40" spans="5:96" ht="16.5" x14ac:dyDescent="0.3">
      <c r="E40" s="919" t="s">
        <v>681</v>
      </c>
      <c r="F40" s="921" t="s">
        <v>407</v>
      </c>
      <c r="G40" s="666">
        <v>2</v>
      </c>
      <c r="H40" s="860">
        <f ca="1">IF(dbУчДисц[[#This Row],[Семестър]]=OFFSET(dbУчДисц[[#This Row],[Семестър]],-1,0),N(OFFSET(dbУчДисц[[#This Row],[№]],-1,0))+1,1)</f>
        <v>9</v>
      </c>
      <c r="I40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0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0" s="842" t="str">
        <f ca="1">T(INDEX(CHOOSE(dbУчДисц[[#This Row],[код]],BAZZS[Факултет],BAZLS[Факултет],MAZZS[Факултет],MAZLS[Факултет]),dbУчДисц[[#This Row],[№]],0))</f>
        <v/>
      </c>
      <c r="L40" s="265" t="str">
        <f ca="1">T(INDEX(CHOOSE(dbУчДисц[[#This Row],[код]],BAZZS[Вид],BAZLS[Вид],MAZZS[Вид],MAZLS[Вид]),dbУчДисц[[#This Row],[№]],0))</f>
        <v/>
      </c>
      <c r="M40" s="243" t="str">
        <f ca="1">T(INDEX(CHOOSE(dbУчДисц[[#This Row],[код]],BAZZS[Курс],BAZLS[Курс],MAZZS[Курс],MAZLS[Курс]),dbУчДисц[[#This Row],[№]],0))</f>
        <v/>
      </c>
      <c r="N40" s="243" t="str">
        <f ca="1">T(INDEX(CHOOSE(dbУчДисц[[#This Row],[код]],BAZZS[ФормаОб],BAZLS[ФормаОб],MAZZS[ФормаОб],MAZLS[ФормаОб]),dbУчДисц[[#This Row],[№]],0))</f>
        <v/>
      </c>
      <c r="O40" s="1253" cm="1">
        <f t="array" aca="1" ref="O40" ca="1">INDEX(CHOOSE(dbУчДисц[[#This Row],[код]],BAZZS[Студенти],BAZLS[Студенти],MAZZS[Студенти],MAZLS[Студенти]),dbУчДисц[[#This Row],[№]],0)</f>
        <v>0</v>
      </c>
      <c r="P40" s="1254" cm="1">
        <f t="array" aca="1" ref="P40" ca="1">INDEX(CHOOSE(dbУчДисц[[#This Row],[код]],BAZZS[Лекции],BAZLS[Лекции],MAZZS[Лекции],MAZLS[Лекции]),dbУчДисц[[#This Row],[№]],0)</f>
        <v>0</v>
      </c>
      <c r="Q40" s="1254" cm="1">
        <f t="array" aca="1" ref="Q40" ca="1">INDEX(CHOOSE(dbУчДисц[[#This Row],[код]],BAZZS[Упражнения],BAZLS[Упражнения],MAZZS[Упражнения],MAZLS[Упражнения]),dbУчДисц[[#This Row],[№]],0)</f>
        <v>0</v>
      </c>
      <c r="R40" s="892" t="str">
        <f ca="1">T(INDEX(CHOOSE(dbУчДисц[[#This Row],[код]],BAZZS[Език],BAZLS[Език],MAZZS[Език],MAZLS[Език]),dbУчДисц[[#This Row],[№]],0))</f>
        <v>БЕ</v>
      </c>
      <c r="S40" s="243" t="str">
        <f ca="1">T(INDEX(CHOOSE(dbУчДисц[[#This Row],[код]],BAZZS[ФормаОц],BAZLS[ФормаОц],MAZZS[ФормаОц],MAZLS[ФормаОц]),dbУчДисц[[#This Row],[№]],0))</f>
        <v/>
      </c>
      <c r="T40" s="244" t="str">
        <f ca="1">T(INDEX(CHOOSE(dbУчДисц[[#This Row],[код]],BAZZS[Изпитващ],BAZLS[Изпитващ],MAZZS[Изпитващ],MAZLS[Изпитващ]),dbУчДисц[[#This Row],[№]],0))</f>
        <v/>
      </c>
      <c r="U40" s="1254" cm="1">
        <f t="array" aca="1" ref="U40" ca="1">INDEX(CHOOSE(dbУчДисц[[#This Row],[код]],BAZZS[Изпитани],BAZLS[Изпитани],MAZZS[Изпитани],MAZLS[Изпитани]),dbУчДисц[[#This Row],[№]],0)</f>
        <v>0</v>
      </c>
      <c r="V40" s="1268" cm="1">
        <f t="array" aca="1" ref="V40" ca="1">INDEX(CHOOSE(dbУчДисц[[#This Row],[код]],BAZZS[ТО],BAZLS[ТО],MAZZS[ТО],MAZLS[ТО]),dbУчДисц[[#This Row],[№]],0)</f>
        <v>0</v>
      </c>
      <c r="W40" s="1268" cm="1">
        <f t="array" aca="1" ref="W40" ca="1">INDEX(CHOOSE(dbУчДисц[[#This Row],[код]],BAZZS[КР],BAZLS[КР],MAZZS[КР],MAZLS[КР]),dbУчДисц[[#This Row],[№]],0)</f>
        <v>0</v>
      </c>
      <c r="X4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0" s="1270">
        <f ca="1">IF(AND(dbУчДисц[[#This Row],[Изпитани]]&lt;&gt;0,dbУчДисц[[#This Row],[Изпитващ]]=0),1,0)</f>
        <v>0</v>
      </c>
      <c r="AA40" s="1271">
        <f ca="1">IFERROR(VLOOKUP(dbУчДисц[[#This Row],[Език]],Коефициент_Eзик[],2,0),0)</f>
        <v>1</v>
      </c>
      <c r="AB40" s="1272" cm="1">
        <f t="array" aca="1" ref="AB4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0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0" s="1273">
        <v>0.5</v>
      </c>
      <c r="AE40" s="1274">
        <v>5</v>
      </c>
      <c r="AF40" s="1271">
        <f ca="1">N(dbУчДисц[[#This Row],[Лекции]])*dbУчДисц[[#This Row],[кЕзик]]*dbУчДисц[[#This Row],[кСтуденти]]*кЛекции</f>
        <v>0</v>
      </c>
      <c r="AG40" s="1272">
        <f ca="1">N(dbУчДисц[[#This Row],[Упражнения]])*dbУчДисц[[#This Row],[кЕзик]]*dbУчДисц[[#This Row],[кСтуденти]]*кУпражнение</f>
        <v>0</v>
      </c>
      <c r="AH40" s="1272">
        <f ca="1">N(dbУчДисц[[#This Row],[Изпитани]])*dbУчДисц[[#This Row],[кИзпитващ]]</f>
        <v>0</v>
      </c>
      <c r="AI40" s="1273">
        <f ca="1">dbУчДисц[[#This Row],[ТО]]*dbУчДисц[[#This Row],[кTO]]</f>
        <v>0</v>
      </c>
      <c r="AJ40" s="1266">
        <f ca="1">dbУчДисц[[#This Row],[КР]]*dbУчДисц[[#This Row],[кКР]]</f>
        <v>0</v>
      </c>
      <c r="AK40" s="1275">
        <f ca="1">N(INDEX(CHOOSE(dbУчДисц[[#This Row],[код]],BAZZS[id_РД],BAZLS[id_РД],MAZZS[id_РД],MAZLS[id_РД]),dbУчДисц[[#This Row],[№]],0))</f>
        <v>0</v>
      </c>
      <c r="AL40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0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0" s="1383" t="str">
        <f ca="1">T(INDEX(CHOOSE(dbУчДисц[[#This Row],[код]],BAZZS[Факултет1],BAZLS[Факултет1],MAZZS[Факултет1],MAZLS[Факултет1]),dbУчДисц[[#This Row],[№]],0))</f>
        <v/>
      </c>
      <c r="AO40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0" s="931" t="s">
        <v>970</v>
      </c>
      <c r="AT40" s="955" t="s">
        <v>406</v>
      </c>
      <c r="AU40" s="950">
        <v>3</v>
      </c>
      <c r="AV40" s="981">
        <f ca="1">IF(dbУчПрактикиКР[[#This Row],[Семестър]]=OFFSET(dbУчПрактикиКР[[#This Row],[Семестър]],-1,0),N(OFFSET(dbУчПрактикиКР[[#This Row],[№]],-1,0))+1,1)</f>
        <v>8</v>
      </c>
      <c r="AW40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0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0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0" s="943" t="str">
        <f ca="1">T(INDEX(CHOOSE(dbУчПрактикиКР[[#This Row],[код]],BPZS[Вид],BPLS[Вид],MPZS[Вид],MPLS[Вид]),dbУчПрактикиКР[[#This Row],[№]],0))</f>
        <v/>
      </c>
      <c r="BA40" s="944" t="str">
        <f ca="1">T(INDEX(CHOOSE(dbУчПрактикиКР[[#This Row],[код]],BPZS[Курс],BPLS[Курс],MPZS[Курс],MPLS[Курс]),dbУчПрактикиКР[[#This Row],[№]],0))</f>
        <v/>
      </c>
      <c r="BB40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0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0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0" s="1303">
        <f ca="1">N(INDEX(CHOOSE(dbУчПрактикиКР[[#This Row],[код]],BPZS[Група],BPLS[Група],MPZS[Група],MPLS[Група]),dbУчПрактикиКР[[#This Row],[№]],0))</f>
        <v>0</v>
      </c>
      <c r="BF40" s="1308">
        <f ca="1">N(INDEX(CHOOSE(dbУчПрактикиКР[[#This Row],[код]],BPZS[Ден],BPLS[Ден],MPZS[Ден],MPLS[Ден]),dbУчПрактикиКР[[#This Row],[№]],0))</f>
        <v>0</v>
      </c>
      <c r="BG40" s="1036" t="str">
        <f ca="1">T(INDEX(CHOOSE(dbУчПрактикиКР[[#This Row],[код]],BPZS[ФормаОц],BPLS[ФормаОц],MPZS[ФормаОц],MPLS[ФормаОц]),dbУчПрактикиКР[[#This Row],[№]],0))</f>
        <v/>
      </c>
      <c r="BH40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0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40" s="1316">
        <f ca="1">N(INDEX(CHOOSE(dbУчПрактикиКР[[#This Row],[код]],BPZS[ТО],BPLS[ТО],MPZS[ТО],MPLS[ТО]),dbУчПрактикиКР[[#This Row],[№]],0))</f>
        <v>0</v>
      </c>
      <c r="BK40" s="1317">
        <f ca="1">N(INDEX(CHOOSE(dbУчПрактикиКР[[#This Row],[код]],BPZS[КР],BPLS[КР],MPZS[КР],MPLS[КР]),dbУчПрактикиКР[[#This Row],[№]],0))</f>
        <v>0</v>
      </c>
      <c r="BL40" s="1318">
        <f ca="1">IFERROR(MATCH(dbУчПрактикиКР[[#This Row],[ВидПрактика]],T_Практики[Практика и курсова работа],0),0)</f>
        <v>0</v>
      </c>
      <c r="BM40" s="1340" t="str">
        <f ca="1">IF(dbУчПрактикиКР[[#This Row],[пВидПрактика]],INDEX(T_Практики[Студенти],dbУчПрактикиКР[[#This Row],[пВидПрактика]]),"-")</f>
        <v>-</v>
      </c>
      <c r="BN40" s="1340" t="str">
        <f ca="1">IF(dbУчПрактикиКР[[#This Row],[пВидПрактика]],INDEX(T_Практики[Група],dbУчПрактикиКР[[#This Row],[пВидПрактика]])*2,"-")</f>
        <v>-</v>
      </c>
      <c r="BO40" s="1341" t="str">
        <f ca="1">IF(dbУчПрактикиКР[[#This Row],[пВидПрактика]],INDEX(T_Практики[Ден],dbУчПрактикиКР[[#This Row],[пВидПрактика]])*4,"-")</f>
        <v>-</v>
      </c>
      <c r="BP40" s="1335">
        <f ca="1">IFERROR(AND(dbУчПрактикиКР[[#This Row],[ТО]]&lt;&gt;0,dbУчПрактикиКР[[#This Row],[ФормаОб]]=0)*1,0)</f>
        <v>0</v>
      </c>
      <c r="BQ40" s="1335">
        <f ca="1">IFERROR(AND(dbУчПрактикиКР[[#This Row],[Изпитани]]&lt;&gt;0,LEN(dbУчПрактикиКР[[#This Row],[Изпитващ]])=0)*1,0)</f>
        <v>0</v>
      </c>
      <c r="BR40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0" s="1335">
        <f ca="1">IFERROR(IF(dbУчПрактикиКР[[#This Row],[ФормаОб]]=list!$A$55,Coef!$B$10,Coef!$B$9),0)</f>
        <v>0.5</v>
      </c>
      <c r="BT40" s="1343">
        <v>5</v>
      </c>
      <c r="BU40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0" s="1340">
        <f ca="1">dbУчПрактикиКР[[#This Row],[кИзпитващ]]*N(dbУчПрактикиКР[[#This Row],[Изпитани]])</f>
        <v>0</v>
      </c>
      <c r="BW40" s="1344">
        <f ca="1">N(dbУчПрактикиКР[[#This Row],[ТО]])*N(dbУчПрактикиКР[[#This Row],[кTO]])</f>
        <v>0</v>
      </c>
      <c r="BX40" s="1343">
        <f ca="1">N(dbУчПрактикиКР[[#This Row],[КР]])*dbУчПрактикиКР[[#This Row],[кКР]]</f>
        <v>0</v>
      </c>
      <c r="BY40" s="1342">
        <f ca="1">N(INDEX(CHOOSE(dbУчПрактикиКР[[#This Row],[код]],BPZS[id_РД],BPLS[id_РД],MPZS[id_РД],MPLS[id_РД]),dbУчПрактикиКР[[#This Row],[№]],0))</f>
        <v>0</v>
      </c>
      <c r="BZ40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0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0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0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40" s="964" t="s">
        <v>682</v>
      </c>
      <c r="CH40" s="968" t="s">
        <v>407</v>
      </c>
      <c r="CI40" s="972">
        <v>4</v>
      </c>
      <c r="CJ40" s="976">
        <f ca="1">IF(dbДипломиране[[#This Row],[Семестър]]=OFFSET(dbДипломиране[[#This Row],[Семестър]],-1,0),N(OFFSET(dbДипломиране[[#This Row],[№]],-1,0))+1,1)</f>
        <v>4</v>
      </c>
      <c r="CK40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40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40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40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40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40" s="1359">
        <f ca="1">dbДипломиране[[#This Row],[ДР]]*30</f>
        <v>0</v>
      </c>
      <c r="CQ40" s="1359">
        <f ca="1">dbДипломиране[[#This Row],[Рецензии]]*5</f>
        <v>0</v>
      </c>
      <c r="CR40" s="1365">
        <f ca="1">dbДипломиране[[#This Row],[И/ДИ/З]]*0.8</f>
        <v>0</v>
      </c>
    </row>
    <row r="41" spans="5:96" ht="16.5" x14ac:dyDescent="0.3">
      <c r="E41" s="919" t="s">
        <v>681</v>
      </c>
      <c r="F41" s="921" t="s">
        <v>407</v>
      </c>
      <c r="G41" s="666">
        <v>2</v>
      </c>
      <c r="H41" s="860">
        <f ca="1">IF(dbУчДисц[[#This Row],[Семестър]]=OFFSET(dbУчДисц[[#This Row],[Семестър]],-1,0),N(OFFSET(dbУчДисц[[#This Row],[№]],-1,0))+1,1)</f>
        <v>10</v>
      </c>
      <c r="I41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1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1" s="842" t="str">
        <f ca="1">T(INDEX(CHOOSE(dbУчДисц[[#This Row],[код]],BAZZS[Факултет],BAZLS[Факултет],MAZZS[Факултет],MAZLS[Факултет]),dbУчДисц[[#This Row],[№]],0))</f>
        <v/>
      </c>
      <c r="L41" s="265" t="str">
        <f ca="1">T(INDEX(CHOOSE(dbУчДисц[[#This Row],[код]],BAZZS[Вид],BAZLS[Вид],MAZZS[Вид],MAZLS[Вид]),dbУчДисц[[#This Row],[№]],0))</f>
        <v/>
      </c>
      <c r="M41" s="243" t="str">
        <f ca="1">T(INDEX(CHOOSE(dbУчДисц[[#This Row],[код]],BAZZS[Курс],BAZLS[Курс],MAZZS[Курс],MAZLS[Курс]),dbУчДисц[[#This Row],[№]],0))</f>
        <v/>
      </c>
      <c r="N41" s="243" t="str">
        <f ca="1">T(INDEX(CHOOSE(dbУчДисц[[#This Row],[код]],BAZZS[ФормаОб],BAZLS[ФормаОб],MAZZS[ФормаОб],MAZLS[ФормаОб]),dbУчДисц[[#This Row],[№]],0))</f>
        <v/>
      </c>
      <c r="O41" s="1253" cm="1">
        <f t="array" aca="1" ref="O41" ca="1">INDEX(CHOOSE(dbУчДисц[[#This Row],[код]],BAZZS[Студенти],BAZLS[Студенти],MAZZS[Студенти],MAZLS[Студенти]),dbУчДисц[[#This Row],[№]],0)</f>
        <v>0</v>
      </c>
      <c r="P41" s="1254" cm="1">
        <f t="array" aca="1" ref="P41" ca="1">INDEX(CHOOSE(dbУчДисц[[#This Row],[код]],BAZZS[Лекции],BAZLS[Лекции],MAZZS[Лекции],MAZLS[Лекции]),dbУчДисц[[#This Row],[№]],0)</f>
        <v>0</v>
      </c>
      <c r="Q41" s="1254" cm="1">
        <f t="array" aca="1" ref="Q41" ca="1">INDEX(CHOOSE(dbУчДисц[[#This Row],[код]],BAZZS[Упражнения],BAZLS[Упражнения],MAZZS[Упражнения],MAZLS[Упражнения]),dbУчДисц[[#This Row],[№]],0)</f>
        <v>0</v>
      </c>
      <c r="R41" s="892" t="str">
        <f ca="1">T(INDEX(CHOOSE(dbУчДисц[[#This Row],[код]],BAZZS[Език],BAZLS[Език],MAZZS[Език],MAZLS[Език]),dbУчДисц[[#This Row],[№]],0))</f>
        <v>БЕ</v>
      </c>
      <c r="S41" s="243" t="str">
        <f ca="1">T(INDEX(CHOOSE(dbУчДисц[[#This Row],[код]],BAZZS[ФормаОц],BAZLS[ФормаОц],MAZZS[ФормаОц],MAZLS[ФормаОц]),dbУчДисц[[#This Row],[№]],0))</f>
        <v/>
      </c>
      <c r="T41" s="244" t="str">
        <f ca="1">T(INDEX(CHOOSE(dbУчДисц[[#This Row],[код]],BAZZS[Изпитващ],BAZLS[Изпитващ],MAZZS[Изпитващ],MAZLS[Изпитващ]),dbУчДисц[[#This Row],[№]],0))</f>
        <v/>
      </c>
      <c r="U41" s="1254" cm="1">
        <f t="array" aca="1" ref="U41" ca="1">INDEX(CHOOSE(dbУчДисц[[#This Row],[код]],BAZZS[Изпитани],BAZLS[Изпитани],MAZZS[Изпитани],MAZLS[Изпитани]),dbУчДисц[[#This Row],[№]],0)</f>
        <v>0</v>
      </c>
      <c r="V41" s="1268" cm="1">
        <f t="array" aca="1" ref="V41" ca="1">INDEX(CHOOSE(dbУчДисц[[#This Row],[код]],BAZZS[ТО],BAZLS[ТО],MAZZS[ТО],MAZLS[ТО]),dbУчДисц[[#This Row],[№]],0)</f>
        <v>0</v>
      </c>
      <c r="W41" s="1268" cm="1">
        <f t="array" aca="1" ref="W41" ca="1">INDEX(CHOOSE(dbУчДисц[[#This Row],[код]],BAZZS[КР],BAZLS[КР],MAZZS[КР],MAZLS[КР]),dbУчДисц[[#This Row],[№]],0)</f>
        <v>0</v>
      </c>
      <c r="X41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1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1" s="1270">
        <f ca="1">IF(AND(dbУчДисц[[#This Row],[Изпитани]]&lt;&gt;0,dbУчДисц[[#This Row],[Изпитващ]]=0),1,0)</f>
        <v>0</v>
      </c>
      <c r="AA41" s="1271">
        <f ca="1">IFERROR(VLOOKUP(dbУчДисц[[#This Row],[Език]],Коефициент_Eзик[],2,0),0)</f>
        <v>1</v>
      </c>
      <c r="AB41" s="1272" cm="1">
        <f t="array" aca="1" ref="AB4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1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1" s="1273">
        <v>0.5</v>
      </c>
      <c r="AE41" s="1274">
        <v>5</v>
      </c>
      <c r="AF41" s="1271">
        <f ca="1">N(dbУчДисц[[#This Row],[Лекции]])*dbУчДисц[[#This Row],[кЕзик]]*dbУчДисц[[#This Row],[кСтуденти]]*кЛекции</f>
        <v>0</v>
      </c>
      <c r="AG41" s="1272">
        <f ca="1">N(dbУчДисц[[#This Row],[Упражнения]])*dbУчДисц[[#This Row],[кЕзик]]*dbУчДисц[[#This Row],[кСтуденти]]*кУпражнение</f>
        <v>0</v>
      </c>
      <c r="AH41" s="1272">
        <f ca="1">N(dbУчДисц[[#This Row],[Изпитани]])*dbУчДисц[[#This Row],[кИзпитващ]]</f>
        <v>0</v>
      </c>
      <c r="AI41" s="1273">
        <f ca="1">dbУчДисц[[#This Row],[ТО]]*dbУчДисц[[#This Row],[кTO]]</f>
        <v>0</v>
      </c>
      <c r="AJ41" s="1266">
        <f ca="1">dbУчДисц[[#This Row],[КР]]*dbУчДисц[[#This Row],[кКР]]</f>
        <v>0</v>
      </c>
      <c r="AK41" s="1275">
        <f ca="1">N(INDEX(CHOOSE(dbУчДисц[[#This Row],[код]],BAZZS[id_РД],BAZLS[id_РД],MAZZS[id_РД],MAZLS[id_РД]),dbУчДисц[[#This Row],[№]],0))</f>
        <v>0</v>
      </c>
      <c r="AL41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1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1" s="1383" t="str">
        <f ca="1">T(INDEX(CHOOSE(dbУчДисц[[#This Row],[код]],BAZZS[Факултет1],BAZLS[Факултет1],MAZZS[Факултет1],MAZLS[Факултет1]),dbУчДисц[[#This Row],[№]],0))</f>
        <v/>
      </c>
      <c r="AO41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1" s="931" t="s">
        <v>970</v>
      </c>
      <c r="AT41" s="955" t="s">
        <v>406</v>
      </c>
      <c r="AU41" s="950">
        <v>3</v>
      </c>
      <c r="AV41" s="981">
        <f ca="1">IF(dbУчПрактикиКР[[#This Row],[Семестър]]=OFFSET(dbУчПрактикиКР[[#This Row],[Семестър]],-1,0),N(OFFSET(dbУчПрактикиКР[[#This Row],[№]],-1,0))+1,1)</f>
        <v>9</v>
      </c>
      <c r="AW41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1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1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1" s="943" t="str">
        <f ca="1">T(INDEX(CHOOSE(dbУчПрактикиКР[[#This Row],[код]],BPZS[Вид],BPLS[Вид],MPZS[Вид],MPLS[Вид]),dbУчПрактикиКР[[#This Row],[№]],0))</f>
        <v/>
      </c>
      <c r="BA41" s="944" t="str">
        <f ca="1">T(INDEX(CHOOSE(dbУчПрактикиКР[[#This Row],[код]],BPZS[Курс],BPLS[Курс],MPZS[Курс],MPLS[Курс]),dbУчПрактикиКР[[#This Row],[№]],0))</f>
        <v/>
      </c>
      <c r="BB41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1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1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1" s="1303">
        <f ca="1">N(INDEX(CHOOSE(dbУчПрактикиКР[[#This Row],[код]],BPZS[Група],BPLS[Група],MPZS[Група],MPLS[Група]),dbУчПрактикиКР[[#This Row],[№]],0))</f>
        <v>0</v>
      </c>
      <c r="BF41" s="1308">
        <f ca="1">N(INDEX(CHOOSE(dbУчПрактикиКР[[#This Row],[код]],BPZS[Ден],BPLS[Ден],MPZS[Ден],MPLS[Ден]),dbУчПрактикиКР[[#This Row],[№]],0))</f>
        <v>0</v>
      </c>
      <c r="BG41" s="1036" t="str">
        <f ca="1">T(INDEX(CHOOSE(dbУчПрактикиКР[[#This Row],[код]],BPZS[ФормаОц],BPLS[ФормаОц],MPZS[ФормаОц],MPLS[ФормаОц]),dbУчПрактикиКР[[#This Row],[№]],0))</f>
        <v/>
      </c>
      <c r="BH41" s="103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1" s="1315">
        <f ca="1">N(INDEX(CHOOSE(dbУчПрактикиКР[[#This Row],[код]],BPZS[Изпитани],BPLS[Изпитани],MPZS[Изпитани],MPLS[Изпитани]),dbУчПрактикиКР[[#This Row],[№]],0))</f>
        <v>0</v>
      </c>
      <c r="BJ41" s="1316">
        <f ca="1">N(INDEX(CHOOSE(dbУчПрактикиКР[[#This Row],[код]],BPZS[ТО],BPLS[ТО],MPZS[ТО],MPLS[ТО]),dbУчПрактикиКР[[#This Row],[№]],0))</f>
        <v>0</v>
      </c>
      <c r="BK41" s="1317">
        <f ca="1">N(INDEX(CHOOSE(dbУчПрактикиКР[[#This Row],[код]],BPZS[КР],BPLS[КР],MPZS[КР],MPLS[КР]),dbУчПрактикиКР[[#This Row],[№]],0))</f>
        <v>0</v>
      </c>
      <c r="BL41" s="1318">
        <f ca="1">IFERROR(MATCH(dbУчПрактикиКР[[#This Row],[ВидПрактика]],T_Практики[Практика и курсова работа],0),0)</f>
        <v>0</v>
      </c>
      <c r="BM41" s="1340" t="str">
        <f ca="1">IF(dbУчПрактикиКР[[#This Row],[пВидПрактика]],INDEX(T_Практики[Студенти],dbУчПрактикиКР[[#This Row],[пВидПрактика]]),"-")</f>
        <v>-</v>
      </c>
      <c r="BN41" s="1340" t="str">
        <f ca="1">IF(dbУчПрактикиКР[[#This Row],[пВидПрактика]],INDEX(T_Практики[Група],dbУчПрактикиКР[[#This Row],[пВидПрактика]])*2,"-")</f>
        <v>-</v>
      </c>
      <c r="BO41" s="1341" t="str">
        <f ca="1">IF(dbУчПрактикиКР[[#This Row],[пВидПрактика]],INDEX(T_Практики[Ден],dbУчПрактикиКР[[#This Row],[пВидПрактика]])*4,"-")</f>
        <v>-</v>
      </c>
      <c r="BP41" s="1335">
        <f ca="1">IFERROR(AND(dbУчПрактикиКР[[#This Row],[ТО]]&lt;&gt;0,dbУчПрактикиКР[[#This Row],[ФормаОб]]=0)*1,0)</f>
        <v>0</v>
      </c>
      <c r="BQ41" s="1335">
        <f ca="1">IFERROR(AND(dbУчПрактикиКР[[#This Row],[Изпитани]]&lt;&gt;0,LEN(dbУчПрактикиКР[[#This Row],[Изпитващ]])=0)*1,0)</f>
        <v>0</v>
      </c>
      <c r="BR41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1" s="1335">
        <f ca="1">IFERROR(IF(dbУчПрактикиКР[[#This Row],[ФормаОб]]=list!$A$55,Coef!$B$10,Coef!$B$9),0)</f>
        <v>0.5</v>
      </c>
      <c r="BT41" s="1343">
        <v>5</v>
      </c>
      <c r="BU41" s="1318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1" s="1340">
        <f ca="1">dbУчПрактикиКР[[#This Row],[кИзпитващ]]*N(dbУчПрактикиКР[[#This Row],[Изпитани]])</f>
        <v>0</v>
      </c>
      <c r="BW41" s="1344">
        <f ca="1">N(dbУчПрактикиКР[[#This Row],[ТО]])*N(dbУчПрактикиКР[[#This Row],[кTO]])</f>
        <v>0</v>
      </c>
      <c r="BX41" s="1343">
        <f ca="1">N(dbУчПрактикиКР[[#This Row],[КР]])*dbУчПрактикиКР[[#This Row],[кКР]]</f>
        <v>0</v>
      </c>
      <c r="BY41" s="1342">
        <f ca="1">N(INDEX(CHOOSE(dbУчПрактикиКР[[#This Row],[код]],BPZS[id_РД],BPLS[id_РД],MPZS[id_РД],MPLS[id_РД]),dbУчПрактикиКР[[#This Row],[№]],0))</f>
        <v>0</v>
      </c>
      <c r="BZ41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1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1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1" s="1378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41" s="964" t="s">
        <v>682</v>
      </c>
      <c r="CH41" s="968" t="s">
        <v>407</v>
      </c>
      <c r="CI41" s="972">
        <v>4</v>
      </c>
      <c r="CJ41" s="976">
        <f ca="1">IF(dbДипломиране[[#This Row],[Семестър]]=OFFSET(dbДипломиране[[#This Row],[Семестър]],-1,0),N(OFFSET(dbДипломиране[[#This Row],[№]],-1,0))+1,1)</f>
        <v>5</v>
      </c>
      <c r="CK41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41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41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41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41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41" s="1359">
        <f ca="1">dbДипломиране[[#This Row],[ДР]]*30</f>
        <v>0</v>
      </c>
      <c r="CQ41" s="1359">
        <f ca="1">dbДипломиране[[#This Row],[Рецензии]]*5</f>
        <v>0</v>
      </c>
      <c r="CR41" s="1365">
        <f ca="1">dbДипломиране[[#This Row],[И/ДИ/З]]*0.8</f>
        <v>0</v>
      </c>
    </row>
    <row r="42" spans="5:96" ht="17.25" thickBot="1" x14ac:dyDescent="0.35">
      <c r="E42" s="919" t="s">
        <v>681</v>
      </c>
      <c r="F42" s="921" t="s">
        <v>407</v>
      </c>
      <c r="G42" s="666">
        <v>2</v>
      </c>
      <c r="H42" s="860">
        <f ca="1">IF(dbУчДисц[[#This Row],[Семестър]]=OFFSET(dbУчДисц[[#This Row],[Семестър]],-1,0),N(OFFSET(dbУчДисц[[#This Row],[№]],-1,0))+1,1)</f>
        <v>11</v>
      </c>
      <c r="I42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2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2" s="842" t="str">
        <f ca="1">T(INDEX(CHOOSE(dbУчДисц[[#This Row],[код]],BAZZS[Факултет],BAZLS[Факултет],MAZZS[Факултет],MAZLS[Факултет]),dbУчДисц[[#This Row],[№]],0))</f>
        <v/>
      </c>
      <c r="L42" s="265" t="str">
        <f ca="1">T(INDEX(CHOOSE(dbУчДисц[[#This Row],[код]],BAZZS[Вид],BAZLS[Вид],MAZZS[Вид],MAZLS[Вид]),dbУчДисц[[#This Row],[№]],0))</f>
        <v/>
      </c>
      <c r="M42" s="243" t="str">
        <f ca="1">T(INDEX(CHOOSE(dbУчДисц[[#This Row],[код]],BAZZS[Курс],BAZLS[Курс],MAZZS[Курс],MAZLS[Курс]),dbУчДисц[[#This Row],[№]],0))</f>
        <v/>
      </c>
      <c r="N42" s="243" t="str">
        <f ca="1">T(INDEX(CHOOSE(dbУчДисц[[#This Row],[код]],BAZZS[ФормаОб],BAZLS[ФормаОб],MAZZS[ФормаОб],MAZLS[ФормаОб]),dbУчДисц[[#This Row],[№]],0))</f>
        <v/>
      </c>
      <c r="O42" s="1253" cm="1">
        <f t="array" aca="1" ref="O42" ca="1">INDEX(CHOOSE(dbУчДисц[[#This Row],[код]],BAZZS[Студенти],BAZLS[Студенти],MAZZS[Студенти],MAZLS[Студенти]),dbУчДисц[[#This Row],[№]],0)</f>
        <v>0</v>
      </c>
      <c r="P42" s="1254" cm="1">
        <f t="array" aca="1" ref="P42" ca="1">INDEX(CHOOSE(dbУчДисц[[#This Row],[код]],BAZZS[Лекции],BAZLS[Лекции],MAZZS[Лекции],MAZLS[Лекции]),dbУчДисц[[#This Row],[№]],0)</f>
        <v>0</v>
      </c>
      <c r="Q42" s="1254" cm="1">
        <f t="array" aca="1" ref="Q42" ca="1">INDEX(CHOOSE(dbУчДисц[[#This Row],[код]],BAZZS[Упражнения],BAZLS[Упражнения],MAZZS[Упражнения],MAZLS[Упражнения]),dbУчДисц[[#This Row],[№]],0)</f>
        <v>0</v>
      </c>
      <c r="R42" s="892" t="str">
        <f ca="1">T(INDEX(CHOOSE(dbУчДисц[[#This Row],[код]],BAZZS[Език],BAZLS[Език],MAZZS[Език],MAZLS[Език]),dbУчДисц[[#This Row],[№]],0))</f>
        <v>БЕ</v>
      </c>
      <c r="S42" s="243" t="str">
        <f ca="1">T(INDEX(CHOOSE(dbУчДисц[[#This Row],[код]],BAZZS[ФормаОц],BAZLS[ФормаОц],MAZZS[ФормаОц],MAZLS[ФормаОц]),dbУчДисц[[#This Row],[№]],0))</f>
        <v/>
      </c>
      <c r="T42" s="244" t="str">
        <f ca="1">T(INDEX(CHOOSE(dbУчДисц[[#This Row],[код]],BAZZS[Изпитващ],BAZLS[Изпитващ],MAZZS[Изпитващ],MAZLS[Изпитващ]),dbУчДисц[[#This Row],[№]],0))</f>
        <v/>
      </c>
      <c r="U42" s="1254" cm="1">
        <f t="array" aca="1" ref="U42" ca="1">INDEX(CHOOSE(dbУчДисц[[#This Row],[код]],BAZZS[Изпитани],BAZLS[Изпитани],MAZZS[Изпитани],MAZLS[Изпитани]),dbУчДисц[[#This Row],[№]],0)</f>
        <v>0</v>
      </c>
      <c r="V42" s="1268" cm="1">
        <f t="array" aca="1" ref="V42" ca="1">INDEX(CHOOSE(dbУчДисц[[#This Row],[код]],BAZZS[ТО],BAZLS[ТО],MAZZS[ТО],MAZLS[ТО]),dbУчДисц[[#This Row],[№]],0)</f>
        <v>0</v>
      </c>
      <c r="W42" s="1268" cm="1">
        <f t="array" aca="1" ref="W42" ca="1">INDEX(CHOOSE(dbУчДисц[[#This Row],[код]],BAZZS[КР],BAZLS[КР],MAZZS[КР],MAZLS[КР]),dbУчДисц[[#This Row],[№]],0)</f>
        <v>0</v>
      </c>
      <c r="X4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2" s="1270">
        <f ca="1">IF(AND(dbУчДисц[[#This Row],[Изпитани]]&lt;&gt;0,dbУчДисц[[#This Row],[Изпитващ]]=0),1,0)</f>
        <v>0</v>
      </c>
      <c r="AA42" s="1271">
        <f ca="1">IFERROR(VLOOKUP(dbУчДисц[[#This Row],[Език]],Коефициент_Eзик[],2,0),0)</f>
        <v>1</v>
      </c>
      <c r="AB42" s="1272" cm="1">
        <f t="array" aca="1" ref="AB4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2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2" s="1273">
        <v>0.5</v>
      </c>
      <c r="AE42" s="1274">
        <v>5</v>
      </c>
      <c r="AF42" s="1271">
        <f ca="1">N(dbУчДисц[[#This Row],[Лекции]])*dbУчДисц[[#This Row],[кЕзик]]*dbУчДисц[[#This Row],[кСтуденти]]*кЛекции</f>
        <v>0</v>
      </c>
      <c r="AG42" s="1272">
        <f ca="1">N(dbУчДисц[[#This Row],[Упражнения]])*dbУчДисц[[#This Row],[кЕзик]]*dbУчДисц[[#This Row],[кСтуденти]]*кУпражнение</f>
        <v>0</v>
      </c>
      <c r="AH42" s="1272">
        <f ca="1">N(dbУчДисц[[#This Row],[Изпитани]])*dbУчДисц[[#This Row],[кИзпитващ]]</f>
        <v>0</v>
      </c>
      <c r="AI42" s="1273">
        <f ca="1">dbУчДисц[[#This Row],[ТО]]*dbУчДисц[[#This Row],[кTO]]</f>
        <v>0</v>
      </c>
      <c r="AJ42" s="1266">
        <f ca="1">dbУчДисц[[#This Row],[КР]]*dbУчДисц[[#This Row],[кКР]]</f>
        <v>0</v>
      </c>
      <c r="AK42" s="1275">
        <f ca="1">N(INDEX(CHOOSE(dbУчДисц[[#This Row],[код]],BAZZS[id_РД],BAZLS[id_РД],MAZZS[id_РД],MAZLS[id_РД]),dbУчДисц[[#This Row],[№]],0))</f>
        <v>0</v>
      </c>
      <c r="AL42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2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2" s="1383" t="str">
        <f ca="1">T(INDEX(CHOOSE(dbУчДисц[[#This Row],[код]],BAZZS[Факултет1],BAZLS[Факултет1],MAZZS[Факултет1],MAZLS[Факултет1]),dbУчДисц[[#This Row],[№]],0))</f>
        <v/>
      </c>
      <c r="AO42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2" s="937" t="s">
        <v>970</v>
      </c>
      <c r="AT42" s="958" t="s">
        <v>406</v>
      </c>
      <c r="AU42" s="953">
        <v>3</v>
      </c>
      <c r="AV42" s="983">
        <f ca="1">IF(dbУчПрактикиКР[[#This Row],[Семестър]]=OFFSET(dbУчПрактикиКР[[#This Row],[Семестър]],-1,0),N(OFFSET(dbУчПрактикиКР[[#This Row],[№]],-1,0))+1,1)</f>
        <v>10</v>
      </c>
      <c r="AW42" s="850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2" s="1029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2" s="267" t="str">
        <f ca="1">T(INDEX(CHOOSE(dbУчПрактикиКР[[#This Row],[код]],BPZS[Факултет],BPLS[Факултет],MPZS[Факултет],MPLS[Факултет]),dbУчПрактикиКР[[#This Row],[№]],0))</f>
        <v/>
      </c>
      <c r="AZ42" s="945" t="str">
        <f ca="1">T(INDEX(CHOOSE(dbУчПрактикиКР[[#This Row],[код]],BPZS[Вид],BPLS[Вид],MPZS[Вид],MPLS[Вид]),dbУчПрактикиКР[[#This Row],[№]],0))</f>
        <v/>
      </c>
      <c r="BA42" s="947" t="str">
        <f ca="1">T(INDEX(CHOOSE(dbУчПрактикиКР[[#This Row],[код]],BPZS[Курс],BPLS[Курс],MPZS[Курс],MPLS[Курс]),dbУчПрактикиКР[[#This Row],[№]],0))</f>
        <v/>
      </c>
      <c r="BB42" s="1048" t="str">
        <f ca="1">T(INDEX(CHOOSE(dbУчПрактикиКР[[#This Row],[код]],BPZS[ФормаОб],BPLS[ФормаОб],MPZS[ФормаОб],MPLS[ФормаОб]),dbУчПрактикиКР[[#This Row],[№]],0))</f>
        <v/>
      </c>
      <c r="BC42" s="1299">
        <f ca="1">N(INDEX(CHOOSE(dbУчПрактикиКР[[#This Row],[код]],BPZS[Студенти],BPLS[Студенти],MPZS[Студенти],MPLS[Студенти]),dbУчПрактикиКР[[#This Row],[№]],0))</f>
        <v>0</v>
      </c>
      <c r="BD42" s="1049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2" s="1309">
        <f ca="1">N(INDEX(CHOOSE(dbУчПрактикиКР[[#This Row],[код]],BPZS[Група],BPLS[Група],MPZS[Група],MPLS[Група]),dbУчПрактикиКР[[#This Row],[№]],0))</f>
        <v>0</v>
      </c>
      <c r="BF42" s="1310">
        <f ca="1">N(INDEX(CHOOSE(dbУчПрактикиКР[[#This Row],[код]],BPZS[Ден],BPLS[Ден],MPZS[Ден],MPLS[Ден]),dbУчПрактикиКР[[#This Row],[№]],0))</f>
        <v>0</v>
      </c>
      <c r="BG42" s="1052" t="str">
        <f ca="1">T(INDEX(CHOOSE(dbУчПрактикиКР[[#This Row],[код]],BPZS[ФормаОц],BPLS[ФормаОц],MPZS[ФормаОц],MPLS[ФормаОц]),dbУчПрактикиКР[[#This Row],[№]],0))</f>
        <v/>
      </c>
      <c r="BH42" s="1053" t="str">
        <f ca="1">T(INDEX(CHOOSE(dbУчПрактикиКР[[#This Row],[код]],BPZS[Изпитващ],BPLS[Изпитващ],MPZS[Изпитващ],MPLS[Изпитващ]),dbУчПрактикиКР[[#This Row],[№]],0))</f>
        <v/>
      </c>
      <c r="BI42" s="1330">
        <f ca="1">N(INDEX(CHOOSE(dbУчПрактикиКР[[#This Row],[код]],BPZS[Изпитани],BPLS[Изпитани],MPZS[Изпитани],MPLS[Изпитани]),dbУчПрактикиКР[[#This Row],[№]],0))</f>
        <v>0</v>
      </c>
      <c r="BJ42" s="1331">
        <f ca="1">N(INDEX(CHOOSE(dbУчПрактикиКР[[#This Row],[код]],BPZS[ТО],BPLS[ТО],MPZS[ТО],MPLS[ТО]),dbУчПрактикиКР[[#This Row],[№]],0))</f>
        <v>0</v>
      </c>
      <c r="BK42" s="1332">
        <f ca="1">N(INDEX(CHOOSE(dbУчПрактикиКР[[#This Row],[код]],BPZS[КР],BPLS[КР],MPZS[КР],MPLS[КР]),dbУчПрактикиКР[[#This Row],[№]],0))</f>
        <v>0</v>
      </c>
      <c r="BL42" s="1329">
        <f ca="1">IFERROR(MATCH(dbУчПрактикиКР[[#This Row],[ВидПрактика]],T_Практики[Практика и курсова работа],0),0)</f>
        <v>0</v>
      </c>
      <c r="BM42" s="1348" t="str">
        <f ca="1">IF(dbУчПрактикиКР[[#This Row],[пВидПрактика]],INDEX(T_Практики[Студенти],dbУчПрактикиКР[[#This Row],[пВидПрактика]]),"-")</f>
        <v>-</v>
      </c>
      <c r="BN42" s="1348" t="str">
        <f ca="1">IF(dbУчПрактикиКР[[#This Row],[пВидПрактика]],INDEX(T_Практики[Група],dbУчПрактикиКР[[#This Row],[пВидПрактика]])*2,"-")</f>
        <v>-</v>
      </c>
      <c r="BO42" s="1349" t="str">
        <f ca="1">IF(dbУчПрактикиКР[[#This Row],[пВидПрактика]],INDEX(T_Практики[Ден],dbУчПрактикиКР[[#This Row],[пВидПрактика]])*4,"-")</f>
        <v>-</v>
      </c>
      <c r="BP42" s="1350">
        <f ca="1">IFERROR(AND(dbУчПрактикиКР[[#This Row],[ТО]]&lt;&gt;0,dbУчПрактикиКР[[#This Row],[ФормаОб]]=0)*1,0)</f>
        <v>0</v>
      </c>
      <c r="BQ42" s="1350">
        <f ca="1">IFERROR(AND(dbУчПрактикиКР[[#This Row],[Изпитани]]&lt;&gt;0,LEN(dbУчПрактикиКР[[#This Row],[Изпитващ]])=0)*1,0)</f>
        <v>0</v>
      </c>
      <c r="BR42" s="1351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2" s="1350">
        <f ca="1">IFERROR(IF(dbУчПрактикиКР[[#This Row],[ФормаОб]]=list!$A$55,Coef!$B$10,Coef!$B$9),0)</f>
        <v>0.5</v>
      </c>
      <c r="BT42" s="1352">
        <v>5</v>
      </c>
      <c r="BU42" s="1329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2" s="1348">
        <f ca="1">dbУчПрактикиКР[[#This Row],[кИзпитващ]]*N(dbУчПрактикиКР[[#This Row],[Изпитани]])</f>
        <v>0</v>
      </c>
      <c r="BW42" s="1353">
        <f ca="1">N(dbУчПрактикиКР[[#This Row],[ТО]])*N(dbУчПрактикиКР[[#This Row],[кTO]])</f>
        <v>0</v>
      </c>
      <c r="BX42" s="1352">
        <f ca="1">N(dbУчПрактикиКР[[#This Row],[КР]])*dbУчПрактикиКР[[#This Row],[кКР]]</f>
        <v>0</v>
      </c>
      <c r="BY42" s="1351">
        <f ca="1">N(INDEX(CHOOSE(dbУчПрактикиКР[[#This Row],[код]],BPZS[id_РД],BPLS[id_РД],MPZS[id_РД],MPLS[id_РД]),dbУчПрактикиКР[[#This Row],[№]],0))</f>
        <v>0</v>
      </c>
      <c r="BZ42" s="1379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2" s="1379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2" s="1379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2" s="1380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42" s="964" t="s">
        <v>682</v>
      </c>
      <c r="CH42" s="968" t="s">
        <v>407</v>
      </c>
      <c r="CI42" s="972">
        <v>4</v>
      </c>
      <c r="CJ42" s="976">
        <f ca="1">IF(dbДипломиране[[#This Row],[Семестър]]=OFFSET(dbДипломиране[[#This Row],[Семестър]],-1,0),N(OFFSET(dbДипломиране[[#This Row],[№]],-1,0))+1,1)</f>
        <v>6</v>
      </c>
      <c r="CK42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42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42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42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42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42" s="1359">
        <f ca="1">dbДипломиране[[#This Row],[ДР]]*30</f>
        <v>0</v>
      </c>
      <c r="CQ42" s="1359">
        <f ca="1">dbДипломиране[[#This Row],[Рецензии]]*5</f>
        <v>0</v>
      </c>
      <c r="CR42" s="1365">
        <f ca="1">dbДипломиране[[#This Row],[И/ДИ/З]]*0.8</f>
        <v>0</v>
      </c>
    </row>
    <row r="43" spans="5:96" ht="16.5" x14ac:dyDescent="0.3">
      <c r="E43" s="919" t="s">
        <v>681</v>
      </c>
      <c r="F43" s="921" t="s">
        <v>407</v>
      </c>
      <c r="G43" s="666">
        <v>2</v>
      </c>
      <c r="H43" s="860">
        <f ca="1">IF(dbУчДисц[[#This Row],[Семестър]]=OFFSET(dbУчДисц[[#This Row],[Семестър]],-1,0),N(OFFSET(dbУчДисц[[#This Row],[№]],-1,0))+1,1)</f>
        <v>12</v>
      </c>
      <c r="I43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3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3" s="842" t="str">
        <f ca="1">T(INDEX(CHOOSE(dbУчДисц[[#This Row],[код]],BAZZS[Факултет],BAZLS[Факултет],MAZZS[Факултет],MAZLS[Факултет]),dbУчДисц[[#This Row],[№]],0))</f>
        <v/>
      </c>
      <c r="L43" s="265" t="str">
        <f ca="1">T(INDEX(CHOOSE(dbУчДисц[[#This Row],[код]],BAZZS[Вид],BAZLS[Вид],MAZZS[Вид],MAZLS[Вид]),dbУчДисц[[#This Row],[№]],0))</f>
        <v/>
      </c>
      <c r="M43" s="243" t="str">
        <f ca="1">T(INDEX(CHOOSE(dbУчДисц[[#This Row],[код]],BAZZS[Курс],BAZLS[Курс],MAZZS[Курс],MAZLS[Курс]),dbУчДисц[[#This Row],[№]],0))</f>
        <v/>
      </c>
      <c r="N43" s="243" t="str">
        <f ca="1">T(INDEX(CHOOSE(dbУчДисц[[#This Row],[код]],BAZZS[ФормаОб],BAZLS[ФормаОб],MAZZS[ФормаОб],MAZLS[ФормаОб]),dbУчДисц[[#This Row],[№]],0))</f>
        <v/>
      </c>
      <c r="O43" s="1253" cm="1">
        <f t="array" aca="1" ref="O43" ca="1">INDEX(CHOOSE(dbУчДисц[[#This Row],[код]],BAZZS[Студенти],BAZLS[Студенти],MAZZS[Студенти],MAZLS[Студенти]),dbУчДисц[[#This Row],[№]],0)</f>
        <v>0</v>
      </c>
      <c r="P43" s="1254" cm="1">
        <f t="array" aca="1" ref="P43" ca="1">INDEX(CHOOSE(dbУчДисц[[#This Row],[код]],BAZZS[Лекции],BAZLS[Лекции],MAZZS[Лекции],MAZLS[Лекции]),dbУчДисц[[#This Row],[№]],0)</f>
        <v>0</v>
      </c>
      <c r="Q43" s="1254" cm="1">
        <f t="array" aca="1" ref="Q43" ca="1">INDEX(CHOOSE(dbУчДисц[[#This Row],[код]],BAZZS[Упражнения],BAZLS[Упражнения],MAZZS[Упражнения],MAZLS[Упражнения]),dbУчДисц[[#This Row],[№]],0)</f>
        <v>0</v>
      </c>
      <c r="R43" s="892" t="str">
        <f ca="1">T(INDEX(CHOOSE(dbУчДисц[[#This Row],[код]],BAZZS[Език],BAZLS[Език],MAZZS[Език],MAZLS[Език]),dbУчДисц[[#This Row],[№]],0))</f>
        <v>БЕ</v>
      </c>
      <c r="S43" s="243" t="str">
        <f ca="1">T(INDEX(CHOOSE(dbУчДисц[[#This Row],[код]],BAZZS[ФормаОц],BAZLS[ФормаОц],MAZZS[ФормаОц],MAZLS[ФормаОц]),dbУчДисц[[#This Row],[№]],0))</f>
        <v/>
      </c>
      <c r="T43" s="244" t="str">
        <f ca="1">T(INDEX(CHOOSE(dbУчДисц[[#This Row],[код]],BAZZS[Изпитващ],BAZLS[Изпитващ],MAZZS[Изпитващ],MAZLS[Изпитващ]),dbУчДисц[[#This Row],[№]],0))</f>
        <v/>
      </c>
      <c r="U43" s="1254" cm="1">
        <f t="array" aca="1" ref="U43" ca="1">INDEX(CHOOSE(dbУчДисц[[#This Row],[код]],BAZZS[Изпитани],BAZLS[Изпитани],MAZZS[Изпитани],MAZLS[Изпитани]),dbУчДисц[[#This Row],[№]],0)</f>
        <v>0</v>
      </c>
      <c r="V43" s="1268" cm="1">
        <f t="array" aca="1" ref="V43" ca="1">INDEX(CHOOSE(dbУчДисц[[#This Row],[код]],BAZZS[ТО],BAZLS[ТО],MAZZS[ТО],MAZLS[ТО]),dbУчДисц[[#This Row],[№]],0)</f>
        <v>0</v>
      </c>
      <c r="W43" s="1268" cm="1">
        <f t="array" aca="1" ref="W43" ca="1">INDEX(CHOOSE(dbУчДисц[[#This Row],[код]],BAZZS[КР],BAZLS[КР],MAZZS[КР],MAZLS[КР]),dbУчДисц[[#This Row],[№]],0)</f>
        <v>0</v>
      </c>
      <c r="X4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3" s="1270">
        <f ca="1">IF(AND(dbУчДисц[[#This Row],[Изпитани]]&lt;&gt;0,dbУчДисц[[#This Row],[Изпитващ]]=0),1,0)</f>
        <v>0</v>
      </c>
      <c r="AA43" s="1271">
        <f ca="1">IFERROR(VLOOKUP(dbУчДисц[[#This Row],[Език]],Коефициент_Eзик[],2,0),0)</f>
        <v>1</v>
      </c>
      <c r="AB43" s="1272" cm="1">
        <f t="array" aca="1" ref="AB4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3" s="1273">
        <v>0.5</v>
      </c>
      <c r="AE43" s="1274">
        <v>5</v>
      </c>
      <c r="AF43" s="1271">
        <f ca="1">N(dbУчДисц[[#This Row],[Лекции]])*dbУчДисц[[#This Row],[кЕзик]]*dbУчДисц[[#This Row],[кСтуденти]]*кЛекции</f>
        <v>0</v>
      </c>
      <c r="AG43" s="1272">
        <f ca="1">N(dbУчДисц[[#This Row],[Упражнения]])*dbУчДисц[[#This Row],[кЕзик]]*dbУчДисц[[#This Row],[кСтуденти]]*кУпражнение</f>
        <v>0</v>
      </c>
      <c r="AH43" s="1272">
        <f ca="1">N(dbУчДисц[[#This Row],[Изпитани]])*dbУчДисц[[#This Row],[кИзпитващ]]</f>
        <v>0</v>
      </c>
      <c r="AI43" s="1273">
        <f ca="1">dbУчДисц[[#This Row],[ТО]]*dbУчДисц[[#This Row],[кTO]]</f>
        <v>0</v>
      </c>
      <c r="AJ43" s="1266">
        <f ca="1">dbУчДисц[[#This Row],[КР]]*dbУчДисц[[#This Row],[кКР]]</f>
        <v>0</v>
      </c>
      <c r="AK43" s="1275">
        <f ca="1">N(INDEX(CHOOSE(dbУчДисц[[#This Row],[код]],BAZZS[id_РД],BAZLS[id_РД],MAZZS[id_РД],MAZLS[id_РД]),dbУчДисц[[#This Row],[№]],0))</f>
        <v>0</v>
      </c>
      <c r="AL4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3" s="1383" t="str">
        <f ca="1">T(INDEX(CHOOSE(dbУчДисц[[#This Row],[код]],BAZZS[Факултет1],BAZLS[Факултет1],MAZZS[Факултет1],MAZLS[Факултет1]),dbУчДисц[[#This Row],[№]],0))</f>
        <v/>
      </c>
      <c r="AO4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3" s="933" t="s">
        <v>970</v>
      </c>
      <c r="AT43" s="957" t="s">
        <v>407</v>
      </c>
      <c r="AU43" s="952">
        <v>4</v>
      </c>
      <c r="AV43" s="980">
        <f ca="1">IF(dbУчПрактикиКР[[#This Row],[Семестър]]=OFFSET(dbУчПрактикиКР[[#This Row],[Семестър]],-1,0),N(OFFSET(dbУчПрактикиКР[[#This Row],[№]],-1,0))+1,1)</f>
        <v>1</v>
      </c>
      <c r="AW43" s="845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3" s="1028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3" s="891" t="str">
        <f ca="1">T(INDEX(CHOOSE(dbУчПрактикиКР[[#This Row],[код]],BPZS[Факултет],BPLS[Факултет],MPZS[Факултет],MPLS[Факултет]),dbУчПрактикиКР[[#This Row],[№]],0))</f>
        <v/>
      </c>
      <c r="AZ43" s="959" t="str">
        <f ca="1">T(INDEX(CHOOSE(dbУчПрактикиКР[[#This Row],[код]],BPZS[Вид],BPLS[Вид],MPZS[Вид],MPLS[Вид]),dbУчПрактикиКР[[#This Row],[№]],0))</f>
        <v/>
      </c>
      <c r="BA43" s="946" t="str">
        <f ca="1">T(INDEX(CHOOSE(dbУчПрактикиКР[[#This Row],[код]],BPZS[Курс],BPLS[Курс],MPZS[Курс],MPLS[Курс]),dbУчПрактикиКР[[#This Row],[№]],0))</f>
        <v/>
      </c>
      <c r="BB43" s="1030" t="str">
        <f ca="1">T(INDEX(CHOOSE(dbУчПрактикиКР[[#This Row],[код]],BPZS[ФормаОб],BPLS[ФормаОб],MPZS[ФормаОб],MPLS[ФормаОб]),dbУчПрактикиКР[[#This Row],[№]],0))</f>
        <v/>
      </c>
      <c r="BC43" s="1296">
        <f ca="1">N(INDEX(CHOOSE(dbУчПрактикиКР[[#This Row],[код]],BPZS[Студенти],BPLS[Студенти],MPZS[Студенти],MPLS[Студенти]),dbУчПрактикиКР[[#This Row],[№]],0))</f>
        <v>0</v>
      </c>
      <c r="BD43" s="1042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3" s="1306">
        <f ca="1">N(INDEX(CHOOSE(dbУчПрактикиКР[[#This Row],[код]],BPZS[Група],BPLS[Група],MPZS[Група],MPLS[Група]),dbУчПрактикиКР[[#This Row],[№]],0))</f>
        <v>0</v>
      </c>
      <c r="BF43" s="1307">
        <f ca="1">N(INDEX(CHOOSE(dbУчПрактикиКР[[#This Row],[код]],BPZS[Ден],BPLS[Ден],MPZS[Ден],MPLS[Ден]),dbУчПрактикиКР[[#This Row],[№]],0))</f>
        <v>0</v>
      </c>
      <c r="BG43" s="1043" t="str">
        <f ca="1">T(INDEX(CHOOSE(dbУчПрактикиКР[[#This Row],[код]],BPZS[ФормаОц],BPLS[ФормаОц],MPZS[ФормаОц],MPLS[ФормаОц]),dbУчПрактикиКР[[#This Row],[№]],0))</f>
        <v/>
      </c>
      <c r="BH43" s="1044" t="str">
        <f ca="1">T(INDEX(CHOOSE(dbУчПрактикиКР[[#This Row],[код]],BPZS[Изпитващ],BPLS[Изпитващ],MPZS[Изпитващ],MPLS[Изпитващ]),dbУчПрактикиКР[[#This Row],[№]],0))</f>
        <v/>
      </c>
      <c r="BI43" s="1320">
        <f ca="1">N(INDEX(CHOOSE(dbУчПрактикиКР[[#This Row],[код]],BPZS[Изпитани],BPLS[Изпитани],MPZS[Изпитани],MPLS[Изпитани]),dbУчПрактикиКР[[#This Row],[№]],0))</f>
        <v>0</v>
      </c>
      <c r="BJ43" s="1321">
        <f ca="1">N(INDEX(CHOOSE(dbУчПрактикиКР[[#This Row],[код]],BPZS[ТО],BPLS[ТО],MPZS[ТО],MPLS[ТО]),dbУчПрактикиКР[[#This Row],[№]],0))</f>
        <v>0</v>
      </c>
      <c r="BK43" s="1322">
        <f ca="1">N(INDEX(CHOOSE(dbУчПрактикиКР[[#This Row],[код]],BPZS[КР],BPLS[КР],MPZS[КР],MPLS[КР]),dbУчПрактикиКР[[#This Row],[№]],0))</f>
        <v>0</v>
      </c>
      <c r="BL43" s="1314">
        <f ca="1">IFERROR(MATCH(dbУчПрактикиКР[[#This Row],[ВидПрактика]],T_Практики[Практика и курсова работа],0),0)</f>
        <v>0</v>
      </c>
      <c r="BM43" s="1333" t="str">
        <f ca="1">IF(dbУчПрактикиКР[[#This Row],[пВидПрактика]],INDEX(T_Практики[Студенти],dbУчПрактикиКР[[#This Row],[пВидПрактика]]),"-")</f>
        <v>-</v>
      </c>
      <c r="BN43" s="1333" t="str">
        <f ca="1">IF(dbУчПрактикиКР[[#This Row],[пВидПрактика]],INDEX(T_Практики[Група],dbУчПрактикиКР[[#This Row],[пВидПрактика]])*2,"-")</f>
        <v>-</v>
      </c>
      <c r="BO43" s="1334" t="str">
        <f ca="1">IF(dbУчПрактикиКР[[#This Row],[пВидПрактика]],INDEX(T_Практики[Ден],dbУчПрактикиКР[[#This Row],[пВидПрактика]])*4,"-")</f>
        <v>-</v>
      </c>
      <c r="BP43" s="1337">
        <f ca="1">IFERROR(AND(dbУчПрактикиКР[[#This Row],[ТО]]&lt;&gt;0,dbУчПрактикиКР[[#This Row],[ФормаОб]]=0)*1,0)</f>
        <v>0</v>
      </c>
      <c r="BQ43" s="1337">
        <f ca="1">IFERROR(AND(dbУчПрактикиКР[[#This Row],[Изпитани]]&lt;&gt;0,LEN(dbУчПрактикиКР[[#This Row],[Изпитващ]])=0)*1,0)</f>
        <v>0</v>
      </c>
      <c r="BR43" s="1336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3" s="1337">
        <f ca="1">IFERROR(IF(dbУчПрактикиКР[[#This Row],[ФормаОб]]=list!$A$55,Coef!$B$10,Coef!$B$9),0)</f>
        <v>0.5</v>
      </c>
      <c r="BT43" s="1338">
        <v>5</v>
      </c>
      <c r="BU43" s="1336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3" s="1337">
        <f ca="1">dbУчПрактикиКР[[#This Row],[кИзпитващ]]*N(dbУчПрактикиКР[[#This Row],[Изпитани]])</f>
        <v>0</v>
      </c>
      <c r="BW43" s="1337">
        <f ca="1">N(dbУчПрактикиКР[[#This Row],[ТО]])*N(dbУчПрактикиКР[[#This Row],[кTO]])</f>
        <v>0</v>
      </c>
      <c r="BX43" s="1338">
        <f ca="1">N(dbУчПрактикиКР[[#This Row],[КР]])*dbУчПрактикиКР[[#This Row],[кКР]]</f>
        <v>0</v>
      </c>
      <c r="BY43" s="1335">
        <f ca="1">N(INDEX(CHOOSE(dbУчПрактикиКР[[#This Row],[код]],BPZS[id_РД],BPLS[id_РД],MPZS[id_РД],MPLS[id_РД]),dbУчПрактикиКР[[#This Row],[№]],0))</f>
        <v>0</v>
      </c>
      <c r="BZ43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3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3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3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43" s="964" t="s">
        <v>682</v>
      </c>
      <c r="CH43" s="968" t="s">
        <v>407</v>
      </c>
      <c r="CI43" s="972">
        <v>4</v>
      </c>
      <c r="CJ43" s="976">
        <f ca="1">IF(dbДипломиране[[#This Row],[Семестър]]=OFFSET(dbДипломиране[[#This Row],[Семестър]],-1,0),N(OFFSET(dbДипломиране[[#This Row],[№]],-1,0))+1,1)</f>
        <v>7</v>
      </c>
      <c r="CK43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43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43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43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43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43" s="1359">
        <f ca="1">dbДипломиране[[#This Row],[ДР]]*30</f>
        <v>0</v>
      </c>
      <c r="CQ43" s="1359">
        <f ca="1">dbДипломиране[[#This Row],[Рецензии]]*5</f>
        <v>0</v>
      </c>
      <c r="CR43" s="1365">
        <f ca="1">dbДипломиране[[#This Row],[И/ДИ/З]]*0.8</f>
        <v>0</v>
      </c>
    </row>
    <row r="44" spans="5:96" ht="17.25" thickBot="1" x14ac:dyDescent="0.35">
      <c r="E44" s="919" t="s">
        <v>681</v>
      </c>
      <c r="F44" s="921" t="s">
        <v>407</v>
      </c>
      <c r="G44" s="666">
        <v>2</v>
      </c>
      <c r="H44" s="860">
        <f ca="1">IF(dbУчДисц[[#This Row],[Семестър]]=OFFSET(dbУчДисц[[#This Row],[Семестър]],-1,0),N(OFFSET(dbУчДисц[[#This Row],[№]],-1,0))+1,1)</f>
        <v>13</v>
      </c>
      <c r="I44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4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4" s="842" t="str">
        <f ca="1">T(INDEX(CHOOSE(dbУчДисц[[#This Row],[код]],BAZZS[Факултет],BAZLS[Факултет],MAZZS[Факултет],MAZLS[Факултет]),dbУчДисц[[#This Row],[№]],0))</f>
        <v/>
      </c>
      <c r="L44" s="265" t="str">
        <f ca="1">T(INDEX(CHOOSE(dbУчДисц[[#This Row],[код]],BAZZS[Вид],BAZLS[Вид],MAZZS[Вид],MAZLS[Вид]),dbУчДисц[[#This Row],[№]],0))</f>
        <v/>
      </c>
      <c r="M44" s="243" t="str">
        <f ca="1">T(INDEX(CHOOSE(dbУчДисц[[#This Row],[код]],BAZZS[Курс],BAZLS[Курс],MAZZS[Курс],MAZLS[Курс]),dbУчДисц[[#This Row],[№]],0))</f>
        <v/>
      </c>
      <c r="N44" s="243" t="str">
        <f ca="1">T(INDEX(CHOOSE(dbУчДисц[[#This Row],[код]],BAZZS[ФормаОб],BAZLS[ФормаОб],MAZZS[ФормаОб],MAZLS[ФормаОб]),dbУчДисц[[#This Row],[№]],0))</f>
        <v/>
      </c>
      <c r="O44" s="1253" cm="1">
        <f t="array" aca="1" ref="O44" ca="1">INDEX(CHOOSE(dbУчДисц[[#This Row],[код]],BAZZS[Студенти],BAZLS[Студенти],MAZZS[Студенти],MAZLS[Студенти]),dbУчДисц[[#This Row],[№]],0)</f>
        <v>0</v>
      </c>
      <c r="P44" s="1254" cm="1">
        <f t="array" aca="1" ref="P44" ca="1">INDEX(CHOOSE(dbУчДисц[[#This Row],[код]],BAZZS[Лекции],BAZLS[Лекции],MAZZS[Лекции],MAZLS[Лекции]),dbУчДисц[[#This Row],[№]],0)</f>
        <v>0</v>
      </c>
      <c r="Q44" s="1254" cm="1">
        <f t="array" aca="1" ref="Q44" ca="1">INDEX(CHOOSE(dbУчДисц[[#This Row],[код]],BAZZS[Упражнения],BAZLS[Упражнения],MAZZS[Упражнения],MAZLS[Упражнения]),dbУчДисц[[#This Row],[№]],0)</f>
        <v>0</v>
      </c>
      <c r="R44" s="892" t="str">
        <f ca="1">T(INDEX(CHOOSE(dbУчДисц[[#This Row],[код]],BAZZS[Език],BAZLS[Език],MAZZS[Език],MAZLS[Език]),dbУчДисц[[#This Row],[№]],0))</f>
        <v>БЕ</v>
      </c>
      <c r="S44" s="243" t="str">
        <f ca="1">T(INDEX(CHOOSE(dbУчДисц[[#This Row],[код]],BAZZS[ФормаОц],BAZLS[ФормаОц],MAZZS[ФормаОц],MAZLS[ФормаОц]),dbУчДисц[[#This Row],[№]],0))</f>
        <v/>
      </c>
      <c r="T44" s="244" t="str">
        <f ca="1">T(INDEX(CHOOSE(dbУчДисц[[#This Row],[код]],BAZZS[Изпитващ],BAZLS[Изпитващ],MAZZS[Изпитващ],MAZLS[Изпитващ]),dbУчДисц[[#This Row],[№]],0))</f>
        <v/>
      </c>
      <c r="U44" s="1254" cm="1">
        <f t="array" aca="1" ref="U44" ca="1">INDEX(CHOOSE(dbУчДисц[[#This Row],[код]],BAZZS[Изпитани],BAZLS[Изпитани],MAZZS[Изпитани],MAZLS[Изпитани]),dbУчДисц[[#This Row],[№]],0)</f>
        <v>0</v>
      </c>
      <c r="V44" s="1268" cm="1">
        <f t="array" aca="1" ref="V44" ca="1">INDEX(CHOOSE(dbУчДисц[[#This Row],[код]],BAZZS[ТО],BAZLS[ТО],MAZZS[ТО],MAZLS[ТО]),dbУчДисц[[#This Row],[№]],0)</f>
        <v>0</v>
      </c>
      <c r="W44" s="1268" cm="1">
        <f t="array" aca="1" ref="W44" ca="1">INDEX(CHOOSE(dbУчДисц[[#This Row],[код]],BAZZS[КР],BAZLS[КР],MAZZS[КР],MAZLS[КР]),dbУчДисц[[#This Row],[№]],0)</f>
        <v>0</v>
      </c>
      <c r="X4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4" s="1270">
        <f ca="1">IF(AND(dbУчДисц[[#This Row],[Изпитани]]&lt;&gt;0,dbУчДисц[[#This Row],[Изпитващ]]=0),1,0)</f>
        <v>0</v>
      </c>
      <c r="AA44" s="1271">
        <f ca="1">IFERROR(VLOOKUP(dbУчДисц[[#This Row],[Език]],Коефициент_Eзик[],2,0),0)</f>
        <v>1</v>
      </c>
      <c r="AB44" s="1272" cm="1">
        <f t="array" aca="1" ref="AB4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4" s="1273">
        <v>0.5</v>
      </c>
      <c r="AE44" s="1274">
        <v>5</v>
      </c>
      <c r="AF44" s="1271">
        <f ca="1">N(dbУчДисц[[#This Row],[Лекции]])*dbУчДисц[[#This Row],[кЕзик]]*dbУчДисц[[#This Row],[кСтуденти]]*кЛекции</f>
        <v>0</v>
      </c>
      <c r="AG44" s="1272">
        <f ca="1">N(dbУчДисц[[#This Row],[Упражнения]])*dbУчДисц[[#This Row],[кЕзик]]*dbУчДисц[[#This Row],[кСтуденти]]*кУпражнение</f>
        <v>0</v>
      </c>
      <c r="AH44" s="1272">
        <f ca="1">N(dbУчДисц[[#This Row],[Изпитани]])*dbУчДисц[[#This Row],[кИзпитващ]]</f>
        <v>0</v>
      </c>
      <c r="AI44" s="1273">
        <f ca="1">dbУчДисц[[#This Row],[ТО]]*dbУчДисц[[#This Row],[кTO]]</f>
        <v>0</v>
      </c>
      <c r="AJ44" s="1266">
        <f ca="1">dbУчДисц[[#This Row],[КР]]*dbУчДисц[[#This Row],[кКР]]</f>
        <v>0</v>
      </c>
      <c r="AK44" s="1275">
        <f ca="1">N(INDEX(CHOOSE(dbУчДисц[[#This Row],[код]],BAZZS[id_РД],BAZLS[id_РД],MAZZS[id_РД],MAZLS[id_РД]),dbУчДисц[[#This Row],[№]],0))</f>
        <v>0</v>
      </c>
      <c r="AL4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4" s="1383" t="str">
        <f ca="1">T(INDEX(CHOOSE(dbУчДисц[[#This Row],[код]],BAZZS[Факултет1],BAZLS[Факултет1],MAZZS[Факултет1],MAZLS[Факултет1]),dbУчДисц[[#This Row],[№]],0))</f>
        <v/>
      </c>
      <c r="AO4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4" s="931" t="s">
        <v>970</v>
      </c>
      <c r="AT44" s="955" t="s">
        <v>407</v>
      </c>
      <c r="AU44" s="950">
        <v>4</v>
      </c>
      <c r="AV44" s="981">
        <f ca="1">IF(dbУчПрактикиКР[[#This Row],[Семестър]]=OFFSET(dbУчПрактикиКР[[#This Row],[Семестър]],-1,0),N(OFFSET(dbУчПрактикиКР[[#This Row],[№]],-1,0))+1,1)</f>
        <v>2</v>
      </c>
      <c r="AW44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4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4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4" s="943" t="str">
        <f ca="1">T(INDEX(CHOOSE(dbУчПрактикиКР[[#This Row],[код]],BPZS[Вид],BPLS[Вид],MPZS[Вид],MPLS[Вид]),dbУчПрактикиКР[[#This Row],[№]],0))</f>
        <v/>
      </c>
      <c r="BA44" s="944" t="str">
        <f ca="1">T(INDEX(CHOOSE(dbУчПрактикиКР[[#This Row],[код]],BPZS[Курс],BPLS[Курс],MPZS[Курс],MPLS[Курс]),dbУчПрактикиКР[[#This Row],[№]],0))</f>
        <v/>
      </c>
      <c r="BB44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4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4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4" s="1303">
        <f ca="1">N(INDEX(CHOOSE(dbУчПрактикиКР[[#This Row],[код]],BPZS[Група],BPLS[Група],MPZS[Група],MPLS[Група]),dbУчПрактикиКР[[#This Row],[№]],0))</f>
        <v>0</v>
      </c>
      <c r="BF44" s="1308">
        <f ca="1">N(INDEX(CHOOSE(dbУчПрактикиКР[[#This Row],[код]],BPZS[Ден],BPLS[Ден],MPZS[Ден],MPLS[Ден]),dbУчПрактикиКР[[#This Row],[№]],0))</f>
        <v>0</v>
      </c>
      <c r="BG44" s="1046" t="str">
        <f ca="1">T(INDEX(CHOOSE(dbУчПрактикиКР[[#This Row],[код]],BPZS[ФормаОц],BPLS[ФормаОц],MPZS[ФормаОц],MPLS[ФормаОц]),dbУчПрактикиКР[[#This Row],[№]],0))</f>
        <v/>
      </c>
      <c r="BH44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4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44" s="1324">
        <f ca="1">N(INDEX(CHOOSE(dbУчПрактикиКР[[#This Row],[код]],BPZS[ТО],BPLS[ТО],MPZS[ТО],MPLS[ТО]),dbУчПрактикиКР[[#This Row],[№]],0))</f>
        <v>0</v>
      </c>
      <c r="BK44" s="1325">
        <f ca="1">N(INDEX(CHOOSE(dbУчПрактикиКР[[#This Row],[код]],BPZS[КР],BPLS[КР],MPZS[КР],MPLS[КР]),dbУчПрактикиКР[[#This Row],[№]],0))</f>
        <v>0</v>
      </c>
      <c r="BL44" s="1318">
        <f ca="1">IFERROR(MATCH(dbУчПрактикиКР[[#This Row],[ВидПрактика]],T_Практики[Практика и курсова работа],0),0)</f>
        <v>0</v>
      </c>
      <c r="BM44" s="1340" t="str">
        <f ca="1">IF(dbУчПрактикиКР[[#This Row],[пВидПрактика]],INDEX(T_Практики[Студенти],dbУчПрактикиКР[[#This Row],[пВидПрактика]]),"-")</f>
        <v>-</v>
      </c>
      <c r="BN44" s="1340" t="str">
        <f ca="1">IF(dbУчПрактикиКР[[#This Row],[пВидПрактика]],INDEX(T_Практики[Група],dbУчПрактикиКР[[#This Row],[пВидПрактика]])*2,"-")</f>
        <v>-</v>
      </c>
      <c r="BO44" s="1341" t="str">
        <f ca="1">IF(dbУчПрактикиКР[[#This Row],[пВидПрактика]],INDEX(T_Практики[Ден],dbУчПрактикиКР[[#This Row],[пВидПрактика]])*4,"-")</f>
        <v>-</v>
      </c>
      <c r="BP44" s="1335">
        <f ca="1">IFERROR(AND(dbУчПрактикиКР[[#This Row],[ТО]]&lt;&gt;0,dbУчПрактикиКР[[#This Row],[ФормаОб]]=0)*1,0)</f>
        <v>0</v>
      </c>
      <c r="BQ44" s="1335">
        <f ca="1">IFERROR(AND(dbУчПрактикиКР[[#This Row],[Изпитани]]&lt;&gt;0,LEN(dbУчПрактикиКР[[#This Row],[Изпитващ]])=0)*1,0)</f>
        <v>0</v>
      </c>
      <c r="BR44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4" s="1335">
        <f ca="1">IFERROR(IF(dbУчПрактикиКР[[#This Row],[ФормаОб]]=list!$A$55,Coef!$B$10,Coef!$B$9),0)</f>
        <v>0.5</v>
      </c>
      <c r="BT44" s="1343">
        <v>5</v>
      </c>
      <c r="BU44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4" s="1335">
        <f ca="1">dbУчПрактикиКР[[#This Row],[кИзпитващ]]*N(dbУчПрактикиКР[[#This Row],[Изпитани]])</f>
        <v>0</v>
      </c>
      <c r="BW44" s="1335">
        <f ca="1">N(dbУчПрактикиКР[[#This Row],[ТО]])*N(dbУчПрактикиКР[[#This Row],[кTO]])</f>
        <v>0</v>
      </c>
      <c r="BX44" s="1343">
        <f ca="1">N(dbУчПрактикиКР[[#This Row],[КР]])*dbУчПрактикиКР[[#This Row],[кКР]]</f>
        <v>0</v>
      </c>
      <c r="BY44" s="1335">
        <f ca="1">N(INDEX(CHOOSE(dbУчПрактикиКР[[#This Row],[код]],BPZS[id_РД],BPLS[id_РД],MPZS[id_РД],MPLS[id_РД]),dbУчПрактикиКР[[#This Row],[№]],0))</f>
        <v>0</v>
      </c>
      <c r="BZ44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4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4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4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  <c r="CG44" s="965" t="s">
        <v>682</v>
      </c>
      <c r="CH44" s="969" t="s">
        <v>407</v>
      </c>
      <c r="CI44" s="973">
        <v>4</v>
      </c>
      <c r="CJ44" s="977">
        <f ca="1">IF(dbДипломиране[[#This Row],[Семестър]]=OFFSET(dbДипломиране[[#This Row],[Семестър]],-1,0),N(OFFSET(dbДипломиране[[#This Row],[№]],-1,0))+1,1)</f>
        <v>8</v>
      </c>
      <c r="CK44" s="855" t="str">
        <f ca="1">T(INDEX(CHOOSE(dbДипломиране[[#This Row],[код]],BDiplomiraneZS[Специалност],BDiplomiraneLS[Специалност],MDiplomiraneZS[Магистърска програма],MDiplomiraneLS[Магистърска програма]),dbДипломиране[[#This Row],[№]],0))</f>
        <v/>
      </c>
      <c r="CL44" s="244" t="str">
        <f ca="1">T(INDEX(CHOOSE(dbДипломиране[[#This Row],[код]],BDiplomiraneZS[Факултет],BDiplomiraneLS[Факултет],MDiplomiraneZS[Факултет],MDiplomiraneLS[Факултет]),dbДипломиране[[#This Row],[№]],0))</f>
        <v/>
      </c>
      <c r="CM44" s="1361">
        <f ca="1">N(INDEX(CHOOSE(dbДипломиране[[#This Row],[код]],BDiplomiraneZS[ДР],BDiplomiraneLS[ФормаОб],MDiplomiraneZS[ДР],MDiplomiraneLS[ДР]),dbДипломиране[[#This Row],[№]],0))</f>
        <v>0</v>
      </c>
      <c r="CN44" s="1254">
        <f ca="1">N(INDEX(CHOOSE(dbДипломиране[[#This Row],[код]],BDiplomiraneZS[Рецензии],BDiplomiraneLS[ДР],MDiplomiraneZS[Рецензии],MDiplomiraneLS[Рецензии]),dbДипломиране[[#This Row],[№]],0))</f>
        <v>0</v>
      </c>
      <c r="CO44" s="1253">
        <f ca="1">N(INDEX(CHOOSE(dbДипломиране[[#This Row],[код]],BDiplomiraneZS[И/ДИ/З],BDiplomiraneLS[Рецензии],MDiplomiraneZS[И/ДИ/З],MDiplomiraneLS[И/ДИ/З]),dbДипломиране[[#This Row],[№]],0))</f>
        <v>0</v>
      </c>
      <c r="CP44" s="1359">
        <f ca="1">dbДипломиране[[#This Row],[ДР]]*30</f>
        <v>0</v>
      </c>
      <c r="CQ44" s="1359">
        <f ca="1">dbДипломиране[[#This Row],[Рецензии]]*5</f>
        <v>0</v>
      </c>
      <c r="CR44" s="1365">
        <f ca="1">dbДипломиране[[#This Row],[И/ДИ/З]]*0.8</f>
        <v>0</v>
      </c>
    </row>
    <row r="45" spans="5:96" ht="16.5" x14ac:dyDescent="0.3">
      <c r="E45" s="919" t="s">
        <v>681</v>
      </c>
      <c r="F45" s="921" t="s">
        <v>407</v>
      </c>
      <c r="G45" s="666">
        <v>2</v>
      </c>
      <c r="H45" s="860">
        <f ca="1">IF(dbУчДисц[[#This Row],[Семестър]]=OFFSET(dbУчДисц[[#This Row],[Семестър]],-1,0),N(OFFSET(dbУчДисц[[#This Row],[№]],-1,0))+1,1)</f>
        <v>14</v>
      </c>
      <c r="I45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5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5" s="842" t="str">
        <f ca="1">T(INDEX(CHOOSE(dbУчДисц[[#This Row],[код]],BAZZS[Факултет],BAZLS[Факултет],MAZZS[Факултет],MAZLS[Факултет]),dbУчДисц[[#This Row],[№]],0))</f>
        <v/>
      </c>
      <c r="L45" s="265" t="str">
        <f ca="1">T(INDEX(CHOOSE(dbУчДисц[[#This Row],[код]],BAZZS[Вид],BAZLS[Вид],MAZZS[Вид],MAZLS[Вид]),dbУчДисц[[#This Row],[№]],0))</f>
        <v/>
      </c>
      <c r="M45" s="243" t="str">
        <f ca="1">T(INDEX(CHOOSE(dbУчДисц[[#This Row],[код]],BAZZS[Курс],BAZLS[Курс],MAZZS[Курс],MAZLS[Курс]),dbУчДисц[[#This Row],[№]],0))</f>
        <v/>
      </c>
      <c r="N45" s="243" t="str">
        <f ca="1">T(INDEX(CHOOSE(dbУчДисц[[#This Row],[код]],BAZZS[ФормаОб],BAZLS[ФормаОб],MAZZS[ФормаОб],MAZLS[ФормаОб]),dbУчДисц[[#This Row],[№]],0))</f>
        <v/>
      </c>
      <c r="O45" s="1253" cm="1">
        <f t="array" aca="1" ref="O45" ca="1">INDEX(CHOOSE(dbУчДисц[[#This Row],[код]],BAZZS[Студенти],BAZLS[Студенти],MAZZS[Студенти],MAZLS[Студенти]),dbУчДисц[[#This Row],[№]],0)</f>
        <v>0</v>
      </c>
      <c r="P45" s="1254" cm="1">
        <f t="array" aca="1" ref="P45" ca="1">INDEX(CHOOSE(dbУчДисц[[#This Row],[код]],BAZZS[Лекции],BAZLS[Лекции],MAZZS[Лекции],MAZLS[Лекции]),dbУчДисц[[#This Row],[№]],0)</f>
        <v>0</v>
      </c>
      <c r="Q45" s="1254" cm="1">
        <f t="array" aca="1" ref="Q45" ca="1">INDEX(CHOOSE(dbУчДисц[[#This Row],[код]],BAZZS[Упражнения],BAZLS[Упражнения],MAZZS[Упражнения],MAZLS[Упражнения]),dbУчДисц[[#This Row],[№]],0)</f>
        <v>0</v>
      </c>
      <c r="R45" s="892" t="str">
        <f ca="1">T(INDEX(CHOOSE(dbУчДисц[[#This Row],[код]],BAZZS[Език],BAZLS[Език],MAZZS[Език],MAZLS[Език]),dbУчДисц[[#This Row],[№]],0))</f>
        <v>БЕ</v>
      </c>
      <c r="S45" s="243" t="str">
        <f ca="1">T(INDEX(CHOOSE(dbУчДисц[[#This Row],[код]],BAZZS[ФормаОц],BAZLS[ФормаОц],MAZZS[ФормаОц],MAZLS[ФормаОц]),dbУчДисц[[#This Row],[№]],0))</f>
        <v/>
      </c>
      <c r="T45" s="244" t="str">
        <f ca="1">T(INDEX(CHOOSE(dbУчДисц[[#This Row],[код]],BAZZS[Изпитващ],BAZLS[Изпитващ],MAZZS[Изпитващ],MAZLS[Изпитващ]),dbУчДисц[[#This Row],[№]],0))</f>
        <v/>
      </c>
      <c r="U45" s="1254" cm="1">
        <f t="array" aca="1" ref="U45" ca="1">INDEX(CHOOSE(dbУчДисц[[#This Row],[код]],BAZZS[Изпитани],BAZLS[Изпитани],MAZZS[Изпитани],MAZLS[Изпитани]),dbУчДисц[[#This Row],[№]],0)</f>
        <v>0</v>
      </c>
      <c r="V45" s="1268" cm="1">
        <f t="array" aca="1" ref="V45" ca="1">INDEX(CHOOSE(dbУчДисц[[#This Row],[код]],BAZZS[ТО],BAZLS[ТО],MAZZS[ТО],MAZLS[ТО]),dbУчДисц[[#This Row],[№]],0)</f>
        <v>0</v>
      </c>
      <c r="W45" s="1268" cm="1">
        <f t="array" aca="1" ref="W45" ca="1">INDEX(CHOOSE(dbУчДисц[[#This Row],[код]],BAZZS[КР],BAZLS[КР],MAZZS[КР],MAZLS[КР]),dbУчДисц[[#This Row],[№]],0)</f>
        <v>0</v>
      </c>
      <c r="X4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5" s="1270">
        <f ca="1">IF(AND(dbУчДисц[[#This Row],[Изпитани]]&lt;&gt;0,dbУчДисц[[#This Row],[Изпитващ]]=0),1,0)</f>
        <v>0</v>
      </c>
      <c r="AA45" s="1271">
        <f ca="1">IFERROR(VLOOKUP(dbУчДисц[[#This Row],[Език]],Коефициент_Eзик[],2,0),0)</f>
        <v>1</v>
      </c>
      <c r="AB45" s="1272" cm="1">
        <f t="array" aca="1" ref="AB4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5" s="1273">
        <v>0.5</v>
      </c>
      <c r="AE45" s="1274">
        <v>5</v>
      </c>
      <c r="AF45" s="1271">
        <f ca="1">N(dbУчДисц[[#This Row],[Лекции]])*dbУчДисц[[#This Row],[кЕзик]]*dbУчДисц[[#This Row],[кСтуденти]]*кЛекции</f>
        <v>0</v>
      </c>
      <c r="AG45" s="1272">
        <f ca="1">N(dbУчДисц[[#This Row],[Упражнения]])*dbУчДисц[[#This Row],[кЕзик]]*dbУчДисц[[#This Row],[кСтуденти]]*кУпражнение</f>
        <v>0</v>
      </c>
      <c r="AH45" s="1272">
        <f ca="1">N(dbУчДисц[[#This Row],[Изпитани]])*dbУчДисц[[#This Row],[кИзпитващ]]</f>
        <v>0</v>
      </c>
      <c r="AI45" s="1273">
        <f ca="1">dbУчДисц[[#This Row],[ТО]]*dbУчДисц[[#This Row],[кTO]]</f>
        <v>0</v>
      </c>
      <c r="AJ45" s="1266">
        <f ca="1">dbУчДисц[[#This Row],[КР]]*dbУчДисц[[#This Row],[кКР]]</f>
        <v>0</v>
      </c>
      <c r="AK45" s="1275">
        <f ca="1">N(INDEX(CHOOSE(dbУчДисц[[#This Row],[код]],BAZZS[id_РД],BAZLS[id_РД],MAZZS[id_РД],MAZLS[id_РД]),dbУчДисц[[#This Row],[№]],0))</f>
        <v>0</v>
      </c>
      <c r="AL4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5" s="1383" t="str">
        <f ca="1">T(INDEX(CHOOSE(dbУчДисц[[#This Row],[код]],BAZZS[Факултет1],BAZLS[Факултет1],MAZZS[Факултет1],MAZLS[Факултет1]),dbУчДисц[[#This Row],[№]],0))</f>
        <v/>
      </c>
      <c r="AO4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5" s="931" t="s">
        <v>970</v>
      </c>
      <c r="AT45" s="955" t="s">
        <v>407</v>
      </c>
      <c r="AU45" s="950">
        <v>4</v>
      </c>
      <c r="AV45" s="981">
        <f ca="1">IF(dbУчПрактикиКР[[#This Row],[Семестър]]=OFFSET(dbУчПрактикиКР[[#This Row],[Семестър]],-1,0),N(OFFSET(dbУчПрактикиКР[[#This Row],[№]],-1,0))+1,1)</f>
        <v>3</v>
      </c>
      <c r="AW45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5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5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5" s="943" t="str">
        <f ca="1">T(INDEX(CHOOSE(dbУчПрактикиКР[[#This Row],[код]],BPZS[Вид],BPLS[Вид],MPZS[Вид],MPLS[Вид]),dbУчПрактикиКР[[#This Row],[№]],0))</f>
        <v/>
      </c>
      <c r="BA45" s="944" t="str">
        <f ca="1">T(INDEX(CHOOSE(dbУчПрактикиКР[[#This Row],[код]],BPZS[Курс],BPLS[Курс],MPZS[Курс],MPLS[Курс]),dbУчПрактикиКР[[#This Row],[№]],0))</f>
        <v/>
      </c>
      <c r="BB45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5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5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5" s="1303">
        <f ca="1">N(INDEX(CHOOSE(dbУчПрактикиКР[[#This Row],[код]],BPZS[Група],BPLS[Група],MPZS[Група],MPLS[Група]),dbУчПрактикиКР[[#This Row],[№]],0))</f>
        <v>0</v>
      </c>
      <c r="BF45" s="1308">
        <f ca="1">N(INDEX(CHOOSE(dbУчПрактикиКР[[#This Row],[код]],BPZS[Ден],BPLS[Ден],MPZS[Ден],MPLS[Ден]),dbУчПрактикиКР[[#This Row],[№]],0))</f>
        <v>0</v>
      </c>
      <c r="BG45" s="1046" t="str">
        <f ca="1">T(INDEX(CHOOSE(dbУчПрактикиКР[[#This Row],[код]],BPZS[ФормаОц],BPLS[ФормаОц],MPZS[ФормаОц],MPLS[ФормаОц]),dbУчПрактикиКР[[#This Row],[№]],0))</f>
        <v/>
      </c>
      <c r="BH45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5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45" s="1324">
        <f ca="1">N(INDEX(CHOOSE(dbУчПрактикиКР[[#This Row],[код]],BPZS[ТО],BPLS[ТО],MPZS[ТО],MPLS[ТО]),dbУчПрактикиКР[[#This Row],[№]],0))</f>
        <v>0</v>
      </c>
      <c r="BK45" s="1325">
        <f ca="1">N(INDEX(CHOOSE(dbУчПрактикиКР[[#This Row],[код]],BPZS[КР],BPLS[КР],MPZS[КР],MPLS[КР]),dbУчПрактикиКР[[#This Row],[№]],0))</f>
        <v>0</v>
      </c>
      <c r="BL45" s="1318">
        <f ca="1">IFERROR(MATCH(dbУчПрактикиКР[[#This Row],[ВидПрактика]],T_Практики[Практика и курсова работа],0),0)</f>
        <v>0</v>
      </c>
      <c r="BM45" s="1340" t="str">
        <f ca="1">IF(dbУчПрактикиКР[[#This Row],[пВидПрактика]],INDEX(T_Практики[Студенти],dbУчПрактикиКР[[#This Row],[пВидПрактика]]),"-")</f>
        <v>-</v>
      </c>
      <c r="BN45" s="1340" t="str">
        <f ca="1">IF(dbУчПрактикиКР[[#This Row],[пВидПрактика]],INDEX(T_Практики[Група],dbУчПрактикиКР[[#This Row],[пВидПрактика]])*2,"-")</f>
        <v>-</v>
      </c>
      <c r="BO45" s="1341" t="str">
        <f ca="1">IF(dbУчПрактикиКР[[#This Row],[пВидПрактика]],INDEX(T_Практики[Ден],dbУчПрактикиКР[[#This Row],[пВидПрактика]])*4,"-")</f>
        <v>-</v>
      </c>
      <c r="BP45" s="1335">
        <f ca="1">IFERROR(AND(dbУчПрактикиКР[[#This Row],[ТО]]&lt;&gt;0,dbУчПрактикиКР[[#This Row],[ФормаОб]]=0)*1,0)</f>
        <v>0</v>
      </c>
      <c r="BQ45" s="1335">
        <f ca="1">IFERROR(AND(dbУчПрактикиКР[[#This Row],[Изпитани]]&lt;&gt;0,LEN(dbУчПрактикиКР[[#This Row],[Изпитващ]])=0)*1,0)</f>
        <v>0</v>
      </c>
      <c r="BR45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5" s="1335">
        <f ca="1">IFERROR(IF(dbУчПрактикиКР[[#This Row],[ФормаОб]]=list!$A$55,Coef!$B$10,Coef!$B$9),0)</f>
        <v>0.5</v>
      </c>
      <c r="BT45" s="1343">
        <v>5</v>
      </c>
      <c r="BU45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5" s="1335">
        <f ca="1">dbУчПрактикиКР[[#This Row],[кИзпитващ]]*N(dbУчПрактикиКР[[#This Row],[Изпитани]])</f>
        <v>0</v>
      </c>
      <c r="BW45" s="1335">
        <f ca="1">N(dbУчПрактикиКР[[#This Row],[ТО]])*N(dbУчПрактикиКР[[#This Row],[кTO]])</f>
        <v>0</v>
      </c>
      <c r="BX45" s="1343">
        <f ca="1">N(dbУчПрактикиКР[[#This Row],[КР]])*dbУчПрактикиКР[[#This Row],[кКР]]</f>
        <v>0</v>
      </c>
      <c r="BY45" s="1335">
        <f ca="1">N(INDEX(CHOOSE(dbУчПрактикиКР[[#This Row],[код]],BPZS[id_РД],BPLS[id_РД],MPZS[id_РД],MPLS[id_РД]),dbУчПрактикиКР[[#This Row],[№]],0))</f>
        <v>0</v>
      </c>
      <c r="BZ45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5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5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5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46" spans="5:96" ht="16.5" x14ac:dyDescent="0.3">
      <c r="E46" s="919" t="s">
        <v>681</v>
      </c>
      <c r="F46" s="921" t="s">
        <v>407</v>
      </c>
      <c r="G46" s="666">
        <v>2</v>
      </c>
      <c r="H46" s="860">
        <f ca="1">IF(dbУчДисц[[#This Row],[Семестър]]=OFFSET(dbУчДисц[[#This Row],[Семестър]],-1,0),N(OFFSET(dbУчДисц[[#This Row],[№]],-1,0))+1,1)</f>
        <v>15</v>
      </c>
      <c r="I46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6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6" s="842" t="str">
        <f ca="1">T(INDEX(CHOOSE(dbУчДисц[[#This Row],[код]],BAZZS[Факултет],BAZLS[Факултет],MAZZS[Факултет],MAZLS[Факултет]),dbУчДисц[[#This Row],[№]],0))</f>
        <v/>
      </c>
      <c r="L46" s="265" t="str">
        <f ca="1">T(INDEX(CHOOSE(dbУчДисц[[#This Row],[код]],BAZZS[Вид],BAZLS[Вид],MAZZS[Вид],MAZLS[Вид]),dbУчДисц[[#This Row],[№]],0))</f>
        <v/>
      </c>
      <c r="M46" s="243" t="str">
        <f ca="1">T(INDEX(CHOOSE(dbУчДисц[[#This Row],[код]],BAZZS[Курс],BAZLS[Курс],MAZZS[Курс],MAZLS[Курс]),dbУчДисц[[#This Row],[№]],0))</f>
        <v/>
      </c>
      <c r="N46" s="243" t="str">
        <f ca="1">T(INDEX(CHOOSE(dbУчДисц[[#This Row],[код]],BAZZS[ФормаОб],BAZLS[ФормаОб],MAZZS[ФормаОб],MAZLS[ФормаОб]),dbУчДисц[[#This Row],[№]],0))</f>
        <v/>
      </c>
      <c r="O46" s="1253" cm="1">
        <f t="array" aca="1" ref="O46" ca="1">INDEX(CHOOSE(dbУчДисц[[#This Row],[код]],BAZZS[Студенти],BAZLS[Студенти],MAZZS[Студенти],MAZLS[Студенти]),dbУчДисц[[#This Row],[№]],0)</f>
        <v>0</v>
      </c>
      <c r="P46" s="1254" cm="1">
        <f t="array" aca="1" ref="P46" ca="1">INDEX(CHOOSE(dbУчДисц[[#This Row],[код]],BAZZS[Лекции],BAZLS[Лекции],MAZZS[Лекции],MAZLS[Лекции]),dbУчДисц[[#This Row],[№]],0)</f>
        <v>0</v>
      </c>
      <c r="Q46" s="1254" cm="1">
        <f t="array" aca="1" ref="Q46" ca="1">INDEX(CHOOSE(dbУчДисц[[#This Row],[код]],BAZZS[Упражнения],BAZLS[Упражнения],MAZZS[Упражнения],MAZLS[Упражнения]),dbУчДисц[[#This Row],[№]],0)</f>
        <v>0</v>
      </c>
      <c r="R46" s="892" t="str">
        <f ca="1">T(INDEX(CHOOSE(dbУчДисц[[#This Row],[код]],BAZZS[Език],BAZLS[Език],MAZZS[Език],MAZLS[Език]),dbУчДисц[[#This Row],[№]],0))</f>
        <v>БЕ</v>
      </c>
      <c r="S46" s="243" t="str">
        <f ca="1">T(INDEX(CHOOSE(dbУчДисц[[#This Row],[код]],BAZZS[ФормаОц],BAZLS[ФормаОц],MAZZS[ФормаОц],MAZLS[ФормаОц]),dbУчДисц[[#This Row],[№]],0))</f>
        <v/>
      </c>
      <c r="T46" s="244" t="str">
        <f ca="1">T(INDEX(CHOOSE(dbУчДисц[[#This Row],[код]],BAZZS[Изпитващ],BAZLS[Изпитващ],MAZZS[Изпитващ],MAZLS[Изпитващ]),dbУчДисц[[#This Row],[№]],0))</f>
        <v/>
      </c>
      <c r="U46" s="1254" cm="1">
        <f t="array" aca="1" ref="U46" ca="1">INDEX(CHOOSE(dbУчДисц[[#This Row],[код]],BAZZS[Изпитани],BAZLS[Изпитани],MAZZS[Изпитани],MAZLS[Изпитани]),dbУчДисц[[#This Row],[№]],0)</f>
        <v>0</v>
      </c>
      <c r="V46" s="1268" cm="1">
        <f t="array" aca="1" ref="V46" ca="1">INDEX(CHOOSE(dbУчДисц[[#This Row],[код]],BAZZS[ТО],BAZLS[ТО],MAZZS[ТО],MAZLS[ТО]),dbУчДисц[[#This Row],[№]],0)</f>
        <v>0</v>
      </c>
      <c r="W46" s="1268" cm="1">
        <f t="array" aca="1" ref="W46" ca="1">INDEX(CHOOSE(dbУчДисц[[#This Row],[код]],BAZZS[КР],BAZLS[КР],MAZZS[КР],MAZLS[КР]),dbУчДисц[[#This Row],[№]],0)</f>
        <v>0</v>
      </c>
      <c r="X4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6" s="1270">
        <f ca="1">IF(AND(dbУчДисц[[#This Row],[Изпитани]]&lt;&gt;0,dbУчДисц[[#This Row],[Изпитващ]]=0),1,0)</f>
        <v>0</v>
      </c>
      <c r="AA46" s="1271">
        <f ca="1">IFERROR(VLOOKUP(dbУчДисц[[#This Row],[Език]],Коефициент_Eзик[],2,0),0)</f>
        <v>1</v>
      </c>
      <c r="AB46" s="1272" cm="1">
        <f t="array" aca="1" ref="AB4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6" s="1273">
        <v>0.5</v>
      </c>
      <c r="AE46" s="1274">
        <v>5</v>
      </c>
      <c r="AF46" s="1271">
        <f ca="1">N(dbУчДисц[[#This Row],[Лекции]])*dbУчДисц[[#This Row],[кЕзик]]*dbУчДисц[[#This Row],[кСтуденти]]*кЛекции</f>
        <v>0</v>
      </c>
      <c r="AG46" s="1272">
        <f ca="1">N(dbУчДисц[[#This Row],[Упражнения]])*dbУчДисц[[#This Row],[кЕзик]]*dbУчДисц[[#This Row],[кСтуденти]]*кУпражнение</f>
        <v>0</v>
      </c>
      <c r="AH46" s="1272">
        <f ca="1">N(dbУчДисц[[#This Row],[Изпитани]])*dbУчДисц[[#This Row],[кИзпитващ]]</f>
        <v>0</v>
      </c>
      <c r="AI46" s="1273">
        <f ca="1">dbУчДисц[[#This Row],[ТО]]*dbУчДисц[[#This Row],[кTO]]</f>
        <v>0</v>
      </c>
      <c r="AJ46" s="1266">
        <f ca="1">dbУчДисц[[#This Row],[КР]]*dbУчДисц[[#This Row],[кКР]]</f>
        <v>0</v>
      </c>
      <c r="AK46" s="1275">
        <f ca="1">N(INDEX(CHOOSE(dbУчДисц[[#This Row],[код]],BAZZS[id_РД],BAZLS[id_РД],MAZZS[id_РД],MAZLS[id_РД]),dbУчДисц[[#This Row],[№]],0))</f>
        <v>0</v>
      </c>
      <c r="AL4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6" s="1383" t="str">
        <f ca="1">T(INDEX(CHOOSE(dbУчДисц[[#This Row],[код]],BAZZS[Факултет1],BAZLS[Факултет1],MAZZS[Факултет1],MAZLS[Факултет1]),dbУчДисц[[#This Row],[№]],0))</f>
        <v/>
      </c>
      <c r="AO4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6" s="931" t="s">
        <v>970</v>
      </c>
      <c r="AT46" s="955" t="s">
        <v>407</v>
      </c>
      <c r="AU46" s="950">
        <v>4</v>
      </c>
      <c r="AV46" s="981">
        <f ca="1">IF(dbУчПрактикиКР[[#This Row],[Семестър]]=OFFSET(dbУчПрактикиКР[[#This Row],[Семестър]],-1,0),N(OFFSET(dbУчПрактикиКР[[#This Row],[№]],-1,0))+1,1)</f>
        <v>4</v>
      </c>
      <c r="AW46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6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6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6" s="943" t="str">
        <f ca="1">T(INDEX(CHOOSE(dbУчПрактикиКР[[#This Row],[код]],BPZS[Вид],BPLS[Вид],MPZS[Вид],MPLS[Вид]),dbУчПрактикиКР[[#This Row],[№]],0))</f>
        <v/>
      </c>
      <c r="BA46" s="944" t="str">
        <f ca="1">T(INDEX(CHOOSE(dbУчПрактикиКР[[#This Row],[код]],BPZS[Курс],BPLS[Курс],MPZS[Курс],MPLS[Курс]),dbУчПрактикиКР[[#This Row],[№]],0))</f>
        <v/>
      </c>
      <c r="BB46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6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6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6" s="1303">
        <f ca="1">N(INDEX(CHOOSE(dbУчПрактикиКР[[#This Row],[код]],BPZS[Група],BPLS[Група],MPZS[Група],MPLS[Група]),dbУчПрактикиКР[[#This Row],[№]],0))</f>
        <v>0</v>
      </c>
      <c r="BF46" s="1308">
        <f ca="1">N(INDEX(CHOOSE(dbУчПрактикиКР[[#This Row],[код]],BPZS[Ден],BPLS[Ден],MPZS[Ден],MPLS[Ден]),dbУчПрактикиКР[[#This Row],[№]],0))</f>
        <v>0</v>
      </c>
      <c r="BG46" s="1046" t="str">
        <f ca="1">T(INDEX(CHOOSE(dbУчПрактикиКР[[#This Row],[код]],BPZS[ФормаОц],BPLS[ФормаОц],MPZS[ФормаОц],MPLS[ФормаОц]),dbУчПрактикиКР[[#This Row],[№]],0))</f>
        <v/>
      </c>
      <c r="BH46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6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46" s="1324">
        <f ca="1">N(INDEX(CHOOSE(dbУчПрактикиКР[[#This Row],[код]],BPZS[ТО],BPLS[ТО],MPZS[ТО],MPLS[ТО]),dbУчПрактикиКР[[#This Row],[№]],0))</f>
        <v>0</v>
      </c>
      <c r="BK46" s="1325">
        <f ca="1">N(INDEX(CHOOSE(dbУчПрактикиКР[[#This Row],[код]],BPZS[КР],BPLS[КР],MPZS[КР],MPLS[КР]),dbУчПрактикиКР[[#This Row],[№]],0))</f>
        <v>0</v>
      </c>
      <c r="BL46" s="1318">
        <f ca="1">IFERROR(MATCH(dbУчПрактикиКР[[#This Row],[ВидПрактика]],T_Практики[Практика и курсова работа],0),0)</f>
        <v>0</v>
      </c>
      <c r="BM46" s="1340" t="str">
        <f ca="1">IF(dbУчПрактикиКР[[#This Row],[пВидПрактика]],INDEX(T_Практики[Студенти],dbУчПрактикиКР[[#This Row],[пВидПрактика]]),"-")</f>
        <v>-</v>
      </c>
      <c r="BN46" s="1340" t="str">
        <f ca="1">IF(dbУчПрактикиКР[[#This Row],[пВидПрактика]],INDEX(T_Практики[Група],dbУчПрактикиКР[[#This Row],[пВидПрактика]])*2,"-")</f>
        <v>-</v>
      </c>
      <c r="BO46" s="1341" t="str">
        <f ca="1">IF(dbУчПрактикиКР[[#This Row],[пВидПрактика]],INDEX(T_Практики[Ден],dbУчПрактикиКР[[#This Row],[пВидПрактика]])*4,"-")</f>
        <v>-</v>
      </c>
      <c r="BP46" s="1335">
        <f ca="1">IFERROR(AND(dbУчПрактикиКР[[#This Row],[ТО]]&lt;&gt;0,dbУчПрактикиКР[[#This Row],[ФормаОб]]=0)*1,0)</f>
        <v>0</v>
      </c>
      <c r="BQ46" s="1335">
        <f ca="1">IFERROR(AND(dbУчПрактикиКР[[#This Row],[Изпитани]]&lt;&gt;0,LEN(dbУчПрактикиКР[[#This Row],[Изпитващ]])=0)*1,0)</f>
        <v>0</v>
      </c>
      <c r="BR46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6" s="1335">
        <f ca="1">IFERROR(IF(dbУчПрактикиКР[[#This Row],[ФормаОб]]=list!$A$55,Coef!$B$10,Coef!$B$9),0)</f>
        <v>0.5</v>
      </c>
      <c r="BT46" s="1343">
        <v>5</v>
      </c>
      <c r="BU46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6" s="1335">
        <f ca="1">dbУчПрактикиКР[[#This Row],[кИзпитващ]]*N(dbУчПрактикиКР[[#This Row],[Изпитани]])</f>
        <v>0</v>
      </c>
      <c r="BW46" s="1335">
        <f ca="1">N(dbУчПрактикиКР[[#This Row],[ТО]])*N(dbУчПрактикиКР[[#This Row],[кTO]])</f>
        <v>0</v>
      </c>
      <c r="BX46" s="1343">
        <f ca="1">N(dbУчПрактикиКР[[#This Row],[КР]])*dbУчПрактикиКР[[#This Row],[кКР]]</f>
        <v>0</v>
      </c>
      <c r="BY46" s="1335">
        <f ca="1">N(INDEX(CHOOSE(dbУчПрактикиКР[[#This Row],[код]],BPZS[id_РД],BPLS[id_РД],MPZS[id_РД],MPLS[id_РД]),dbУчПрактикиКР[[#This Row],[№]],0))</f>
        <v>0</v>
      </c>
      <c r="BZ46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6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6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6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47" spans="5:96" ht="16.5" x14ac:dyDescent="0.3">
      <c r="E47" s="919" t="s">
        <v>681</v>
      </c>
      <c r="F47" s="921" t="s">
        <v>407</v>
      </c>
      <c r="G47" s="666">
        <v>2</v>
      </c>
      <c r="H47" s="860">
        <f ca="1">IF(dbУчДисц[[#This Row],[Семестър]]=OFFSET(dbУчДисц[[#This Row],[Семестър]],-1,0),N(OFFSET(dbУчДисц[[#This Row],[№]],-1,0))+1,1)</f>
        <v>16</v>
      </c>
      <c r="I47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7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7" s="842" t="str">
        <f ca="1">T(INDEX(CHOOSE(dbУчДисц[[#This Row],[код]],BAZZS[Факултет],BAZLS[Факултет],MAZZS[Факултет],MAZLS[Факултет]),dbУчДисц[[#This Row],[№]],0))</f>
        <v/>
      </c>
      <c r="L47" s="265" t="str">
        <f ca="1">T(INDEX(CHOOSE(dbУчДисц[[#This Row],[код]],BAZZS[Вид],BAZLS[Вид],MAZZS[Вид],MAZLS[Вид]),dbУчДисц[[#This Row],[№]],0))</f>
        <v/>
      </c>
      <c r="M47" s="243" t="str">
        <f ca="1">T(INDEX(CHOOSE(dbУчДисц[[#This Row],[код]],BAZZS[Курс],BAZLS[Курс],MAZZS[Курс],MAZLS[Курс]),dbУчДисц[[#This Row],[№]],0))</f>
        <v/>
      </c>
      <c r="N47" s="243" t="str">
        <f ca="1">T(INDEX(CHOOSE(dbУчДисц[[#This Row],[код]],BAZZS[ФормаОб],BAZLS[ФормаОб],MAZZS[ФормаОб],MAZLS[ФормаОб]),dbУчДисц[[#This Row],[№]],0))</f>
        <v/>
      </c>
      <c r="O47" s="1253" cm="1">
        <f t="array" aca="1" ref="O47" ca="1">INDEX(CHOOSE(dbУчДисц[[#This Row],[код]],BAZZS[Студенти],BAZLS[Студенти],MAZZS[Студенти],MAZLS[Студенти]),dbУчДисц[[#This Row],[№]],0)</f>
        <v>0</v>
      </c>
      <c r="P47" s="1254" cm="1">
        <f t="array" aca="1" ref="P47" ca="1">INDEX(CHOOSE(dbУчДисц[[#This Row],[код]],BAZZS[Лекции],BAZLS[Лекции],MAZZS[Лекции],MAZLS[Лекции]),dbУчДисц[[#This Row],[№]],0)</f>
        <v>0</v>
      </c>
      <c r="Q47" s="1254" cm="1">
        <f t="array" aca="1" ref="Q47" ca="1">INDEX(CHOOSE(dbУчДисц[[#This Row],[код]],BAZZS[Упражнения],BAZLS[Упражнения],MAZZS[Упражнения],MAZLS[Упражнения]),dbУчДисц[[#This Row],[№]],0)</f>
        <v>0</v>
      </c>
      <c r="R47" s="892" t="str">
        <f ca="1">T(INDEX(CHOOSE(dbУчДисц[[#This Row],[код]],BAZZS[Език],BAZLS[Език],MAZZS[Език],MAZLS[Език]),dbУчДисц[[#This Row],[№]],0))</f>
        <v>БЕ</v>
      </c>
      <c r="S47" s="243" t="str">
        <f ca="1">T(INDEX(CHOOSE(dbУчДисц[[#This Row],[код]],BAZZS[ФормаОц],BAZLS[ФормаОц],MAZZS[ФормаОц],MAZLS[ФормаОц]),dbУчДисц[[#This Row],[№]],0))</f>
        <v/>
      </c>
      <c r="T47" s="244" t="str">
        <f ca="1">T(INDEX(CHOOSE(dbУчДисц[[#This Row],[код]],BAZZS[Изпитващ],BAZLS[Изпитващ],MAZZS[Изпитващ],MAZLS[Изпитващ]),dbУчДисц[[#This Row],[№]],0))</f>
        <v/>
      </c>
      <c r="U47" s="1254" cm="1">
        <f t="array" aca="1" ref="U47" ca="1">INDEX(CHOOSE(dbУчДисц[[#This Row],[код]],BAZZS[Изпитани],BAZLS[Изпитани],MAZZS[Изпитани],MAZLS[Изпитани]),dbУчДисц[[#This Row],[№]],0)</f>
        <v>0</v>
      </c>
      <c r="V47" s="1268" cm="1">
        <f t="array" aca="1" ref="V47" ca="1">INDEX(CHOOSE(dbУчДисц[[#This Row],[код]],BAZZS[ТО],BAZLS[ТО],MAZZS[ТО],MAZLS[ТО]),dbУчДисц[[#This Row],[№]],0)</f>
        <v>0</v>
      </c>
      <c r="W47" s="1268" cm="1">
        <f t="array" aca="1" ref="W47" ca="1">INDEX(CHOOSE(dbУчДисц[[#This Row],[код]],BAZZS[КР],BAZLS[КР],MAZZS[КР],MAZLS[КР]),dbУчДисц[[#This Row],[№]],0)</f>
        <v>0</v>
      </c>
      <c r="X4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7" s="1270">
        <f ca="1">IF(AND(dbУчДисц[[#This Row],[Изпитани]]&lt;&gt;0,dbУчДисц[[#This Row],[Изпитващ]]=0),1,0)</f>
        <v>0</v>
      </c>
      <c r="AA47" s="1271">
        <f ca="1">IFERROR(VLOOKUP(dbУчДисц[[#This Row],[Език]],Коефициент_Eзик[],2,0),0)</f>
        <v>1</v>
      </c>
      <c r="AB47" s="1272" cm="1">
        <f t="array" aca="1" ref="AB4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7" s="1273">
        <v>0.5</v>
      </c>
      <c r="AE47" s="1274">
        <v>5</v>
      </c>
      <c r="AF47" s="1271">
        <f ca="1">N(dbУчДисц[[#This Row],[Лекции]])*dbУчДисц[[#This Row],[кЕзик]]*dbУчДисц[[#This Row],[кСтуденти]]*кЛекции</f>
        <v>0</v>
      </c>
      <c r="AG47" s="1272">
        <f ca="1">N(dbУчДисц[[#This Row],[Упражнения]])*dbУчДисц[[#This Row],[кЕзик]]*dbУчДисц[[#This Row],[кСтуденти]]*кУпражнение</f>
        <v>0</v>
      </c>
      <c r="AH47" s="1272">
        <f ca="1">N(dbУчДисц[[#This Row],[Изпитани]])*dbУчДисц[[#This Row],[кИзпитващ]]</f>
        <v>0</v>
      </c>
      <c r="AI47" s="1273">
        <f ca="1">dbУчДисц[[#This Row],[ТО]]*dbУчДисц[[#This Row],[кTO]]</f>
        <v>0</v>
      </c>
      <c r="AJ47" s="1266">
        <f ca="1">dbУчДисц[[#This Row],[КР]]*dbУчДисц[[#This Row],[кКР]]</f>
        <v>0</v>
      </c>
      <c r="AK47" s="1275">
        <f ca="1">N(INDEX(CHOOSE(dbУчДисц[[#This Row],[код]],BAZZS[id_РД],BAZLS[id_РД],MAZZS[id_РД],MAZLS[id_РД]),dbУчДисц[[#This Row],[№]],0))</f>
        <v>0</v>
      </c>
      <c r="AL4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7" s="1383" t="str">
        <f ca="1">T(INDEX(CHOOSE(dbУчДисц[[#This Row],[код]],BAZZS[Факултет1],BAZLS[Факултет1],MAZZS[Факултет1],MAZLS[Факултет1]),dbУчДисц[[#This Row],[№]],0))</f>
        <v/>
      </c>
      <c r="AO4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7" s="931" t="s">
        <v>970</v>
      </c>
      <c r="AT47" s="955" t="s">
        <v>407</v>
      </c>
      <c r="AU47" s="950">
        <v>4</v>
      </c>
      <c r="AV47" s="981">
        <f ca="1">IF(dbУчПрактикиКР[[#This Row],[Семестър]]=OFFSET(dbУчПрактикиКР[[#This Row],[Семестър]],-1,0),N(OFFSET(dbУчПрактикиКР[[#This Row],[№]],-1,0))+1,1)</f>
        <v>5</v>
      </c>
      <c r="AW47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7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7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7" s="943" t="str">
        <f ca="1">T(INDEX(CHOOSE(dbУчПрактикиКР[[#This Row],[код]],BPZS[Вид],BPLS[Вид],MPZS[Вид],MPLS[Вид]),dbУчПрактикиКР[[#This Row],[№]],0))</f>
        <v/>
      </c>
      <c r="BA47" s="944" t="str">
        <f ca="1">T(INDEX(CHOOSE(dbУчПрактикиКР[[#This Row],[код]],BPZS[Курс],BPLS[Курс],MPZS[Курс],MPLS[Курс]),dbУчПрактикиКР[[#This Row],[№]],0))</f>
        <v/>
      </c>
      <c r="BB47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7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7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7" s="1303">
        <f ca="1">N(INDEX(CHOOSE(dbУчПрактикиКР[[#This Row],[код]],BPZS[Група],BPLS[Група],MPZS[Група],MPLS[Група]),dbУчПрактикиКР[[#This Row],[№]],0))</f>
        <v>0</v>
      </c>
      <c r="BF47" s="1308">
        <f ca="1">N(INDEX(CHOOSE(dbУчПрактикиКР[[#This Row],[код]],BPZS[Ден],BPLS[Ден],MPZS[Ден],MPLS[Ден]),dbУчПрактикиКР[[#This Row],[№]],0))</f>
        <v>0</v>
      </c>
      <c r="BG47" s="1046" t="str">
        <f ca="1">T(INDEX(CHOOSE(dbУчПрактикиКР[[#This Row],[код]],BPZS[ФормаОц],BPLS[ФормаОц],MPZS[ФормаОц],MPLS[ФормаОц]),dbУчПрактикиКР[[#This Row],[№]],0))</f>
        <v/>
      </c>
      <c r="BH47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7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47" s="1324">
        <f ca="1">N(INDEX(CHOOSE(dbУчПрактикиКР[[#This Row],[код]],BPZS[ТО],BPLS[ТО],MPZS[ТО],MPLS[ТО]),dbУчПрактикиКР[[#This Row],[№]],0))</f>
        <v>0</v>
      </c>
      <c r="BK47" s="1325">
        <f ca="1">N(INDEX(CHOOSE(dbУчПрактикиКР[[#This Row],[код]],BPZS[КР],BPLS[КР],MPZS[КР],MPLS[КР]),dbУчПрактикиКР[[#This Row],[№]],0))</f>
        <v>0</v>
      </c>
      <c r="BL47" s="1318">
        <f ca="1">IFERROR(MATCH(dbУчПрактикиКР[[#This Row],[ВидПрактика]],T_Практики[Практика и курсова работа],0),0)</f>
        <v>0</v>
      </c>
      <c r="BM47" s="1340" t="str">
        <f ca="1">IF(dbУчПрактикиКР[[#This Row],[пВидПрактика]],INDEX(T_Практики[Студенти],dbУчПрактикиКР[[#This Row],[пВидПрактика]]),"-")</f>
        <v>-</v>
      </c>
      <c r="BN47" s="1340" t="str">
        <f ca="1">IF(dbУчПрактикиКР[[#This Row],[пВидПрактика]],INDEX(T_Практики[Група],dbУчПрактикиКР[[#This Row],[пВидПрактика]])*2,"-")</f>
        <v>-</v>
      </c>
      <c r="BO47" s="1341" t="str">
        <f ca="1">IF(dbУчПрактикиКР[[#This Row],[пВидПрактика]],INDEX(T_Практики[Ден],dbУчПрактикиКР[[#This Row],[пВидПрактика]])*4,"-")</f>
        <v>-</v>
      </c>
      <c r="BP47" s="1335">
        <f ca="1">IFERROR(AND(dbУчПрактикиКР[[#This Row],[ТО]]&lt;&gt;0,dbУчПрактикиКР[[#This Row],[ФормаОб]]=0)*1,0)</f>
        <v>0</v>
      </c>
      <c r="BQ47" s="1335">
        <f ca="1">IFERROR(AND(dbУчПрактикиКР[[#This Row],[Изпитани]]&lt;&gt;0,LEN(dbУчПрактикиКР[[#This Row],[Изпитващ]])=0)*1,0)</f>
        <v>0</v>
      </c>
      <c r="BR47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7" s="1335">
        <f ca="1">IFERROR(IF(dbУчПрактикиКР[[#This Row],[ФормаОб]]=list!$A$55,Coef!$B$10,Coef!$B$9),0)</f>
        <v>0.5</v>
      </c>
      <c r="BT47" s="1343">
        <v>5</v>
      </c>
      <c r="BU47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7" s="1335">
        <f ca="1">dbУчПрактикиКР[[#This Row],[кИзпитващ]]*N(dbУчПрактикиКР[[#This Row],[Изпитани]])</f>
        <v>0</v>
      </c>
      <c r="BW47" s="1335">
        <f ca="1">N(dbУчПрактикиКР[[#This Row],[ТО]])*N(dbУчПрактикиКР[[#This Row],[кTO]])</f>
        <v>0</v>
      </c>
      <c r="BX47" s="1343">
        <f ca="1">N(dbУчПрактикиКР[[#This Row],[КР]])*dbУчПрактикиКР[[#This Row],[кКР]]</f>
        <v>0</v>
      </c>
      <c r="BY47" s="1335">
        <f ca="1">N(INDEX(CHOOSE(dbУчПрактикиКР[[#This Row],[код]],BPZS[id_РД],BPLS[id_РД],MPZS[id_РД],MPLS[id_РД]),dbУчПрактикиКР[[#This Row],[№]],0))</f>
        <v>0</v>
      </c>
      <c r="BZ47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7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7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7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48" spans="5:96" ht="16.5" x14ac:dyDescent="0.3">
      <c r="E48" s="919" t="s">
        <v>681</v>
      </c>
      <c r="F48" s="921" t="s">
        <v>407</v>
      </c>
      <c r="G48" s="666">
        <v>2</v>
      </c>
      <c r="H48" s="860">
        <f ca="1">IF(dbУчДисц[[#This Row],[Семестър]]=OFFSET(dbУчДисц[[#This Row],[Семестър]],-1,0),N(OFFSET(dbУчДисц[[#This Row],[№]],-1,0))+1,1)</f>
        <v>17</v>
      </c>
      <c r="I48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8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8" s="842" t="str">
        <f ca="1">T(INDEX(CHOOSE(dbУчДисц[[#This Row],[код]],BAZZS[Факултет],BAZLS[Факултет],MAZZS[Факултет],MAZLS[Факултет]),dbУчДисц[[#This Row],[№]],0))</f>
        <v/>
      </c>
      <c r="L48" s="265" t="str">
        <f ca="1">T(INDEX(CHOOSE(dbУчДисц[[#This Row],[код]],BAZZS[Вид],BAZLS[Вид],MAZZS[Вид],MAZLS[Вид]),dbУчДисц[[#This Row],[№]],0))</f>
        <v/>
      </c>
      <c r="M48" s="243" t="str">
        <f ca="1">T(INDEX(CHOOSE(dbУчДисц[[#This Row],[код]],BAZZS[Курс],BAZLS[Курс],MAZZS[Курс],MAZLS[Курс]),dbУчДисц[[#This Row],[№]],0))</f>
        <v/>
      </c>
      <c r="N48" s="243" t="str">
        <f ca="1">T(INDEX(CHOOSE(dbУчДисц[[#This Row],[код]],BAZZS[ФормаОб],BAZLS[ФормаОб],MAZZS[ФормаОб],MAZLS[ФормаОб]),dbУчДисц[[#This Row],[№]],0))</f>
        <v/>
      </c>
      <c r="O48" s="1253" cm="1">
        <f t="array" aca="1" ref="O48" ca="1">INDEX(CHOOSE(dbУчДисц[[#This Row],[код]],BAZZS[Студенти],BAZLS[Студенти],MAZZS[Студенти],MAZLS[Студенти]),dbУчДисц[[#This Row],[№]],0)</f>
        <v>0</v>
      </c>
      <c r="P48" s="1254" cm="1">
        <f t="array" aca="1" ref="P48" ca="1">INDEX(CHOOSE(dbУчДисц[[#This Row],[код]],BAZZS[Лекции],BAZLS[Лекции],MAZZS[Лекции],MAZLS[Лекции]),dbУчДисц[[#This Row],[№]],0)</f>
        <v>0</v>
      </c>
      <c r="Q48" s="1254" cm="1">
        <f t="array" aca="1" ref="Q48" ca="1">INDEX(CHOOSE(dbУчДисц[[#This Row],[код]],BAZZS[Упражнения],BAZLS[Упражнения],MAZZS[Упражнения],MAZLS[Упражнения]),dbУчДисц[[#This Row],[№]],0)</f>
        <v>0</v>
      </c>
      <c r="R48" s="892" t="str">
        <f ca="1">T(INDEX(CHOOSE(dbУчДисц[[#This Row],[код]],BAZZS[Език],BAZLS[Език],MAZZS[Език],MAZLS[Език]),dbУчДисц[[#This Row],[№]],0))</f>
        <v>БЕ</v>
      </c>
      <c r="S48" s="243" t="str">
        <f ca="1">T(INDEX(CHOOSE(dbУчДисц[[#This Row],[код]],BAZZS[ФормаОц],BAZLS[ФормаОц],MAZZS[ФормаОц],MAZLS[ФормаОц]),dbУчДисц[[#This Row],[№]],0))</f>
        <v/>
      </c>
      <c r="T48" s="244" t="str">
        <f ca="1">T(INDEX(CHOOSE(dbУчДисц[[#This Row],[код]],BAZZS[Изпитващ],BAZLS[Изпитващ],MAZZS[Изпитващ],MAZLS[Изпитващ]),dbУчДисц[[#This Row],[№]],0))</f>
        <v/>
      </c>
      <c r="U48" s="1254" cm="1">
        <f t="array" aca="1" ref="U48" ca="1">INDEX(CHOOSE(dbУчДисц[[#This Row],[код]],BAZZS[Изпитани],BAZLS[Изпитани],MAZZS[Изпитани],MAZLS[Изпитани]),dbУчДисц[[#This Row],[№]],0)</f>
        <v>0</v>
      </c>
      <c r="V48" s="1268" cm="1">
        <f t="array" aca="1" ref="V48" ca="1">INDEX(CHOOSE(dbУчДисц[[#This Row],[код]],BAZZS[ТО],BAZLS[ТО],MAZZS[ТО],MAZLS[ТО]),dbУчДисц[[#This Row],[№]],0)</f>
        <v>0</v>
      </c>
      <c r="W48" s="1268" cm="1">
        <f t="array" aca="1" ref="W48" ca="1">INDEX(CHOOSE(dbУчДисц[[#This Row],[код]],BAZZS[КР],BAZLS[КР],MAZZS[КР],MAZLS[КР]),dbУчДисц[[#This Row],[№]],0)</f>
        <v>0</v>
      </c>
      <c r="X4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8" s="1270">
        <f ca="1">IF(AND(dbУчДисц[[#This Row],[Изпитани]]&lt;&gt;0,dbУчДисц[[#This Row],[Изпитващ]]=0),1,0)</f>
        <v>0</v>
      </c>
      <c r="AA48" s="1271">
        <f ca="1">IFERROR(VLOOKUP(dbУчДисц[[#This Row],[Език]],Коефициент_Eзик[],2,0),0)</f>
        <v>1</v>
      </c>
      <c r="AB48" s="1272" cm="1">
        <f t="array" aca="1" ref="AB4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8" s="1273">
        <v>0.5</v>
      </c>
      <c r="AE48" s="1274">
        <v>5</v>
      </c>
      <c r="AF48" s="1271">
        <f ca="1">N(dbУчДисц[[#This Row],[Лекции]])*dbУчДисц[[#This Row],[кЕзик]]*dbУчДисц[[#This Row],[кСтуденти]]*кЛекции</f>
        <v>0</v>
      </c>
      <c r="AG48" s="1272">
        <f ca="1">N(dbУчДисц[[#This Row],[Упражнения]])*dbУчДисц[[#This Row],[кЕзик]]*dbУчДисц[[#This Row],[кСтуденти]]*кУпражнение</f>
        <v>0</v>
      </c>
      <c r="AH48" s="1272">
        <f ca="1">N(dbУчДисц[[#This Row],[Изпитани]])*dbУчДисц[[#This Row],[кИзпитващ]]</f>
        <v>0</v>
      </c>
      <c r="AI48" s="1273">
        <f ca="1">dbУчДисц[[#This Row],[ТО]]*dbУчДисц[[#This Row],[кTO]]</f>
        <v>0</v>
      </c>
      <c r="AJ48" s="1266">
        <f ca="1">dbУчДисц[[#This Row],[КР]]*dbУчДисц[[#This Row],[кКР]]</f>
        <v>0</v>
      </c>
      <c r="AK48" s="1275">
        <f ca="1">N(INDEX(CHOOSE(dbУчДисц[[#This Row],[код]],BAZZS[id_РД],BAZLS[id_РД],MAZZS[id_РД],MAZLS[id_РД]),dbУчДисц[[#This Row],[№]],0))</f>
        <v>0</v>
      </c>
      <c r="AL4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8" s="1383" t="str">
        <f ca="1">T(INDEX(CHOOSE(dbУчДисц[[#This Row],[код]],BAZZS[Факултет1],BAZLS[Факултет1],MAZZS[Факултет1],MAZLS[Факултет1]),dbУчДисц[[#This Row],[№]],0))</f>
        <v/>
      </c>
      <c r="AO4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8" s="931" t="s">
        <v>970</v>
      </c>
      <c r="AT48" s="955" t="s">
        <v>407</v>
      </c>
      <c r="AU48" s="950">
        <v>4</v>
      </c>
      <c r="AV48" s="981">
        <f ca="1">IF(dbУчПрактикиКР[[#This Row],[Семестър]]=OFFSET(dbУчПрактикиКР[[#This Row],[Семестър]],-1,0),N(OFFSET(dbУчПрактикиКР[[#This Row],[№]],-1,0))+1,1)</f>
        <v>6</v>
      </c>
      <c r="AW48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8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8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8" s="943" t="str">
        <f ca="1">T(INDEX(CHOOSE(dbУчПрактикиКР[[#This Row],[код]],BPZS[Вид],BPLS[Вид],MPZS[Вид],MPLS[Вид]),dbУчПрактикиКР[[#This Row],[№]],0))</f>
        <v/>
      </c>
      <c r="BA48" s="944" t="str">
        <f ca="1">T(INDEX(CHOOSE(dbУчПрактикиКР[[#This Row],[код]],BPZS[Курс],BPLS[Курс],MPZS[Курс],MPLS[Курс]),dbУчПрактикиКР[[#This Row],[№]],0))</f>
        <v/>
      </c>
      <c r="BB48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8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8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8" s="1303">
        <f ca="1">N(INDEX(CHOOSE(dbУчПрактикиКР[[#This Row],[код]],BPZS[Група],BPLS[Група],MPZS[Група],MPLS[Група]),dbУчПрактикиКР[[#This Row],[№]],0))</f>
        <v>0</v>
      </c>
      <c r="BF48" s="1308">
        <f ca="1">N(INDEX(CHOOSE(dbУчПрактикиКР[[#This Row],[код]],BPZS[Ден],BPLS[Ден],MPZS[Ден],MPLS[Ден]),dbУчПрактикиКР[[#This Row],[№]],0))</f>
        <v>0</v>
      </c>
      <c r="BG48" s="1046" t="str">
        <f ca="1">T(INDEX(CHOOSE(dbУчПрактикиКР[[#This Row],[код]],BPZS[ФормаОц],BPLS[ФормаОц],MPZS[ФормаОц],MPLS[ФормаОц]),dbУчПрактикиКР[[#This Row],[№]],0))</f>
        <v/>
      </c>
      <c r="BH48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8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48" s="1324">
        <f ca="1">N(INDEX(CHOOSE(dbУчПрактикиКР[[#This Row],[код]],BPZS[ТО],BPLS[ТО],MPZS[ТО],MPLS[ТО]),dbУчПрактикиКР[[#This Row],[№]],0))</f>
        <v>0</v>
      </c>
      <c r="BK48" s="1325">
        <f ca="1">N(INDEX(CHOOSE(dbУчПрактикиКР[[#This Row],[код]],BPZS[КР],BPLS[КР],MPZS[КР],MPLS[КР]),dbУчПрактикиКР[[#This Row],[№]],0))</f>
        <v>0</v>
      </c>
      <c r="BL48" s="1318">
        <f ca="1">IFERROR(MATCH(dbУчПрактикиКР[[#This Row],[ВидПрактика]],T_Практики[Практика и курсова работа],0),0)</f>
        <v>0</v>
      </c>
      <c r="BM48" s="1340" t="str">
        <f ca="1">IF(dbУчПрактикиКР[[#This Row],[пВидПрактика]],INDEX(T_Практики[Студенти],dbУчПрактикиКР[[#This Row],[пВидПрактика]]),"-")</f>
        <v>-</v>
      </c>
      <c r="BN48" s="1340" t="str">
        <f ca="1">IF(dbУчПрактикиКР[[#This Row],[пВидПрактика]],INDEX(T_Практики[Група],dbУчПрактикиКР[[#This Row],[пВидПрактика]])*2,"-")</f>
        <v>-</v>
      </c>
      <c r="BO48" s="1341" t="str">
        <f ca="1">IF(dbУчПрактикиКР[[#This Row],[пВидПрактика]],INDEX(T_Практики[Ден],dbУчПрактикиКР[[#This Row],[пВидПрактика]])*4,"-")</f>
        <v>-</v>
      </c>
      <c r="BP48" s="1335">
        <f ca="1">IFERROR(AND(dbУчПрактикиКР[[#This Row],[ТО]]&lt;&gt;0,dbУчПрактикиКР[[#This Row],[ФормаОб]]=0)*1,0)</f>
        <v>0</v>
      </c>
      <c r="BQ48" s="1335">
        <f ca="1">IFERROR(AND(dbУчПрактикиКР[[#This Row],[Изпитани]]&lt;&gt;0,LEN(dbУчПрактикиКР[[#This Row],[Изпитващ]])=0)*1,0)</f>
        <v>0</v>
      </c>
      <c r="BR48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8" s="1335">
        <f ca="1">IFERROR(IF(dbУчПрактикиКР[[#This Row],[ФормаОб]]=list!$A$55,Coef!$B$10,Coef!$B$9),0)</f>
        <v>0.5</v>
      </c>
      <c r="BT48" s="1343">
        <v>5</v>
      </c>
      <c r="BU48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8" s="1335">
        <f ca="1">dbУчПрактикиКР[[#This Row],[кИзпитващ]]*N(dbУчПрактикиКР[[#This Row],[Изпитани]])</f>
        <v>0</v>
      </c>
      <c r="BW48" s="1335">
        <f ca="1">N(dbУчПрактикиКР[[#This Row],[ТО]])*N(dbУчПрактикиКР[[#This Row],[кTO]])</f>
        <v>0</v>
      </c>
      <c r="BX48" s="1343">
        <f ca="1">N(dbУчПрактикиКР[[#This Row],[КР]])*dbУчПрактикиКР[[#This Row],[кКР]]</f>
        <v>0</v>
      </c>
      <c r="BY48" s="1335">
        <f ca="1">N(INDEX(CHOOSE(dbУчПрактикиКР[[#This Row],[код]],BPZS[id_РД],BPLS[id_РД],MPZS[id_РД],MPLS[id_РД]),dbУчПрактикиКР[[#This Row],[№]],0))</f>
        <v>0</v>
      </c>
      <c r="BZ48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8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8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8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49" spans="5:81" ht="16.5" x14ac:dyDescent="0.3">
      <c r="E49" s="919" t="s">
        <v>681</v>
      </c>
      <c r="F49" s="921" t="s">
        <v>407</v>
      </c>
      <c r="G49" s="666">
        <v>2</v>
      </c>
      <c r="H49" s="860">
        <f ca="1">IF(dbУчДисц[[#This Row],[Семестър]]=OFFSET(dbУчДисц[[#This Row],[Семестър]],-1,0),N(OFFSET(dbУчДисц[[#This Row],[№]],-1,0))+1,1)</f>
        <v>18</v>
      </c>
      <c r="I49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49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49" s="842" t="str">
        <f ca="1">T(INDEX(CHOOSE(dbУчДисц[[#This Row],[код]],BAZZS[Факултет],BAZLS[Факултет],MAZZS[Факултет],MAZLS[Факултет]),dbУчДисц[[#This Row],[№]],0))</f>
        <v/>
      </c>
      <c r="L49" s="265" t="str">
        <f ca="1">T(INDEX(CHOOSE(dbУчДисц[[#This Row],[код]],BAZZS[Вид],BAZLS[Вид],MAZZS[Вид],MAZLS[Вид]),dbУчДисц[[#This Row],[№]],0))</f>
        <v/>
      </c>
      <c r="M49" s="243" t="str">
        <f ca="1">T(INDEX(CHOOSE(dbУчДисц[[#This Row],[код]],BAZZS[Курс],BAZLS[Курс],MAZZS[Курс],MAZLS[Курс]),dbУчДисц[[#This Row],[№]],0))</f>
        <v/>
      </c>
      <c r="N49" s="243" t="str">
        <f ca="1">T(INDEX(CHOOSE(dbУчДисц[[#This Row],[код]],BAZZS[ФормаОб],BAZLS[ФормаОб],MAZZS[ФормаОб],MAZLS[ФормаОб]),dbУчДисц[[#This Row],[№]],0))</f>
        <v/>
      </c>
      <c r="O49" s="1253" cm="1">
        <f t="array" aca="1" ref="O49" ca="1">INDEX(CHOOSE(dbУчДисц[[#This Row],[код]],BAZZS[Студенти],BAZLS[Студенти],MAZZS[Студенти],MAZLS[Студенти]),dbУчДисц[[#This Row],[№]],0)</f>
        <v>0</v>
      </c>
      <c r="P49" s="1254" cm="1">
        <f t="array" aca="1" ref="P49" ca="1">INDEX(CHOOSE(dbУчДисц[[#This Row],[код]],BAZZS[Лекции],BAZLS[Лекции],MAZZS[Лекции],MAZLS[Лекции]),dbУчДисц[[#This Row],[№]],0)</f>
        <v>0</v>
      </c>
      <c r="Q49" s="1254" cm="1">
        <f t="array" aca="1" ref="Q49" ca="1">INDEX(CHOOSE(dbУчДисц[[#This Row],[код]],BAZZS[Упражнения],BAZLS[Упражнения],MAZZS[Упражнения],MAZLS[Упражнения]),dbУчДисц[[#This Row],[№]],0)</f>
        <v>0</v>
      </c>
      <c r="R49" s="892" t="str">
        <f ca="1">T(INDEX(CHOOSE(dbУчДисц[[#This Row],[код]],BAZZS[Език],BAZLS[Език],MAZZS[Език],MAZLS[Език]),dbУчДисц[[#This Row],[№]],0))</f>
        <v>БЕ</v>
      </c>
      <c r="S49" s="243" t="str">
        <f ca="1">T(INDEX(CHOOSE(dbУчДисц[[#This Row],[код]],BAZZS[ФормаОц],BAZLS[ФормаОц],MAZZS[ФормаОц],MAZLS[ФормаОц]),dbУчДисц[[#This Row],[№]],0))</f>
        <v/>
      </c>
      <c r="T49" s="244" t="str">
        <f ca="1">T(INDEX(CHOOSE(dbУчДисц[[#This Row],[код]],BAZZS[Изпитващ],BAZLS[Изпитващ],MAZZS[Изпитващ],MAZLS[Изпитващ]),dbУчДисц[[#This Row],[№]],0))</f>
        <v/>
      </c>
      <c r="U49" s="1254" cm="1">
        <f t="array" aca="1" ref="U49" ca="1">INDEX(CHOOSE(dbУчДисц[[#This Row],[код]],BAZZS[Изпитани],BAZLS[Изпитани],MAZZS[Изпитани],MAZLS[Изпитани]),dbУчДисц[[#This Row],[№]],0)</f>
        <v>0</v>
      </c>
      <c r="V49" s="1268" cm="1">
        <f t="array" aca="1" ref="V49" ca="1">INDEX(CHOOSE(dbУчДисц[[#This Row],[код]],BAZZS[ТО],BAZLS[ТО],MAZZS[ТО],MAZLS[ТО]),dbУчДисц[[#This Row],[№]],0)</f>
        <v>0</v>
      </c>
      <c r="W49" s="1268" cm="1">
        <f t="array" aca="1" ref="W49" ca="1">INDEX(CHOOSE(dbУчДисц[[#This Row],[код]],BAZZS[КР],BAZLS[КР],MAZZS[КР],MAZLS[КР]),dbУчДисц[[#This Row],[№]],0)</f>
        <v>0</v>
      </c>
      <c r="X49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49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49" s="1270">
        <f ca="1">IF(AND(dbУчДисц[[#This Row],[Изпитани]]&lt;&gt;0,dbУчДисц[[#This Row],[Изпитващ]]=0),1,0)</f>
        <v>0</v>
      </c>
      <c r="AA49" s="1271">
        <f ca="1">IFERROR(VLOOKUP(dbУчДисц[[#This Row],[Език]],Коефициент_Eзик[],2,0),0)</f>
        <v>1</v>
      </c>
      <c r="AB49" s="1272" cm="1">
        <f t="array" aca="1" ref="AB4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49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49" s="1273">
        <v>0.5</v>
      </c>
      <c r="AE49" s="1274">
        <v>5</v>
      </c>
      <c r="AF49" s="1271">
        <f ca="1">N(dbУчДисц[[#This Row],[Лекции]])*dbУчДисц[[#This Row],[кЕзик]]*dbУчДисц[[#This Row],[кСтуденти]]*кЛекции</f>
        <v>0</v>
      </c>
      <c r="AG49" s="1272">
        <f ca="1">N(dbУчДисц[[#This Row],[Упражнения]])*dbУчДисц[[#This Row],[кЕзик]]*dbУчДисц[[#This Row],[кСтуденти]]*кУпражнение</f>
        <v>0</v>
      </c>
      <c r="AH49" s="1272">
        <f ca="1">N(dbУчДисц[[#This Row],[Изпитани]])*dbУчДисц[[#This Row],[кИзпитващ]]</f>
        <v>0</v>
      </c>
      <c r="AI49" s="1273">
        <f ca="1">dbУчДисц[[#This Row],[ТО]]*dbУчДисц[[#This Row],[кTO]]</f>
        <v>0</v>
      </c>
      <c r="AJ49" s="1266">
        <f ca="1">dbУчДисц[[#This Row],[КР]]*dbУчДисц[[#This Row],[кКР]]</f>
        <v>0</v>
      </c>
      <c r="AK49" s="1275">
        <f ca="1">N(INDEX(CHOOSE(dbУчДисц[[#This Row],[код]],BAZZS[id_РД],BAZLS[id_РД],MAZZS[id_РД],MAZLS[id_РД]),dbУчДисц[[#This Row],[№]],0))</f>
        <v>0</v>
      </c>
      <c r="AL49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49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49" s="1383" t="str">
        <f ca="1">T(INDEX(CHOOSE(dbУчДисц[[#This Row],[код]],BAZZS[Факултет1],BAZLS[Факултет1],MAZZS[Факултет1],MAZLS[Факултет1]),dbУчДисц[[#This Row],[№]],0))</f>
        <v/>
      </c>
      <c r="AO49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49" s="931" t="s">
        <v>970</v>
      </c>
      <c r="AT49" s="955" t="s">
        <v>407</v>
      </c>
      <c r="AU49" s="950">
        <v>4</v>
      </c>
      <c r="AV49" s="981">
        <f ca="1">IF(dbУчПрактикиКР[[#This Row],[Семестър]]=OFFSET(dbУчПрактикиКР[[#This Row],[Семестър]],-1,0),N(OFFSET(dbУчПрактикиКР[[#This Row],[№]],-1,0))+1,1)</f>
        <v>7</v>
      </c>
      <c r="AW49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49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49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49" s="943" t="str">
        <f ca="1">T(INDEX(CHOOSE(dbУчПрактикиКР[[#This Row],[код]],BPZS[Вид],BPLS[Вид],MPZS[Вид],MPLS[Вид]),dbУчПрактикиКР[[#This Row],[№]],0))</f>
        <v/>
      </c>
      <c r="BA49" s="944" t="str">
        <f ca="1">T(INDEX(CHOOSE(dbУчПрактикиКР[[#This Row],[код]],BPZS[Курс],BPLS[Курс],MPZS[Курс],MPLS[Курс]),dbУчПрактикиКР[[#This Row],[№]],0))</f>
        <v/>
      </c>
      <c r="BB49" s="1034" t="str">
        <f ca="1">T(INDEX(CHOOSE(dbУчПрактикиКР[[#This Row],[код]],BPZS[ФормаОб],BPLS[ФормаОб],MPZS[ФормаОб],MPLS[ФормаОб]),dbУчПрактикиКР[[#This Row],[№]],0))</f>
        <v/>
      </c>
      <c r="BC49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49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49" s="1303">
        <f ca="1">N(INDEX(CHOOSE(dbУчПрактикиКР[[#This Row],[код]],BPZS[Група],BPLS[Група],MPZS[Група],MPLS[Група]),dbУчПрактикиКР[[#This Row],[№]],0))</f>
        <v>0</v>
      </c>
      <c r="BF49" s="1308">
        <f ca="1">N(INDEX(CHOOSE(dbУчПрактикиКР[[#This Row],[код]],BPZS[Ден],BPLS[Ден],MPZS[Ден],MPLS[Ден]),dbУчПрактикиКР[[#This Row],[№]],0))</f>
        <v>0</v>
      </c>
      <c r="BG49" s="1046" t="str">
        <f ca="1">T(INDEX(CHOOSE(dbУчПрактикиКР[[#This Row],[код]],BPZS[ФормаОц],BPLS[ФормаОц],MPZS[ФормаОц],MPLS[ФормаОц]),dbУчПрактикиКР[[#This Row],[№]],0))</f>
        <v/>
      </c>
      <c r="BH49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49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49" s="1324">
        <f ca="1">N(INDEX(CHOOSE(dbУчПрактикиКР[[#This Row],[код]],BPZS[ТО],BPLS[ТО],MPZS[ТО],MPLS[ТО]),dbУчПрактикиКР[[#This Row],[№]],0))</f>
        <v>0</v>
      </c>
      <c r="BK49" s="1325">
        <f ca="1">N(INDEX(CHOOSE(dbУчПрактикиКР[[#This Row],[код]],BPZS[КР],BPLS[КР],MPZS[КР],MPLS[КР]),dbУчПрактикиКР[[#This Row],[№]],0))</f>
        <v>0</v>
      </c>
      <c r="BL49" s="1318">
        <f ca="1">IFERROR(MATCH(dbУчПрактикиКР[[#This Row],[ВидПрактика]],T_Практики[Практика и курсова работа],0),0)</f>
        <v>0</v>
      </c>
      <c r="BM49" s="1340" t="str">
        <f ca="1">IF(dbУчПрактикиКР[[#This Row],[пВидПрактика]],INDEX(T_Практики[Студенти],dbУчПрактикиКР[[#This Row],[пВидПрактика]]),"-")</f>
        <v>-</v>
      </c>
      <c r="BN49" s="1340" t="str">
        <f ca="1">IF(dbУчПрактикиКР[[#This Row],[пВидПрактика]],INDEX(T_Практики[Група],dbУчПрактикиКР[[#This Row],[пВидПрактика]])*2,"-")</f>
        <v>-</v>
      </c>
      <c r="BO49" s="1341" t="str">
        <f ca="1">IF(dbУчПрактикиКР[[#This Row],[пВидПрактика]],INDEX(T_Практики[Ден],dbУчПрактикиКР[[#This Row],[пВидПрактика]])*4,"-")</f>
        <v>-</v>
      </c>
      <c r="BP49" s="1335">
        <f ca="1">IFERROR(AND(dbУчПрактикиКР[[#This Row],[ТО]]&lt;&gt;0,dbУчПрактикиКР[[#This Row],[ФормаОб]]=0)*1,0)</f>
        <v>0</v>
      </c>
      <c r="BQ49" s="1335">
        <f ca="1">IFERROR(AND(dbУчПрактикиКР[[#This Row],[Изпитани]]&lt;&gt;0,LEN(dbУчПрактикиКР[[#This Row],[Изпитващ]])=0)*1,0)</f>
        <v>0</v>
      </c>
      <c r="BR49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49" s="1335">
        <f ca="1">IFERROR(IF(dbУчПрактикиКР[[#This Row],[ФормаОб]]=list!$A$55,Coef!$B$10,Coef!$B$9),0)</f>
        <v>0.5</v>
      </c>
      <c r="BT49" s="1343">
        <v>5</v>
      </c>
      <c r="BU49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49" s="1335">
        <f ca="1">dbУчПрактикиКР[[#This Row],[кИзпитващ]]*N(dbУчПрактикиКР[[#This Row],[Изпитани]])</f>
        <v>0</v>
      </c>
      <c r="BW49" s="1335">
        <f ca="1">N(dbУчПрактикиКР[[#This Row],[ТО]])*N(dbУчПрактикиКР[[#This Row],[кTO]])</f>
        <v>0</v>
      </c>
      <c r="BX49" s="1343">
        <f ca="1">N(dbУчПрактикиКР[[#This Row],[КР]])*dbУчПрактикиКР[[#This Row],[кКР]]</f>
        <v>0</v>
      </c>
      <c r="BY49" s="1335">
        <f ca="1">N(INDEX(CHOOSE(dbУчПрактикиКР[[#This Row],[код]],BPZS[id_РД],BPLS[id_РД],MPZS[id_РД],MPLS[id_РД]),dbУчПрактикиКР[[#This Row],[№]],0))</f>
        <v>0</v>
      </c>
      <c r="BZ49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49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49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49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50" spans="5:81" ht="17.25" thickBot="1" x14ac:dyDescent="0.35">
      <c r="E50" s="919" t="s">
        <v>681</v>
      </c>
      <c r="F50" s="921" t="s">
        <v>407</v>
      </c>
      <c r="G50" s="666">
        <v>2</v>
      </c>
      <c r="H50" s="861">
        <f ca="1">IF(dbУчДисц[[#This Row],[Семестър]]=OFFSET(dbУчДисц[[#This Row],[Семестър]],-1,0),N(OFFSET(dbУчДисц[[#This Row],[№]],-1,0))+1,1)</f>
        <v>19</v>
      </c>
      <c r="I50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0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0" s="842" t="str">
        <f ca="1">T(INDEX(CHOOSE(dbУчДисц[[#This Row],[код]],BAZZS[Факултет],BAZLS[Факултет],MAZZS[Факултет],MAZLS[Факултет]),dbУчДисц[[#This Row],[№]],0))</f>
        <v/>
      </c>
      <c r="L50" s="265" t="str">
        <f ca="1">T(INDEX(CHOOSE(dbУчДисц[[#This Row],[код]],BAZZS[Вид],BAZLS[Вид],MAZZS[Вид],MAZLS[Вид]),dbУчДисц[[#This Row],[№]],0))</f>
        <v/>
      </c>
      <c r="M50" s="243" t="str">
        <f ca="1">T(INDEX(CHOOSE(dbУчДисц[[#This Row],[код]],BAZZS[Курс],BAZLS[Курс],MAZZS[Курс],MAZLS[Курс]),dbУчДисц[[#This Row],[№]],0))</f>
        <v/>
      </c>
      <c r="N50" s="243" t="str">
        <f ca="1">T(INDEX(CHOOSE(dbУчДисц[[#This Row],[код]],BAZZS[ФормаОб],BAZLS[ФормаОб],MAZZS[ФормаОб],MAZLS[ФормаОб]),dbУчДисц[[#This Row],[№]],0))</f>
        <v/>
      </c>
      <c r="O50" s="1253" cm="1">
        <f t="array" aca="1" ref="O50" ca="1">INDEX(CHOOSE(dbУчДисц[[#This Row],[код]],BAZZS[Студенти],BAZLS[Студенти],MAZZS[Студенти],MAZLS[Студенти]),dbУчДисц[[#This Row],[№]],0)</f>
        <v>0</v>
      </c>
      <c r="P50" s="1254" cm="1">
        <f t="array" aca="1" ref="P50" ca="1">INDEX(CHOOSE(dbУчДисц[[#This Row],[код]],BAZZS[Лекции],BAZLS[Лекции],MAZZS[Лекции],MAZLS[Лекции]),dbУчДисц[[#This Row],[№]],0)</f>
        <v>0</v>
      </c>
      <c r="Q50" s="1254" cm="1">
        <f t="array" aca="1" ref="Q50" ca="1">INDEX(CHOOSE(dbУчДисц[[#This Row],[код]],BAZZS[Упражнения],BAZLS[Упражнения],MAZZS[Упражнения],MAZLS[Упражнения]),dbУчДисц[[#This Row],[№]],0)</f>
        <v>0</v>
      </c>
      <c r="R50" s="892" t="str">
        <f ca="1">T(INDEX(CHOOSE(dbУчДисц[[#This Row],[код]],BAZZS[Език],BAZLS[Език],MAZZS[Език],MAZLS[Език]),dbУчДисц[[#This Row],[№]],0))</f>
        <v>БЕ</v>
      </c>
      <c r="S50" s="243" t="str">
        <f ca="1">T(INDEX(CHOOSE(dbУчДисц[[#This Row],[код]],BAZZS[ФормаОц],BAZLS[ФормаОц],MAZZS[ФормаОц],MAZLS[ФормаОц]),dbУчДисц[[#This Row],[№]],0))</f>
        <v/>
      </c>
      <c r="T50" s="244" t="str">
        <f ca="1">T(INDEX(CHOOSE(dbУчДисц[[#This Row],[код]],BAZZS[Изпитващ],BAZLS[Изпитващ],MAZZS[Изпитващ],MAZLS[Изпитващ]),dbУчДисц[[#This Row],[№]],0))</f>
        <v/>
      </c>
      <c r="U50" s="1254" cm="1">
        <f t="array" aca="1" ref="U50" ca="1">INDEX(CHOOSE(dbУчДисц[[#This Row],[код]],BAZZS[Изпитани],BAZLS[Изпитани],MAZZS[Изпитани],MAZLS[Изпитани]),dbУчДисц[[#This Row],[№]],0)</f>
        <v>0</v>
      </c>
      <c r="V50" s="1268" cm="1">
        <f t="array" aca="1" ref="V50" ca="1">INDEX(CHOOSE(dbУчДисц[[#This Row],[код]],BAZZS[ТО],BAZLS[ТО],MAZZS[ТО],MAZLS[ТО]),dbУчДисц[[#This Row],[№]],0)</f>
        <v>0</v>
      </c>
      <c r="W50" s="1268" cm="1">
        <f t="array" aca="1" ref="W50" ca="1">INDEX(CHOOSE(dbУчДисц[[#This Row],[код]],BAZZS[КР],BAZLS[КР],MAZZS[КР],MAZLS[КР]),dbУчДисц[[#This Row],[№]],0)</f>
        <v>0</v>
      </c>
      <c r="X5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0" s="1270">
        <f ca="1">IF(AND(dbУчДисц[[#This Row],[Изпитани]]&lt;&gt;0,dbУчДисц[[#This Row],[Изпитващ]]=0),1,0)</f>
        <v>0</v>
      </c>
      <c r="AA50" s="1289">
        <f ca="1">IFERROR(VLOOKUP(dbУчДисц[[#This Row],[Език]],Коефициент_Eзик[],2,0),0)</f>
        <v>1</v>
      </c>
      <c r="AB50" s="1290" cm="1">
        <f t="array" aca="1" ref="AB5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0" s="1290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0" s="1291">
        <v>0.5</v>
      </c>
      <c r="AE50" s="1292">
        <v>5</v>
      </c>
      <c r="AF50" s="1289">
        <f ca="1">N(dbУчДисц[[#This Row],[Лекции]])*dbУчДисц[[#This Row],[кЕзик]]*dbУчДисц[[#This Row],[кСтуденти]]*кЛекции</f>
        <v>0</v>
      </c>
      <c r="AG50" s="1290">
        <f ca="1">N(dbУчДисц[[#This Row],[Упражнения]])*dbУчДисц[[#This Row],[кЕзик]]*dbУчДисц[[#This Row],[кСтуденти]]*кУпражнение</f>
        <v>0</v>
      </c>
      <c r="AH50" s="1290">
        <f ca="1">N(dbУчДисц[[#This Row],[Изпитани]])*dbУчДисц[[#This Row],[кИзпитващ]]</f>
        <v>0</v>
      </c>
      <c r="AI50" s="1291">
        <f ca="1">dbУчДисц[[#This Row],[ТО]]*dbУчДисц[[#This Row],[кTO]]</f>
        <v>0</v>
      </c>
      <c r="AJ50" s="1293">
        <f ca="1">dbУчДисц[[#This Row],[КР]]*dbУчДисц[[#This Row],[кКР]]</f>
        <v>0</v>
      </c>
      <c r="AK50" s="1294">
        <f ca="1">N(INDEX(CHOOSE(dbУчДисц[[#This Row],[код]],BAZZS[id_РД],BAZLS[id_РД],MAZZS[id_РД],MAZLS[id_РД]),dbУчДисц[[#This Row],[№]],0))</f>
        <v>0</v>
      </c>
      <c r="AL50" s="1387" t="str">
        <f ca="1">T(INDEX(CHOOSE(dbУчДисц[[#This Row],[код]],BAZZS[Дисциплина1],BAZLS[Дисциплина1],MAZZS[Дисциплина1],MAZLS[Дисциплина1]),dbУчДисц[[#This Row],[№]],0))</f>
        <v/>
      </c>
      <c r="AM50" s="1387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0" s="1387" t="str">
        <f ca="1">T(INDEX(CHOOSE(dbУчДисц[[#This Row],[код]],BAZZS[Факултет1],BAZLS[Факултет1],MAZZS[Факултет1],MAZLS[Факултет1]),dbУчДисц[[#This Row],[№]],0))</f>
        <v/>
      </c>
      <c r="AO50" s="1388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50" s="931" t="s">
        <v>970</v>
      </c>
      <c r="AT50" s="955" t="s">
        <v>407</v>
      </c>
      <c r="AU50" s="950">
        <v>4</v>
      </c>
      <c r="AV50" s="981">
        <f ca="1">IF(dbУчПрактикиКР[[#This Row],[Семестър]]=OFFSET(dbУчПрактикиКР[[#This Row],[Семестър]],-1,0),N(OFFSET(dbУчПрактикиКР[[#This Row],[№]],-1,0))+1,1)</f>
        <v>8</v>
      </c>
      <c r="AW50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50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50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50" s="943" t="str">
        <f ca="1">T(INDEX(CHOOSE(dbУчПрактикиКР[[#This Row],[код]],BPZS[Вид],BPLS[Вид],MPZS[Вид],MPLS[Вид]),dbУчПрактикиКР[[#This Row],[№]],0))</f>
        <v/>
      </c>
      <c r="BA50" s="944" t="str">
        <f ca="1">T(INDEX(CHOOSE(dbУчПрактикиКР[[#This Row],[код]],BPZS[Курс],BPLS[Курс],MPZS[Курс],MPLS[Курс]),dbУчПрактикиКР[[#This Row],[№]],0))</f>
        <v/>
      </c>
      <c r="BB50" s="1034" t="str">
        <f ca="1">T(INDEX(CHOOSE(dbУчПрактикиКР[[#This Row],[код]],BPZS[ФормаОб],BPLS[ФормаОб],MPZS[ФормаОб],MPLS[ФормаОб]),dbУчПрактикиКР[[#This Row],[№]],0))</f>
        <v/>
      </c>
      <c r="BC50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50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50" s="1303">
        <f ca="1">N(INDEX(CHOOSE(dbУчПрактикиКР[[#This Row],[код]],BPZS[Група],BPLS[Група],MPZS[Група],MPLS[Група]),dbУчПрактикиКР[[#This Row],[№]],0))</f>
        <v>0</v>
      </c>
      <c r="BF50" s="1308">
        <f ca="1">N(INDEX(CHOOSE(dbУчПрактикиКР[[#This Row],[код]],BPZS[Ден],BPLS[Ден],MPZS[Ден],MPLS[Ден]),dbУчПрактикиКР[[#This Row],[№]],0))</f>
        <v>0</v>
      </c>
      <c r="BG50" s="1046" t="str">
        <f ca="1">T(INDEX(CHOOSE(dbУчПрактикиКР[[#This Row],[код]],BPZS[ФормаОц],BPLS[ФормаОц],MPZS[ФормаОц],MPLS[ФормаОц]),dbУчПрактикиКР[[#This Row],[№]],0))</f>
        <v/>
      </c>
      <c r="BH50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50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50" s="1324">
        <f ca="1">N(INDEX(CHOOSE(dbУчПрактикиКР[[#This Row],[код]],BPZS[ТО],BPLS[ТО],MPZS[ТО],MPLS[ТО]),dbУчПрактикиКР[[#This Row],[№]],0))</f>
        <v>0</v>
      </c>
      <c r="BK50" s="1325">
        <f ca="1">N(INDEX(CHOOSE(dbУчПрактикиКР[[#This Row],[код]],BPZS[КР],BPLS[КР],MPZS[КР],MPLS[КР]),dbУчПрактикиКР[[#This Row],[№]],0))</f>
        <v>0</v>
      </c>
      <c r="BL50" s="1318">
        <f ca="1">IFERROR(MATCH(dbУчПрактикиКР[[#This Row],[ВидПрактика]],T_Практики[Практика и курсова работа],0),0)</f>
        <v>0</v>
      </c>
      <c r="BM50" s="1340" t="str">
        <f ca="1">IF(dbУчПрактикиКР[[#This Row],[пВидПрактика]],INDEX(T_Практики[Студенти],dbУчПрактикиКР[[#This Row],[пВидПрактика]]),"-")</f>
        <v>-</v>
      </c>
      <c r="BN50" s="1340" t="str">
        <f ca="1">IF(dbУчПрактикиКР[[#This Row],[пВидПрактика]],INDEX(T_Практики[Група],dbУчПрактикиКР[[#This Row],[пВидПрактика]])*2,"-")</f>
        <v>-</v>
      </c>
      <c r="BO50" s="1341" t="str">
        <f ca="1">IF(dbУчПрактикиКР[[#This Row],[пВидПрактика]],INDEX(T_Практики[Ден],dbУчПрактикиКР[[#This Row],[пВидПрактика]])*4,"-")</f>
        <v>-</v>
      </c>
      <c r="BP50" s="1335">
        <f ca="1">IFERROR(AND(dbУчПрактикиКР[[#This Row],[ТО]]&lt;&gt;0,dbУчПрактикиКР[[#This Row],[ФормаОб]]=0)*1,0)</f>
        <v>0</v>
      </c>
      <c r="BQ50" s="1335">
        <f ca="1">IFERROR(AND(dbУчПрактикиКР[[#This Row],[Изпитани]]&lt;&gt;0,LEN(dbУчПрактикиКР[[#This Row],[Изпитващ]])=0)*1,0)</f>
        <v>0</v>
      </c>
      <c r="BR50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50" s="1335">
        <f ca="1">IFERROR(IF(dbУчПрактикиКР[[#This Row],[ФормаОб]]=list!$A$55,Coef!$B$10,Coef!$B$9),0)</f>
        <v>0.5</v>
      </c>
      <c r="BT50" s="1343">
        <v>5</v>
      </c>
      <c r="BU50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50" s="1335">
        <f ca="1">dbУчПрактикиКР[[#This Row],[кИзпитващ]]*N(dbУчПрактикиКР[[#This Row],[Изпитани]])</f>
        <v>0</v>
      </c>
      <c r="BW50" s="1335">
        <f ca="1">N(dbУчПрактикиКР[[#This Row],[ТО]])*N(dbУчПрактикиКР[[#This Row],[кTO]])</f>
        <v>0</v>
      </c>
      <c r="BX50" s="1343">
        <f ca="1">N(dbУчПрактикиКР[[#This Row],[КР]])*dbУчПрактикиКР[[#This Row],[кКР]]</f>
        <v>0</v>
      </c>
      <c r="BY50" s="1335">
        <f ca="1">N(INDEX(CHOOSE(dbУчПрактикиКР[[#This Row],[код]],BPZS[id_РД],BPLS[id_РД],MPZS[id_РД],MPLS[id_РД]),dbУчПрактикиКР[[#This Row],[№]],0))</f>
        <v>0</v>
      </c>
      <c r="BZ50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50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50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50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51" spans="5:81" ht="16.5" x14ac:dyDescent="0.3">
      <c r="E51" s="913" t="s">
        <v>682</v>
      </c>
      <c r="F51" s="922" t="s">
        <v>406</v>
      </c>
      <c r="G51" s="844">
        <v>3</v>
      </c>
      <c r="H51" s="859">
        <f ca="1">IF(dbУчДисц[[#This Row],[Семестър]]=OFFSET(dbУчДисц[[#This Row],[Семестър]],-1,0),N(OFFSET(dbУчДисц[[#This Row],[№]],-1,0))+1,1)</f>
        <v>1</v>
      </c>
      <c r="I51" s="863" t="str">
        <f ca="1">T(INDEX(CHOOSE(dbУчДисц[[#This Row],[код]],BAZZS[Дисциплина],BAZLS[Дисциплина],MAZZS[Дисциплина],MAZLS[Дисциплина]),dbУчДисц[[#This Row],[№]],0))</f>
        <v/>
      </c>
      <c r="J51" s="864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1" s="888" t="str">
        <f ca="1">T(INDEX(CHOOSE(dbУчДисц[[#This Row],[код]],BAZZS[Факултет],BAZLS[Факултет],MAZZS[Факултет],MAZLS[Факултет]),dbУчДисц[[#This Row],[№]],0))</f>
        <v/>
      </c>
      <c r="L51" s="900" t="str">
        <f ca="1">T(INDEX(CHOOSE(dbУчДисц[[#This Row],[код]],BAZZS[Вид],BAZLS[Вид],MAZZS[Вид],MAZLS[Вид]),dbУчДисц[[#This Row],[№]],0))</f>
        <v/>
      </c>
      <c r="M51" s="891" t="str">
        <f ca="1">T(INDEX(CHOOSE(dbУчДисц[[#This Row],[код]],BAZZS[Курс],BAZLS[Курс],MAZZS[Курс],MAZLS[Курс]),dbУчДисц[[#This Row],[№]],0))</f>
        <v/>
      </c>
      <c r="N51" s="891" t="str">
        <f ca="1">T(INDEX(CHOOSE(dbУчДисц[[#This Row],[код]],BAZZS[ФормаОб],BAZLS[ФормаОб],MAZZS[ФормаОб],MAZLS[ФормаОб]),dbУчДисц[[#This Row],[№]],0))</f>
        <v/>
      </c>
      <c r="O51" s="1255" cm="1">
        <f t="array" aca="1" ref="O51" ca="1">INDEX(CHOOSE(dbУчДисц[[#This Row],[код]],BAZZS[Студенти],BAZLS[Студенти],MAZZS[Студенти],MAZLS[Студенти]),dbУчДисц[[#This Row],[№]],0)</f>
        <v>0</v>
      </c>
      <c r="P51" s="1256" cm="1">
        <f t="array" aca="1" ref="P51" ca="1">INDEX(CHOOSE(dbУчДисц[[#This Row],[код]],BAZZS[Лекции],BAZLS[Лекции],MAZZS[Лекции],MAZLS[Лекции]),dbУчДисц[[#This Row],[№]],0)</f>
        <v>0</v>
      </c>
      <c r="Q51" s="1256" cm="1">
        <f t="array" aca="1" ref="Q51" ca="1">INDEX(CHOOSE(dbУчДисц[[#This Row],[код]],BAZZS[Упражнения],BAZLS[Упражнения],MAZZS[Упражнения],MAZLS[Упражнения]),dbУчДисц[[#This Row],[№]],0)</f>
        <v>0</v>
      </c>
      <c r="R51" s="893" t="str">
        <f ca="1">T(INDEX(CHOOSE(dbУчДисц[[#This Row],[код]],BAZZS[Език],BAZLS[Език],MAZZS[Език],MAZLS[Език]),dbУчДисц[[#This Row],[№]],0))</f>
        <v>БЕ</v>
      </c>
      <c r="S51" s="891" t="str">
        <f ca="1">T(INDEX(CHOOSE(dbУчДисц[[#This Row],[код]],BAZZS[ФормаОц],BAZLS[ФормаОц],MAZZS[ФормаОц],MAZLS[ФормаОц]),dbУчДисц[[#This Row],[№]],0))</f>
        <v/>
      </c>
      <c r="T51" s="890" t="str">
        <f ca="1">T(INDEX(CHOOSE(dbУчДисц[[#This Row],[код]],BAZZS[Изпитващ],BAZLS[Изпитващ],MAZZS[Изпитващ],MAZLS[Изпитващ]),dbУчДисц[[#This Row],[№]],0))</f>
        <v/>
      </c>
      <c r="U51" s="1256" cm="1">
        <f t="array" aca="1" ref="U51" ca="1">INDEX(CHOOSE(dbУчДисц[[#This Row],[код]],BAZZS[Изпитани],BAZLS[Изпитани],MAZZS[Изпитани],MAZLS[Изпитани]),dbУчДисц[[#This Row],[№]],0)</f>
        <v>0</v>
      </c>
      <c r="V51" s="1259" cm="1">
        <f t="array" aca="1" ref="V51" ca="1">INDEX(CHOOSE(dbУчДисц[[#This Row],[код]],BAZZS[ТО],BAZLS[ТО],MAZZS[ТО],MAZLS[ТО]),dbУчДисц[[#This Row],[№]],0)</f>
        <v>0</v>
      </c>
      <c r="W51" s="1259" cm="1">
        <f t="array" aca="1" ref="W51" ca="1">INDEX(CHOOSE(dbУчДисц[[#This Row],[код]],BAZZS[КР],BAZLS[КР],MAZZS[КР],MAZLS[КР]),dbУчДисц[[#This Row],[№]],0)</f>
        <v>0</v>
      </c>
      <c r="X51" s="1260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1" s="1261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1" s="1261">
        <f ca="1">IF(AND(dbУчДисц[[#This Row],[Изпитани]]&lt;&gt;0,dbУчДисц[[#This Row],[Изпитващ]]=0),1,0)</f>
        <v>0</v>
      </c>
      <c r="AA51" s="1262">
        <f ca="1">IFERROR(VLOOKUP(dbУчДисц[[#This Row],[Език]],Коефициент_Eзик[],2,0),0)</f>
        <v>1</v>
      </c>
      <c r="AB51" s="1263" cm="1">
        <f t="array" aca="1" ref="AB5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1" s="1263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1" s="1264">
        <v>0.5</v>
      </c>
      <c r="AE51" s="1265">
        <v>5</v>
      </c>
      <c r="AF51" s="1262">
        <f ca="1">N(dbУчДисц[[#This Row],[Лекции]])*dbУчДисц[[#This Row],[кЕзик]]*dbУчДисц[[#This Row],[кСтуденти]]*кЛекции</f>
        <v>0</v>
      </c>
      <c r="AG51" s="1263">
        <f ca="1">N(dbУчДисц[[#This Row],[Упражнения]])*dbУчДисц[[#This Row],[кЕзик]]*dbУчДисц[[#This Row],[кСтуденти]]*кУпражнение</f>
        <v>0</v>
      </c>
      <c r="AH51" s="1263">
        <f ca="1">N(dbУчДисц[[#This Row],[Изпитани]])*dbУчДисц[[#This Row],[кИзпитващ]]</f>
        <v>0</v>
      </c>
      <c r="AI51" s="1264">
        <f ca="1">dbУчДисц[[#This Row],[ТО]]*dbУчДисц[[#This Row],[кTO]]</f>
        <v>0</v>
      </c>
      <c r="AJ51" s="1266">
        <f ca="1">dbУчДисц[[#This Row],[КР]]*dbУчДисц[[#This Row],[кКР]]</f>
        <v>0</v>
      </c>
      <c r="AK51" s="1267">
        <f ca="1">N(INDEX(CHOOSE(dbУчДисц[[#This Row],[код]],BAZZS[id_РД],BAZLS[id_РД],MAZZS[id_РД],MAZLS[id_РД]),dbУчДисц[[#This Row],[№]],0))</f>
        <v>0</v>
      </c>
      <c r="AL51" s="1381" t="str">
        <f ca="1">T(INDEX(CHOOSE(dbУчДисц[[#This Row],[код]],BAZZS[Дисциплина1],BAZLS[Дисциплина1],MAZZS[Дисциплина1],MAZLS[Дисциплина1]),dbУчДисц[[#This Row],[№]],0))</f>
        <v/>
      </c>
      <c r="AM51" s="1381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1" s="1381" t="str">
        <f ca="1">T(INDEX(CHOOSE(dbУчДисц[[#This Row],[код]],BAZZS[Факултет1],BAZLS[Факултет1],MAZZS[Факултет1],MAZLS[Факултет1]),dbУчДисц[[#This Row],[№]],0))</f>
        <v/>
      </c>
      <c r="AO51" s="1382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51" s="931" t="s">
        <v>970</v>
      </c>
      <c r="AT51" s="955" t="s">
        <v>407</v>
      </c>
      <c r="AU51" s="950">
        <v>4</v>
      </c>
      <c r="AV51" s="981">
        <f ca="1">IF(dbУчПрактикиКР[[#This Row],[Семестър]]=OFFSET(dbУчПрактикиКР[[#This Row],[Семестър]],-1,0),N(OFFSET(dbУчПрактикиКР[[#This Row],[№]],-1,0))+1,1)</f>
        <v>9</v>
      </c>
      <c r="AW51" s="839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51" s="1027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51" s="243" t="str">
        <f ca="1">T(INDEX(CHOOSE(dbУчПрактикиКР[[#This Row],[код]],BPZS[Факултет],BPLS[Факултет],MPZS[Факултет],MPLS[Факултет]),dbУчПрактикиКР[[#This Row],[№]],0))</f>
        <v/>
      </c>
      <c r="AZ51" s="943" t="str">
        <f ca="1">T(INDEX(CHOOSE(dbУчПрактикиКР[[#This Row],[код]],BPZS[Вид],BPLS[Вид],MPZS[Вид],MPLS[Вид]),dbУчПрактикиКР[[#This Row],[№]],0))</f>
        <v/>
      </c>
      <c r="BA51" s="944" t="str">
        <f ca="1">T(INDEX(CHOOSE(dbУчПрактикиКР[[#This Row],[код]],BPZS[Курс],BPLS[Курс],MPZS[Курс],MPLS[Курс]),dbУчПрактикиКР[[#This Row],[№]],0))</f>
        <v/>
      </c>
      <c r="BB51" s="1034" t="str">
        <f ca="1">T(INDEX(CHOOSE(dbУчПрактикиКР[[#This Row],[код]],BPZS[ФормаОб],BPLS[ФормаОб],MPZS[ФормаОб],MPLS[ФормаОб]),dbУчПрактикиКР[[#This Row],[№]],0))</f>
        <v/>
      </c>
      <c r="BC51" s="1297">
        <f ca="1">N(INDEX(CHOOSE(dbУчПрактикиКР[[#This Row],[код]],BPZS[Студенти],BPLS[Студенти],MPZS[Студенти],MPLS[Студенти]),dbУчПрактикиКР[[#This Row],[№]],0))</f>
        <v>0</v>
      </c>
      <c r="BD51" s="1045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51" s="1303">
        <f ca="1">N(INDEX(CHOOSE(dbУчПрактикиКР[[#This Row],[код]],BPZS[Група],BPLS[Група],MPZS[Група],MPLS[Група]),dbУчПрактикиКР[[#This Row],[№]],0))</f>
        <v>0</v>
      </c>
      <c r="BF51" s="1308">
        <f ca="1">N(INDEX(CHOOSE(dbУчПрактикиКР[[#This Row],[код]],BPZS[Ден],BPLS[Ден],MPZS[Ден],MPLS[Ден]),dbУчПрактикиКР[[#This Row],[№]],0))</f>
        <v>0</v>
      </c>
      <c r="BG51" s="1046" t="str">
        <f ca="1">T(INDEX(CHOOSE(dbУчПрактикиКР[[#This Row],[код]],BPZS[ФормаОц],BPLS[ФормаОц],MPZS[ФормаОц],MPLS[ФормаОц]),dbУчПрактикиКР[[#This Row],[№]],0))</f>
        <v/>
      </c>
      <c r="BH51" s="1047" t="str">
        <f ca="1">T(INDEX(CHOOSE(dbУчПрактикиКР[[#This Row],[код]],BPZS[Изпитващ],BPLS[Изпитващ],MPZS[Изпитващ],MPLS[Изпитващ]),dbУчПрактикиКР[[#This Row],[№]],0))</f>
        <v/>
      </c>
      <c r="BI51" s="1323">
        <f ca="1">N(INDEX(CHOOSE(dbУчПрактикиКР[[#This Row],[код]],BPZS[Изпитани],BPLS[Изпитани],MPZS[Изпитани],MPLS[Изпитани]),dbУчПрактикиКР[[#This Row],[№]],0))</f>
        <v>0</v>
      </c>
      <c r="BJ51" s="1324">
        <f ca="1">N(INDEX(CHOOSE(dbУчПрактикиКР[[#This Row],[код]],BPZS[ТО],BPLS[ТО],MPZS[ТО],MPLS[ТО]),dbУчПрактикиКР[[#This Row],[№]],0))</f>
        <v>0</v>
      </c>
      <c r="BK51" s="1325">
        <f ca="1">N(INDEX(CHOOSE(dbУчПрактикиКР[[#This Row],[код]],BPZS[КР],BPLS[КР],MPZS[КР],MPLS[КР]),dbУчПрактикиКР[[#This Row],[№]],0))</f>
        <v>0</v>
      </c>
      <c r="BL51" s="1318">
        <f ca="1">IFERROR(MATCH(dbУчПрактикиКР[[#This Row],[ВидПрактика]],T_Практики[Практика и курсова работа],0),0)</f>
        <v>0</v>
      </c>
      <c r="BM51" s="1340" t="str">
        <f ca="1">IF(dbУчПрактикиКР[[#This Row],[пВидПрактика]],INDEX(T_Практики[Студенти],dbУчПрактикиКР[[#This Row],[пВидПрактика]]),"-")</f>
        <v>-</v>
      </c>
      <c r="BN51" s="1340" t="str">
        <f ca="1">IF(dbУчПрактикиКР[[#This Row],[пВидПрактика]],INDEX(T_Практики[Група],dbУчПрактикиКР[[#This Row],[пВидПрактика]])*2,"-")</f>
        <v>-</v>
      </c>
      <c r="BO51" s="1341" t="str">
        <f ca="1">IF(dbУчПрактикиКР[[#This Row],[пВидПрактика]],INDEX(T_Практики[Ден],dbУчПрактикиКР[[#This Row],[пВидПрактика]])*4,"-")</f>
        <v>-</v>
      </c>
      <c r="BP51" s="1335">
        <f ca="1">IFERROR(AND(dbУчПрактикиКР[[#This Row],[ТО]]&lt;&gt;0,dbУчПрактикиКР[[#This Row],[ФормаОб]]=0)*1,0)</f>
        <v>0</v>
      </c>
      <c r="BQ51" s="1335">
        <f ca="1">IFERROR(AND(dbУчПрактикиКР[[#This Row],[Изпитани]]&lt;&gt;0,LEN(dbУчПрактикиКР[[#This Row],[Изпитващ]])=0)*1,0)</f>
        <v>0</v>
      </c>
      <c r="BR51" s="1342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51" s="1335">
        <f ca="1">IFERROR(IF(dbУчПрактикиКР[[#This Row],[ФормаОб]]=list!$A$55,Coef!$B$10,Coef!$B$9),0)</f>
        <v>0.5</v>
      </c>
      <c r="BT51" s="1343">
        <v>5</v>
      </c>
      <c r="BU51" s="1342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51" s="1335">
        <f ca="1">dbУчПрактикиКР[[#This Row],[кИзпитващ]]*N(dbУчПрактикиКР[[#This Row],[Изпитани]])</f>
        <v>0</v>
      </c>
      <c r="BW51" s="1335">
        <f ca="1">N(dbУчПрактикиКР[[#This Row],[ТО]])*N(dbУчПрактикиКР[[#This Row],[кTO]])</f>
        <v>0</v>
      </c>
      <c r="BX51" s="1343">
        <f ca="1">N(dbУчПрактикиКР[[#This Row],[КР]])*dbУчПрактикиКР[[#This Row],[кКР]]</f>
        <v>0</v>
      </c>
      <c r="BY51" s="1335">
        <f ca="1">N(INDEX(CHOOSE(dbУчПрактикиКР[[#This Row],[код]],BPZS[id_РД],BPLS[id_РД],MPZS[id_РД],MPLS[id_РД]),dbУчПрактикиКР[[#This Row],[№]],0))</f>
        <v>0</v>
      </c>
      <c r="BZ51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51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51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51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52" spans="5:81" ht="17.25" thickBot="1" x14ac:dyDescent="0.35">
      <c r="E52" s="915" t="s">
        <v>682</v>
      </c>
      <c r="F52" s="923" t="s">
        <v>406</v>
      </c>
      <c r="G52" s="841">
        <v>3</v>
      </c>
      <c r="H52" s="860">
        <f ca="1">IF(dbУчДисц[[#This Row],[Семестър]]=OFFSET(dbУчДисц[[#This Row],[Семестър]],-1,0),N(OFFSET(dbУчДисц[[#This Row],[№]],-1,0))+1,1)</f>
        <v>2</v>
      </c>
      <c r="I52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2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2" s="842" t="str">
        <f ca="1">T(INDEX(CHOOSE(dbУчДисц[[#This Row],[код]],BAZZS[Факултет],BAZLS[Факултет],MAZZS[Факултет],MAZLS[Факултет]),dbУчДисц[[#This Row],[№]],0))</f>
        <v/>
      </c>
      <c r="L52" s="265" t="str">
        <f ca="1">T(INDEX(CHOOSE(dbУчДисц[[#This Row],[код]],BAZZS[Вид],BAZLS[Вид],MAZZS[Вид],MAZLS[Вид]),dbУчДисц[[#This Row],[№]],0))</f>
        <v/>
      </c>
      <c r="M52" s="243" t="str">
        <f ca="1">T(INDEX(CHOOSE(dbУчДисц[[#This Row],[код]],BAZZS[Курс],BAZLS[Курс],MAZZS[Курс],MAZLS[Курс]),dbУчДисц[[#This Row],[№]],0))</f>
        <v/>
      </c>
      <c r="N52" s="243" t="str">
        <f ca="1">T(INDEX(CHOOSE(dbУчДисц[[#This Row],[код]],BAZZS[ФормаОб],BAZLS[ФормаОб],MAZZS[ФормаОб],MAZLS[ФормаОб]),dbУчДисц[[#This Row],[№]],0))</f>
        <v/>
      </c>
      <c r="O52" s="1253" cm="1">
        <f t="array" aca="1" ref="O52" ca="1">INDEX(CHOOSE(dbУчДисц[[#This Row],[код]],BAZZS[Студенти],BAZLS[Студенти],MAZZS[Студенти],MAZLS[Студенти]),dbУчДисц[[#This Row],[№]],0)</f>
        <v>0</v>
      </c>
      <c r="P52" s="1254" cm="1">
        <f t="array" aca="1" ref="P52" ca="1">INDEX(CHOOSE(dbУчДисц[[#This Row],[код]],BAZZS[Лекции],BAZLS[Лекции],MAZZS[Лекции],MAZLS[Лекции]),dbУчДисц[[#This Row],[№]],0)</f>
        <v>0</v>
      </c>
      <c r="Q52" s="1254" cm="1">
        <f t="array" aca="1" ref="Q52" ca="1">INDEX(CHOOSE(dbУчДисц[[#This Row],[код]],BAZZS[Упражнения],BAZLS[Упражнения],MAZZS[Упражнения],MAZLS[Упражнения]),dbУчДисц[[#This Row],[№]],0)</f>
        <v>0</v>
      </c>
      <c r="R52" s="892" t="str">
        <f ca="1">T(INDEX(CHOOSE(dbУчДисц[[#This Row],[код]],BAZZS[Език],BAZLS[Език],MAZZS[Език],MAZLS[Език]),dbУчДисц[[#This Row],[№]],0))</f>
        <v>БЕ</v>
      </c>
      <c r="S52" s="243" t="str">
        <f ca="1">T(INDEX(CHOOSE(dbУчДисц[[#This Row],[код]],BAZZS[ФормаОц],BAZLS[ФормаОц],MAZZS[ФормаОц],MAZLS[ФормаОц]),dbУчДисц[[#This Row],[№]],0))</f>
        <v/>
      </c>
      <c r="T52" s="244" t="str">
        <f ca="1">T(INDEX(CHOOSE(dbУчДисц[[#This Row],[код]],BAZZS[Изпитващ],BAZLS[Изпитващ],MAZZS[Изпитващ],MAZLS[Изпитващ]),dbУчДисц[[#This Row],[№]],0))</f>
        <v/>
      </c>
      <c r="U52" s="1254" cm="1">
        <f t="array" aca="1" ref="U52" ca="1">INDEX(CHOOSE(dbУчДисц[[#This Row],[код]],BAZZS[Изпитани],BAZLS[Изпитани],MAZZS[Изпитани],MAZLS[Изпитани]),dbУчДисц[[#This Row],[№]],0)</f>
        <v>0</v>
      </c>
      <c r="V52" s="1268" cm="1">
        <f t="array" aca="1" ref="V52" ca="1">INDEX(CHOOSE(dbУчДисц[[#This Row],[код]],BAZZS[ТО],BAZLS[ТО],MAZZS[ТО],MAZLS[ТО]),dbУчДисц[[#This Row],[№]],0)</f>
        <v>0</v>
      </c>
      <c r="W52" s="1268" cm="1">
        <f t="array" aca="1" ref="W52" ca="1">INDEX(CHOOSE(dbУчДисц[[#This Row],[код]],BAZZS[КР],BAZLS[КР],MAZZS[КР],MAZLS[КР]),dbУчДисц[[#This Row],[№]],0)</f>
        <v>0</v>
      </c>
      <c r="X5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2" s="1270">
        <f ca="1">IF(AND(dbУчДисц[[#This Row],[Изпитани]]&lt;&gt;0,dbУчДисц[[#This Row],[Изпитващ]]=0),1,0)</f>
        <v>0</v>
      </c>
      <c r="AA52" s="1271">
        <f ca="1">IFERROR(VLOOKUP(dbУчДисц[[#This Row],[Език]],Коефициент_Eзик[],2,0),0)</f>
        <v>1</v>
      </c>
      <c r="AB52" s="1272" cm="1">
        <f t="array" aca="1" ref="AB5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2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2" s="1273">
        <v>0.5</v>
      </c>
      <c r="AE52" s="1274">
        <v>5</v>
      </c>
      <c r="AF52" s="1271">
        <f ca="1">N(dbУчДисц[[#This Row],[Лекции]])*dbУчДисц[[#This Row],[кЕзик]]*dbУчДисц[[#This Row],[кСтуденти]]*кЛекции</f>
        <v>0</v>
      </c>
      <c r="AG52" s="1272">
        <f ca="1">N(dbУчДисц[[#This Row],[Упражнения]])*dbУчДисц[[#This Row],[кЕзик]]*dbУчДисц[[#This Row],[кСтуденти]]*кУпражнение</f>
        <v>0</v>
      </c>
      <c r="AH52" s="1272">
        <f ca="1">N(dbУчДисц[[#This Row],[Изпитани]])*dbУчДисц[[#This Row],[кИзпитващ]]</f>
        <v>0</v>
      </c>
      <c r="AI52" s="1273">
        <f ca="1">dbУчДисц[[#This Row],[ТО]]*dbУчДисц[[#This Row],[кTO]]</f>
        <v>0</v>
      </c>
      <c r="AJ52" s="1266">
        <f ca="1">dbУчДисц[[#This Row],[КР]]*dbУчДисц[[#This Row],[кКР]]</f>
        <v>0</v>
      </c>
      <c r="AK52" s="1275">
        <f ca="1">N(INDEX(CHOOSE(dbУчДисц[[#This Row],[код]],BAZZS[id_РД],BAZLS[id_РД],MAZZS[id_РД],MAZLS[id_РД]),dbУчДисц[[#This Row],[№]],0))</f>
        <v>0</v>
      </c>
      <c r="AL52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2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2" s="1383" t="str">
        <f ca="1">T(INDEX(CHOOSE(dbУчДисц[[#This Row],[код]],BAZZS[Факултет1],BAZLS[Факултет1],MAZZS[Факултет1],MAZLS[Факултет1]),dbУчДисц[[#This Row],[№]],0))</f>
        <v/>
      </c>
      <c r="AO52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  <c r="AS52" s="937" t="s">
        <v>970</v>
      </c>
      <c r="AT52" s="958" t="s">
        <v>407</v>
      </c>
      <c r="AU52" s="953">
        <v>4</v>
      </c>
      <c r="AV52" s="983">
        <f ca="1">IF(dbУчПрактикиКР[[#This Row],[Семестър]]=OFFSET(dbУчПрактикиКР[[#This Row],[Семестър]],-1,0),N(OFFSET(dbУчПрактикиКР[[#This Row],[№]],-1,0))+1,1)</f>
        <v>10</v>
      </c>
      <c r="AW52" s="850" t="str">
        <f ca="1">T(INDEX(CHOOSE(dbУчПрактикиКР[[#This Row],[код]],BPZS[Наименование на практика/курсова работа],BPLS[Наименование на практика/курсова работа],MPZS[Наименование на практика/курсова работа],MPLS[Наименование на практика/курсова работа]),dbУчПрактикиКР[[#This Row],[№]],0))</f>
        <v/>
      </c>
      <c r="AX52" s="1029" t="str">
        <f ca="1">T(INDEX(CHOOSE(dbУчПрактикиКР[[#This Row],[код]],BPZS[Специалност],BPLS[Специалност],MPZS[Магистърска програма],MPLS[Магистърска програма]),dbУчПрактикиКР[[#This Row],[№]],0))</f>
        <v/>
      </c>
      <c r="AY52" s="267" t="str">
        <f ca="1">T(INDEX(CHOOSE(dbУчПрактикиКР[[#This Row],[код]],BPZS[Факултет],BPLS[Факултет],MPZS[Факултет],MPLS[Факултет]),dbУчПрактикиКР[[#This Row],[№]],0))</f>
        <v/>
      </c>
      <c r="AZ52" s="945" t="str">
        <f ca="1">T(INDEX(CHOOSE(dbУчПрактикиКР[[#This Row],[код]],BPZS[Вид],BPLS[Вид],MPZS[Вид],MPLS[Вид]),dbУчПрактикиКР[[#This Row],[№]],0))</f>
        <v/>
      </c>
      <c r="BA52" s="947" t="str">
        <f ca="1">T(INDEX(CHOOSE(dbУчПрактикиКР[[#This Row],[код]],BPZS[Курс],BPLS[Курс],MPZS[Курс],MPLS[Курс]),dbУчПрактикиКР[[#This Row],[№]],0))</f>
        <v/>
      </c>
      <c r="BB52" s="1048" t="str">
        <f ca="1">T(INDEX(CHOOSE(dbУчПрактикиКР[[#This Row],[код]],BPZS[ФормаОб],BPLS[ФормаОб],MPZS[ФормаОб],MPLS[ФормаОб]),dbУчПрактикиКР[[#This Row],[№]],0))</f>
        <v/>
      </c>
      <c r="BC52" s="1299">
        <f ca="1">N(INDEX(CHOOSE(dbУчПрактикиКР[[#This Row],[код]],BPZS[Студенти],BPLS[Студенти],MPZS[Студенти],MPLS[Студенти]),dbУчПрактикиКР[[#This Row],[№]],0))</f>
        <v>0</v>
      </c>
      <c r="BD52" s="1049" t="str">
        <f ca="1">T(INDEX(CHOOSE(dbУчПрактикиКР[[#This Row],[код]],BPZS[ВидПрактика],BPLS[ВидПрактика],MPZS[ВидПрактика],MPLS[ВидПрактика]),dbУчПрактикиКР[[#This Row],[№]],0))</f>
        <v/>
      </c>
      <c r="BE52" s="1309">
        <f ca="1">N(INDEX(CHOOSE(dbУчПрактикиКР[[#This Row],[код]],BPZS[Група],BPLS[Група],MPZS[Група],MPLS[Група]),dbУчПрактикиКР[[#This Row],[№]],0))</f>
        <v>0</v>
      </c>
      <c r="BF52" s="1310">
        <f ca="1">N(INDEX(CHOOSE(dbУчПрактикиКР[[#This Row],[код]],BPZS[Ден],BPLS[Ден],MPZS[Ден],MPLS[Ден]),dbУчПрактикиКР[[#This Row],[№]],0))</f>
        <v>0</v>
      </c>
      <c r="BG52" s="1050" t="str">
        <f ca="1">T(INDEX(CHOOSE(dbУчПрактикиКР[[#This Row],[код]],BPZS[ФормаОц],BPLS[ФормаОц],MPZS[ФормаОц],MPLS[ФормаОц]),dbУчПрактикиКР[[#This Row],[№]],0))</f>
        <v/>
      </c>
      <c r="BH52" s="1051" t="str">
        <f ca="1">T(INDEX(CHOOSE(dbУчПрактикиКР[[#This Row],[код]],BPZS[Изпитващ],BPLS[Изпитващ],MPZS[Изпитващ],MPLS[Изпитващ]),dbУчПрактикиКР[[#This Row],[№]],0))</f>
        <v/>
      </c>
      <c r="BI52" s="1326">
        <f ca="1">N(INDEX(CHOOSE(dbУчПрактикиКР[[#This Row],[код]],BPZS[Изпитани],BPLS[Изпитани],MPZS[Изпитани],MPLS[Изпитани]),dbУчПрактикиКР[[#This Row],[№]],0))</f>
        <v>0</v>
      </c>
      <c r="BJ52" s="1327">
        <f ca="1">N(INDEX(CHOOSE(dbУчПрактикиКР[[#This Row],[код]],BPZS[ТО],BPLS[ТО],MPZS[ТО],MPLS[ТО]),dbУчПрактикиКР[[#This Row],[№]],0))</f>
        <v>0</v>
      </c>
      <c r="BK52" s="1328">
        <f ca="1">N(INDEX(CHOOSE(dbУчПрактикиКР[[#This Row],[код]],BPZS[КР],BPLS[КР],MPZS[КР],MPLS[КР]),dbУчПрактикиКР[[#This Row],[№]],0))</f>
        <v>0</v>
      </c>
      <c r="BL52" s="1329">
        <f ca="1">IFERROR(MATCH(dbУчПрактикиКР[[#This Row],[ВидПрактика]],T_Практики[Практика и курсова работа],0),0)</f>
        <v>0</v>
      </c>
      <c r="BM52" s="1348" t="str">
        <f ca="1">IF(dbУчПрактикиКР[[#This Row],[пВидПрактика]],INDEX(T_Практики[Студенти],dbУчПрактикиКР[[#This Row],[пВидПрактика]]),"-")</f>
        <v>-</v>
      </c>
      <c r="BN52" s="1348" t="str">
        <f ca="1">IF(dbУчПрактикиКР[[#This Row],[пВидПрактика]],INDEX(T_Практики[Група],dbУчПрактикиКР[[#This Row],[пВидПрактика]])*2,"-")</f>
        <v>-</v>
      </c>
      <c r="BO52" s="1349" t="str">
        <f ca="1">IF(dbУчПрактикиКР[[#This Row],[пВидПрактика]],INDEX(T_Практики[Ден],dbУчПрактикиКР[[#This Row],[пВидПрактика]])*4,"-")</f>
        <v>-</v>
      </c>
      <c r="BP52" s="1350">
        <f ca="1">IFERROR(AND(dbУчПрактикиКР[[#This Row],[ТО]]&lt;&gt;0,dbУчПрактикиКР[[#This Row],[ФормаОб]]=0)*1,0)</f>
        <v>0</v>
      </c>
      <c r="BQ52" s="1350">
        <f ca="1">IFERROR(AND(dbУчПрактикиКР[[#This Row],[Изпитани]]&lt;&gt;0,LEN(dbУчПрактикиКР[[#This Row],[Изпитващ]])=0)*1,0)</f>
        <v>0</v>
      </c>
      <c r="BR52" s="1351">
        <f ca="1">IFERROR(IF(T(dbУчПрактикиКР[[#This Row],[Изпитващ]])="",0,IF(AND('1. Планд'!$B$6=list!$A$11,dbУчПрактикиКР[[#This Row],[ФормаОц]]=list!$A$66),Coef!$B$8,VLOOKUP(dbУчПрактикиКР[[#This Row],[Изпитващ]],Koef.ocenqvane[],2,0))),0)</f>
        <v>0</v>
      </c>
      <c r="BS52" s="1350">
        <f ca="1">IFERROR(IF(dbУчПрактикиКР[[#This Row],[ФормаОб]]=list!$A$55,Coef!$B$10,Coef!$B$9),0)</f>
        <v>0.5</v>
      </c>
      <c r="BT52" s="1352">
        <v>5</v>
      </c>
      <c r="BU52" s="1351">
        <f>IFERROR(IF(#REF!&gt;0,INDEX(T_Практики[Час],dbУчПрактикиКР[[#This Row],[пВидПрактика]])*CHOOSE(SUM(dbУчПрактикиКР[[#This Row],[пВидПрактика]:[уфДен]])+1,0,0,N(dbУчПрактикиКР[[#This Row],[Група]]),,N(dbУчПрактикиКР[[#This Row],[Ден]]),N(dbУчПрактикиКР[[#This Row],[Студенти]])*N(dbУчПрактикиКР[[#This Row],[Ден]]),N(dbУчПрактикиКР[[#This Row],[Група]])*N(dbУчПрактикиКР[[#This Row],[Ден]])),0),0)</f>
        <v>0</v>
      </c>
      <c r="BV52" s="1350">
        <f ca="1">dbУчПрактикиКР[[#This Row],[кИзпитващ]]*N(dbУчПрактикиКР[[#This Row],[Изпитани]])</f>
        <v>0</v>
      </c>
      <c r="BW52" s="1350">
        <f ca="1">N(dbУчПрактикиКР[[#This Row],[ТО]])*N(dbУчПрактикиКР[[#This Row],[кTO]])</f>
        <v>0</v>
      </c>
      <c r="BX52" s="1352">
        <f ca="1">N(dbУчПрактикиКР[[#This Row],[КР]])*dbУчПрактикиКР[[#This Row],[кКР]]</f>
        <v>0</v>
      </c>
      <c r="BY52" s="1335">
        <f ca="1">N(INDEX(CHOOSE(dbУчПрактикиКР[[#This Row],[код]],BPZS[id_РД],BPLS[id_РД],MPZS[id_РД],MPLS[id_РД]),dbУчПрактикиКР[[#This Row],[№]],0))</f>
        <v>0</v>
      </c>
      <c r="BZ52" s="1375" t="str">
        <f ca="1">T(INDEX(CHOOSE(dbУчПрактикиКР[[#This Row],[код]],BPZS[Дисциплина1],BPLS[Дисциплина1],MPZS[Дисциплина1],MPLS[Дисциплина1]),dbУчПрактикиКР[[#This Row],[№]],0))</f>
        <v/>
      </c>
      <c r="CA52" s="1375" t="str">
        <f ca="1">T(INDEX(CHOOSE(dbУчПрактикиКР[[#This Row],[код]],BPZS[тСпециалностиМП],BPLS[тСпециалностиМП],MPZS[тСпециалностиМП],MPLS[тСпециалностиМП]),dbУчПрактикиКР[[#This Row],[№]],0))</f>
        <v/>
      </c>
      <c r="CB52" s="1375" t="str">
        <f ca="1">T(INDEX(CHOOSE(dbУчПрактикиКР[[#This Row],[код]],BPZS[Факултет1],BPLS[Факултет1],MPZS[Факултет1],MPLS[Факултет1]),dbУчПрактикиКР[[#This Row],[№]],0))</f>
        <v/>
      </c>
      <c r="CC52" s="1375" t="str">
        <f ca="1">T(INDEX(CHOOSE(dbУчПрактикиКР[[#This Row],[код]],BPZS[нацид|монСпециалностМП],BPLS[нацид|монСпециалностМП],MPZS[нацид|монСпециалностМП],MPLS[нацид|монСпециалностМП]),dbУчПрактикиКР[[#This Row],[№]],0))</f>
        <v/>
      </c>
    </row>
    <row r="53" spans="5:81" ht="16.5" x14ac:dyDescent="0.3">
      <c r="E53" s="915" t="s">
        <v>682</v>
      </c>
      <c r="F53" s="923" t="s">
        <v>406</v>
      </c>
      <c r="G53" s="841">
        <v>3</v>
      </c>
      <c r="H53" s="860">
        <f ca="1">IF(dbУчДисц[[#This Row],[Семестър]]=OFFSET(dbУчДисц[[#This Row],[Семестър]],-1,0),N(OFFSET(dbУчДисц[[#This Row],[№]],-1,0))+1,1)</f>
        <v>3</v>
      </c>
      <c r="I53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3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3" s="842" t="str">
        <f ca="1">T(INDEX(CHOOSE(dbУчДисц[[#This Row],[код]],BAZZS[Факултет],BAZLS[Факултет],MAZZS[Факултет],MAZLS[Факултет]),dbУчДисц[[#This Row],[№]],0))</f>
        <v/>
      </c>
      <c r="L53" s="265" t="str">
        <f ca="1">T(INDEX(CHOOSE(dbУчДисц[[#This Row],[код]],BAZZS[Вид],BAZLS[Вид],MAZZS[Вид],MAZLS[Вид]),dbУчДисц[[#This Row],[№]],0))</f>
        <v/>
      </c>
      <c r="M53" s="243" t="str">
        <f ca="1">T(INDEX(CHOOSE(dbУчДисц[[#This Row],[код]],BAZZS[Курс],BAZLS[Курс],MAZZS[Курс],MAZLS[Курс]),dbУчДисц[[#This Row],[№]],0))</f>
        <v/>
      </c>
      <c r="N53" s="243" t="str">
        <f ca="1">T(INDEX(CHOOSE(dbУчДисц[[#This Row],[код]],BAZZS[ФормаОб],BAZLS[ФормаОб],MAZZS[ФормаОб],MAZLS[ФормаОб]),dbУчДисц[[#This Row],[№]],0))</f>
        <v/>
      </c>
      <c r="O53" s="1253" cm="1">
        <f t="array" aca="1" ref="O53" ca="1">INDEX(CHOOSE(dbУчДисц[[#This Row],[код]],BAZZS[Студенти],BAZLS[Студенти],MAZZS[Студенти],MAZLS[Студенти]),dbУчДисц[[#This Row],[№]],0)</f>
        <v>0</v>
      </c>
      <c r="P53" s="1254" cm="1">
        <f t="array" aca="1" ref="P53" ca="1">INDEX(CHOOSE(dbУчДисц[[#This Row],[код]],BAZZS[Лекции],BAZLS[Лекции],MAZZS[Лекции],MAZLS[Лекции]),dbУчДисц[[#This Row],[№]],0)</f>
        <v>0</v>
      </c>
      <c r="Q53" s="1254" cm="1">
        <f t="array" aca="1" ref="Q53" ca="1">INDEX(CHOOSE(dbУчДисц[[#This Row],[код]],BAZZS[Упражнения],BAZLS[Упражнения],MAZZS[Упражнения],MAZLS[Упражнения]),dbУчДисц[[#This Row],[№]],0)</f>
        <v>0</v>
      </c>
      <c r="R53" s="892" t="str">
        <f ca="1">T(INDEX(CHOOSE(dbУчДисц[[#This Row],[код]],BAZZS[Език],BAZLS[Език],MAZZS[Език],MAZLS[Език]),dbУчДисц[[#This Row],[№]],0))</f>
        <v>БЕ</v>
      </c>
      <c r="S53" s="243" t="str">
        <f ca="1">T(INDEX(CHOOSE(dbУчДисц[[#This Row],[код]],BAZZS[ФормаОц],BAZLS[ФормаОц],MAZZS[ФормаОц],MAZLS[ФормаОц]),dbУчДисц[[#This Row],[№]],0))</f>
        <v/>
      </c>
      <c r="T53" s="244" t="str">
        <f ca="1">T(INDEX(CHOOSE(dbУчДисц[[#This Row],[код]],BAZZS[Изпитващ],BAZLS[Изпитващ],MAZZS[Изпитващ],MAZLS[Изпитващ]),dbУчДисц[[#This Row],[№]],0))</f>
        <v/>
      </c>
      <c r="U53" s="1254" cm="1">
        <f t="array" aca="1" ref="U53" ca="1">INDEX(CHOOSE(dbУчДисц[[#This Row],[код]],BAZZS[Изпитани],BAZLS[Изпитани],MAZZS[Изпитани],MAZLS[Изпитани]),dbУчДисц[[#This Row],[№]],0)</f>
        <v>0</v>
      </c>
      <c r="V53" s="1268" cm="1">
        <f t="array" aca="1" ref="V53" ca="1">INDEX(CHOOSE(dbУчДисц[[#This Row],[код]],BAZZS[ТО],BAZLS[ТО],MAZZS[ТО],MAZLS[ТО]),dbУчДисц[[#This Row],[№]],0)</f>
        <v>0</v>
      </c>
      <c r="W53" s="1268" cm="1">
        <f t="array" aca="1" ref="W53" ca="1">INDEX(CHOOSE(dbУчДисц[[#This Row],[код]],BAZZS[КР],BAZLS[КР],MAZZS[КР],MAZLS[КР]),dbУчДисц[[#This Row],[№]],0)</f>
        <v>0</v>
      </c>
      <c r="X5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3" s="1270">
        <f ca="1">IF(AND(dbУчДисц[[#This Row],[Изпитани]]&lt;&gt;0,dbУчДисц[[#This Row],[Изпитващ]]=0),1,0)</f>
        <v>0</v>
      </c>
      <c r="AA53" s="1271">
        <f ca="1">IFERROR(VLOOKUP(dbУчДисц[[#This Row],[Език]],Коефициент_Eзик[],2,0),0)</f>
        <v>1</v>
      </c>
      <c r="AB53" s="1272" cm="1">
        <f t="array" aca="1" ref="AB5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3" s="1273">
        <v>0.5</v>
      </c>
      <c r="AE53" s="1274">
        <v>5</v>
      </c>
      <c r="AF53" s="1271">
        <f ca="1">N(dbУчДисц[[#This Row],[Лекции]])*dbУчДисц[[#This Row],[кЕзик]]*dbУчДисц[[#This Row],[кСтуденти]]*кЛекции</f>
        <v>0</v>
      </c>
      <c r="AG53" s="1272">
        <f ca="1">N(dbУчДисц[[#This Row],[Упражнения]])*dbУчДисц[[#This Row],[кЕзик]]*dbУчДисц[[#This Row],[кСтуденти]]*кУпражнение</f>
        <v>0</v>
      </c>
      <c r="AH53" s="1272">
        <f ca="1">N(dbУчДисц[[#This Row],[Изпитани]])*dbУчДисц[[#This Row],[кИзпитващ]]</f>
        <v>0</v>
      </c>
      <c r="AI53" s="1273">
        <f ca="1">dbУчДисц[[#This Row],[ТО]]*dbУчДисц[[#This Row],[кTO]]</f>
        <v>0</v>
      </c>
      <c r="AJ53" s="1266">
        <f ca="1">dbУчДисц[[#This Row],[КР]]*dbУчДисц[[#This Row],[кКР]]</f>
        <v>0</v>
      </c>
      <c r="AK53" s="1275">
        <f ca="1">N(INDEX(CHOOSE(dbУчДисц[[#This Row],[код]],BAZZS[id_РД],BAZLS[id_РД],MAZZS[id_РД],MAZLS[id_РД]),dbУчДисц[[#This Row],[№]],0))</f>
        <v>0</v>
      </c>
      <c r="AL5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3" s="1383" t="str">
        <f ca="1">T(INDEX(CHOOSE(dbУчДисц[[#This Row],[код]],BAZZS[Факултет1],BAZLS[Факултет1],MAZZS[Факултет1],MAZLS[Факултет1]),dbУчДисц[[#This Row],[№]],0))</f>
        <v/>
      </c>
      <c r="AO5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54" spans="5:81" ht="16.5" x14ac:dyDescent="0.3">
      <c r="E54" s="915" t="s">
        <v>682</v>
      </c>
      <c r="F54" s="923" t="s">
        <v>406</v>
      </c>
      <c r="G54" s="841">
        <v>3</v>
      </c>
      <c r="H54" s="860">
        <f ca="1">IF(dbУчДисц[[#This Row],[Семестър]]=OFFSET(dbУчДисц[[#This Row],[Семестър]],-1,0),N(OFFSET(dbУчДисц[[#This Row],[№]],-1,0))+1,1)</f>
        <v>4</v>
      </c>
      <c r="I54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4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4" s="842" t="str">
        <f ca="1">T(INDEX(CHOOSE(dbУчДисц[[#This Row],[код]],BAZZS[Факултет],BAZLS[Факултет],MAZZS[Факултет],MAZLS[Факултет]),dbУчДисц[[#This Row],[№]],0))</f>
        <v/>
      </c>
      <c r="L54" s="265" t="str">
        <f ca="1">T(INDEX(CHOOSE(dbУчДисц[[#This Row],[код]],BAZZS[Вид],BAZLS[Вид],MAZZS[Вид],MAZLS[Вид]),dbУчДисц[[#This Row],[№]],0))</f>
        <v/>
      </c>
      <c r="M54" s="243" t="str">
        <f ca="1">T(INDEX(CHOOSE(dbУчДисц[[#This Row],[код]],BAZZS[Курс],BAZLS[Курс],MAZZS[Курс],MAZLS[Курс]),dbУчДисц[[#This Row],[№]],0))</f>
        <v/>
      </c>
      <c r="N54" s="243" t="str">
        <f ca="1">T(INDEX(CHOOSE(dbУчДисц[[#This Row],[код]],BAZZS[ФормаОб],BAZLS[ФормаОб],MAZZS[ФормаОб],MAZLS[ФормаОб]),dbУчДисц[[#This Row],[№]],0))</f>
        <v/>
      </c>
      <c r="O54" s="1253" cm="1">
        <f t="array" aca="1" ref="O54" ca="1">INDEX(CHOOSE(dbУчДисц[[#This Row],[код]],BAZZS[Студенти],BAZLS[Студенти],MAZZS[Студенти],MAZLS[Студенти]),dbУчДисц[[#This Row],[№]],0)</f>
        <v>0</v>
      </c>
      <c r="P54" s="1254" cm="1">
        <f t="array" aca="1" ref="P54" ca="1">INDEX(CHOOSE(dbУчДисц[[#This Row],[код]],BAZZS[Лекции],BAZLS[Лекции],MAZZS[Лекции],MAZLS[Лекции]),dbУчДисц[[#This Row],[№]],0)</f>
        <v>0</v>
      </c>
      <c r="Q54" s="1254" cm="1">
        <f t="array" aca="1" ref="Q54" ca="1">INDEX(CHOOSE(dbУчДисц[[#This Row],[код]],BAZZS[Упражнения],BAZLS[Упражнения],MAZZS[Упражнения],MAZLS[Упражнения]),dbУчДисц[[#This Row],[№]],0)</f>
        <v>0</v>
      </c>
      <c r="R54" s="892" t="str">
        <f ca="1">T(INDEX(CHOOSE(dbУчДисц[[#This Row],[код]],BAZZS[Език],BAZLS[Език],MAZZS[Език],MAZLS[Език]),dbУчДисц[[#This Row],[№]],0))</f>
        <v>БЕ</v>
      </c>
      <c r="S54" s="243" t="str">
        <f ca="1">T(INDEX(CHOOSE(dbУчДисц[[#This Row],[код]],BAZZS[ФормаОц],BAZLS[ФормаОц],MAZZS[ФормаОц],MAZLS[ФормаОц]),dbУчДисц[[#This Row],[№]],0))</f>
        <v/>
      </c>
      <c r="T54" s="244" t="str">
        <f ca="1">T(INDEX(CHOOSE(dbУчДисц[[#This Row],[код]],BAZZS[Изпитващ],BAZLS[Изпитващ],MAZZS[Изпитващ],MAZLS[Изпитващ]),dbУчДисц[[#This Row],[№]],0))</f>
        <v/>
      </c>
      <c r="U54" s="1254" cm="1">
        <f t="array" aca="1" ref="U54" ca="1">INDEX(CHOOSE(dbУчДисц[[#This Row],[код]],BAZZS[Изпитани],BAZLS[Изпитани],MAZZS[Изпитани],MAZLS[Изпитани]),dbУчДисц[[#This Row],[№]],0)</f>
        <v>0</v>
      </c>
      <c r="V54" s="1268" cm="1">
        <f t="array" aca="1" ref="V54" ca="1">INDEX(CHOOSE(dbУчДисц[[#This Row],[код]],BAZZS[ТО],BAZLS[ТО],MAZZS[ТО],MAZLS[ТО]),dbУчДисц[[#This Row],[№]],0)</f>
        <v>0</v>
      </c>
      <c r="W54" s="1268" cm="1">
        <f t="array" aca="1" ref="W54" ca="1">INDEX(CHOOSE(dbУчДисц[[#This Row],[код]],BAZZS[КР],BAZLS[КР],MAZZS[КР],MAZLS[КР]),dbУчДисц[[#This Row],[№]],0)</f>
        <v>0</v>
      </c>
      <c r="X5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4" s="1270">
        <f ca="1">IF(AND(dbУчДисц[[#This Row],[Изпитани]]&lt;&gt;0,dbУчДисц[[#This Row],[Изпитващ]]=0),1,0)</f>
        <v>0</v>
      </c>
      <c r="AA54" s="1271">
        <f ca="1">IFERROR(VLOOKUP(dbУчДисц[[#This Row],[Език]],Коефициент_Eзик[],2,0),0)</f>
        <v>1</v>
      </c>
      <c r="AB54" s="1272" cm="1">
        <f t="array" aca="1" ref="AB5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4" s="1273">
        <v>0.5</v>
      </c>
      <c r="AE54" s="1274">
        <v>5</v>
      </c>
      <c r="AF54" s="1271">
        <f ca="1">N(dbУчДисц[[#This Row],[Лекции]])*dbУчДисц[[#This Row],[кЕзик]]*dbУчДисц[[#This Row],[кСтуденти]]*кЛекции</f>
        <v>0</v>
      </c>
      <c r="AG54" s="1272">
        <f ca="1">N(dbУчДисц[[#This Row],[Упражнения]])*dbУчДисц[[#This Row],[кЕзик]]*dbУчДисц[[#This Row],[кСтуденти]]*кУпражнение</f>
        <v>0</v>
      </c>
      <c r="AH54" s="1272">
        <f ca="1">N(dbУчДисц[[#This Row],[Изпитани]])*dbУчДисц[[#This Row],[кИзпитващ]]</f>
        <v>0</v>
      </c>
      <c r="AI54" s="1273">
        <f ca="1">dbУчДисц[[#This Row],[ТО]]*dbУчДисц[[#This Row],[кTO]]</f>
        <v>0</v>
      </c>
      <c r="AJ54" s="1266">
        <f ca="1">dbУчДисц[[#This Row],[КР]]*dbУчДисц[[#This Row],[кКР]]</f>
        <v>0</v>
      </c>
      <c r="AK54" s="1275">
        <f ca="1">N(INDEX(CHOOSE(dbУчДисц[[#This Row],[код]],BAZZS[id_РД],BAZLS[id_РД],MAZZS[id_РД],MAZLS[id_РД]),dbУчДисц[[#This Row],[№]],0))</f>
        <v>0</v>
      </c>
      <c r="AL5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4" s="1383" t="str">
        <f ca="1">T(INDEX(CHOOSE(dbУчДисц[[#This Row],[код]],BAZZS[Факултет1],BAZLS[Факултет1],MAZZS[Факултет1],MAZLS[Факултет1]),dbУчДисц[[#This Row],[№]],0))</f>
        <v/>
      </c>
      <c r="AO5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55" spans="5:81" ht="16.5" x14ac:dyDescent="0.3">
      <c r="E55" s="915" t="s">
        <v>682</v>
      </c>
      <c r="F55" s="923" t="s">
        <v>406</v>
      </c>
      <c r="G55" s="841">
        <v>3</v>
      </c>
      <c r="H55" s="860">
        <f ca="1">IF(dbУчДисц[[#This Row],[Семестър]]=OFFSET(dbУчДисц[[#This Row],[Семестър]],-1,0),N(OFFSET(dbУчДисц[[#This Row],[№]],-1,0))+1,1)</f>
        <v>5</v>
      </c>
      <c r="I55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5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5" s="842" t="str">
        <f ca="1">T(INDEX(CHOOSE(dbУчДисц[[#This Row],[код]],BAZZS[Факултет],BAZLS[Факултет],MAZZS[Факултет],MAZLS[Факултет]),dbУчДисц[[#This Row],[№]],0))</f>
        <v/>
      </c>
      <c r="L55" s="265" t="str">
        <f ca="1">T(INDEX(CHOOSE(dbУчДисц[[#This Row],[код]],BAZZS[Вид],BAZLS[Вид],MAZZS[Вид],MAZLS[Вид]),dbУчДисц[[#This Row],[№]],0))</f>
        <v/>
      </c>
      <c r="M55" s="243" t="str">
        <f ca="1">T(INDEX(CHOOSE(dbУчДисц[[#This Row],[код]],BAZZS[Курс],BAZLS[Курс],MAZZS[Курс],MAZLS[Курс]),dbУчДисц[[#This Row],[№]],0))</f>
        <v/>
      </c>
      <c r="N55" s="243" t="str">
        <f ca="1">T(INDEX(CHOOSE(dbУчДисц[[#This Row],[код]],BAZZS[ФормаОб],BAZLS[ФормаОб],MAZZS[ФормаОб],MAZLS[ФормаОб]),dbУчДисц[[#This Row],[№]],0))</f>
        <v/>
      </c>
      <c r="O55" s="1253" cm="1">
        <f t="array" aca="1" ref="O55" ca="1">INDEX(CHOOSE(dbУчДисц[[#This Row],[код]],BAZZS[Студенти],BAZLS[Студенти],MAZZS[Студенти],MAZLS[Студенти]),dbУчДисц[[#This Row],[№]],0)</f>
        <v>0</v>
      </c>
      <c r="P55" s="1254" cm="1">
        <f t="array" aca="1" ref="P55" ca="1">INDEX(CHOOSE(dbУчДисц[[#This Row],[код]],BAZZS[Лекции],BAZLS[Лекции],MAZZS[Лекции],MAZLS[Лекции]),dbУчДисц[[#This Row],[№]],0)</f>
        <v>0</v>
      </c>
      <c r="Q55" s="1254" cm="1">
        <f t="array" aca="1" ref="Q55" ca="1">INDEX(CHOOSE(dbУчДисц[[#This Row],[код]],BAZZS[Упражнения],BAZLS[Упражнения],MAZZS[Упражнения],MAZLS[Упражнения]),dbУчДисц[[#This Row],[№]],0)</f>
        <v>0</v>
      </c>
      <c r="R55" s="892" t="str">
        <f ca="1">T(INDEX(CHOOSE(dbУчДисц[[#This Row],[код]],BAZZS[Език],BAZLS[Език],MAZZS[Език],MAZLS[Език]),dbУчДисц[[#This Row],[№]],0))</f>
        <v>БЕ</v>
      </c>
      <c r="S55" s="243" t="str">
        <f ca="1">T(INDEX(CHOOSE(dbУчДисц[[#This Row],[код]],BAZZS[ФормаОц],BAZLS[ФормаОц],MAZZS[ФормаОц],MAZLS[ФормаОц]),dbУчДисц[[#This Row],[№]],0))</f>
        <v/>
      </c>
      <c r="T55" s="244" t="str">
        <f ca="1">T(INDEX(CHOOSE(dbУчДисц[[#This Row],[код]],BAZZS[Изпитващ],BAZLS[Изпитващ],MAZZS[Изпитващ],MAZLS[Изпитващ]),dbУчДисц[[#This Row],[№]],0))</f>
        <v/>
      </c>
      <c r="U55" s="1254" cm="1">
        <f t="array" aca="1" ref="U55" ca="1">INDEX(CHOOSE(dbУчДисц[[#This Row],[код]],BAZZS[Изпитани],BAZLS[Изпитани],MAZZS[Изпитани],MAZLS[Изпитани]),dbУчДисц[[#This Row],[№]],0)</f>
        <v>0</v>
      </c>
      <c r="V55" s="1268" cm="1">
        <f t="array" aca="1" ref="V55" ca="1">INDEX(CHOOSE(dbУчДисц[[#This Row],[код]],BAZZS[ТО],BAZLS[ТО],MAZZS[ТО],MAZLS[ТО]),dbУчДисц[[#This Row],[№]],0)</f>
        <v>0</v>
      </c>
      <c r="W55" s="1268" cm="1">
        <f t="array" aca="1" ref="W55" ca="1">INDEX(CHOOSE(dbУчДисц[[#This Row],[код]],BAZZS[КР],BAZLS[КР],MAZZS[КР],MAZLS[КР]),dbУчДисц[[#This Row],[№]],0)</f>
        <v>0</v>
      </c>
      <c r="X5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5" s="1270">
        <f ca="1">IF(AND(dbУчДисц[[#This Row],[Изпитани]]&lt;&gt;0,dbУчДисц[[#This Row],[Изпитващ]]=0),1,0)</f>
        <v>0</v>
      </c>
      <c r="AA55" s="1271">
        <f ca="1">IFERROR(VLOOKUP(dbУчДисц[[#This Row],[Език]],Коефициент_Eзик[],2,0),0)</f>
        <v>1</v>
      </c>
      <c r="AB55" s="1272" cm="1">
        <f t="array" aca="1" ref="AB5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5" s="1273">
        <v>0.5</v>
      </c>
      <c r="AE55" s="1274">
        <v>5</v>
      </c>
      <c r="AF55" s="1271">
        <f ca="1">N(dbУчДисц[[#This Row],[Лекции]])*dbУчДисц[[#This Row],[кЕзик]]*dbУчДисц[[#This Row],[кСтуденти]]*кЛекции</f>
        <v>0</v>
      </c>
      <c r="AG55" s="1272">
        <f ca="1">N(dbУчДисц[[#This Row],[Упражнения]])*dbУчДисц[[#This Row],[кЕзик]]*dbУчДисц[[#This Row],[кСтуденти]]*кУпражнение</f>
        <v>0</v>
      </c>
      <c r="AH55" s="1272">
        <f ca="1">N(dbУчДисц[[#This Row],[Изпитани]])*dbУчДисц[[#This Row],[кИзпитващ]]</f>
        <v>0</v>
      </c>
      <c r="AI55" s="1273">
        <f ca="1">dbУчДисц[[#This Row],[ТО]]*dbУчДисц[[#This Row],[кTO]]</f>
        <v>0</v>
      </c>
      <c r="AJ55" s="1266">
        <f ca="1">dbУчДисц[[#This Row],[КР]]*dbУчДисц[[#This Row],[кКР]]</f>
        <v>0</v>
      </c>
      <c r="AK55" s="1275">
        <f ca="1">N(INDEX(CHOOSE(dbУчДисц[[#This Row],[код]],BAZZS[id_РД],BAZLS[id_РД],MAZZS[id_РД],MAZLS[id_РД]),dbУчДисц[[#This Row],[№]],0))</f>
        <v>0</v>
      </c>
      <c r="AL5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5" s="1383" t="str">
        <f ca="1">T(INDEX(CHOOSE(dbУчДисц[[#This Row],[код]],BAZZS[Факултет1],BAZLS[Факултет1],MAZZS[Факултет1],MAZLS[Факултет1]),dbУчДисц[[#This Row],[№]],0))</f>
        <v/>
      </c>
      <c r="AO5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56" spans="5:81" ht="16.5" x14ac:dyDescent="0.3">
      <c r="E56" s="915" t="s">
        <v>682</v>
      </c>
      <c r="F56" s="923" t="s">
        <v>406</v>
      </c>
      <c r="G56" s="841">
        <v>3</v>
      </c>
      <c r="H56" s="860">
        <f ca="1">IF(dbУчДисц[[#This Row],[Семестър]]=OFFSET(dbУчДисц[[#This Row],[Семестър]],-1,0),N(OFFSET(dbУчДисц[[#This Row],[№]],-1,0))+1,1)</f>
        <v>6</v>
      </c>
      <c r="I56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6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6" s="842" t="str">
        <f ca="1">T(INDEX(CHOOSE(dbУчДисц[[#This Row],[код]],BAZZS[Факултет],BAZLS[Факултет],MAZZS[Факултет],MAZLS[Факултет]),dbУчДисц[[#This Row],[№]],0))</f>
        <v/>
      </c>
      <c r="L56" s="265" t="str">
        <f ca="1">T(INDEX(CHOOSE(dbУчДисц[[#This Row],[код]],BAZZS[Вид],BAZLS[Вид],MAZZS[Вид],MAZLS[Вид]),dbУчДисц[[#This Row],[№]],0))</f>
        <v/>
      </c>
      <c r="M56" s="243" t="str">
        <f ca="1">T(INDEX(CHOOSE(dbУчДисц[[#This Row],[код]],BAZZS[Курс],BAZLS[Курс],MAZZS[Курс],MAZLS[Курс]),dbУчДисц[[#This Row],[№]],0))</f>
        <v/>
      </c>
      <c r="N56" s="243" t="str">
        <f ca="1">T(INDEX(CHOOSE(dbУчДисц[[#This Row],[код]],BAZZS[ФормаОб],BAZLS[ФормаОб],MAZZS[ФормаОб],MAZLS[ФормаОб]),dbУчДисц[[#This Row],[№]],0))</f>
        <v/>
      </c>
      <c r="O56" s="1253" cm="1">
        <f t="array" aca="1" ref="O56" ca="1">INDEX(CHOOSE(dbУчДисц[[#This Row],[код]],BAZZS[Студенти],BAZLS[Студенти],MAZZS[Студенти],MAZLS[Студенти]),dbУчДисц[[#This Row],[№]],0)</f>
        <v>0</v>
      </c>
      <c r="P56" s="1254" cm="1">
        <f t="array" aca="1" ref="P56" ca="1">INDEX(CHOOSE(dbУчДисц[[#This Row],[код]],BAZZS[Лекции],BAZLS[Лекции],MAZZS[Лекции],MAZLS[Лекции]),dbУчДисц[[#This Row],[№]],0)</f>
        <v>0</v>
      </c>
      <c r="Q56" s="1254" cm="1">
        <f t="array" aca="1" ref="Q56" ca="1">INDEX(CHOOSE(dbУчДисц[[#This Row],[код]],BAZZS[Упражнения],BAZLS[Упражнения],MAZZS[Упражнения],MAZLS[Упражнения]),dbУчДисц[[#This Row],[№]],0)</f>
        <v>0</v>
      </c>
      <c r="R56" s="892" t="str">
        <f ca="1">T(INDEX(CHOOSE(dbУчДисц[[#This Row],[код]],BAZZS[Език],BAZLS[Език],MAZZS[Език],MAZLS[Език]),dbУчДисц[[#This Row],[№]],0))</f>
        <v>БЕ</v>
      </c>
      <c r="S56" s="243" t="str">
        <f ca="1">T(INDEX(CHOOSE(dbУчДисц[[#This Row],[код]],BAZZS[ФормаОц],BAZLS[ФормаОц],MAZZS[ФормаОц],MAZLS[ФормаОц]),dbУчДисц[[#This Row],[№]],0))</f>
        <v/>
      </c>
      <c r="T56" s="244" t="str">
        <f ca="1">T(INDEX(CHOOSE(dbУчДисц[[#This Row],[код]],BAZZS[Изпитващ],BAZLS[Изпитващ],MAZZS[Изпитващ],MAZLS[Изпитващ]),dbУчДисц[[#This Row],[№]],0))</f>
        <v/>
      </c>
      <c r="U56" s="1254" cm="1">
        <f t="array" aca="1" ref="U56" ca="1">INDEX(CHOOSE(dbУчДисц[[#This Row],[код]],BAZZS[Изпитани],BAZLS[Изпитани],MAZZS[Изпитани],MAZLS[Изпитани]),dbУчДисц[[#This Row],[№]],0)</f>
        <v>0</v>
      </c>
      <c r="V56" s="1268" cm="1">
        <f t="array" aca="1" ref="V56" ca="1">INDEX(CHOOSE(dbУчДисц[[#This Row],[код]],BAZZS[ТО],BAZLS[ТО],MAZZS[ТО],MAZLS[ТО]),dbУчДисц[[#This Row],[№]],0)</f>
        <v>0</v>
      </c>
      <c r="W56" s="1268" cm="1">
        <f t="array" aca="1" ref="W56" ca="1">INDEX(CHOOSE(dbУчДисц[[#This Row],[код]],BAZZS[КР],BAZLS[КР],MAZZS[КР],MAZLS[КР]),dbУчДисц[[#This Row],[№]],0)</f>
        <v>0</v>
      </c>
      <c r="X5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6" s="1270">
        <f ca="1">IF(AND(dbУчДисц[[#This Row],[Изпитани]]&lt;&gt;0,dbУчДисц[[#This Row],[Изпитващ]]=0),1,0)</f>
        <v>0</v>
      </c>
      <c r="AA56" s="1271">
        <f ca="1">IFERROR(VLOOKUP(dbУчДисц[[#This Row],[Език]],Коефициент_Eзик[],2,0),0)</f>
        <v>1</v>
      </c>
      <c r="AB56" s="1272" cm="1">
        <f t="array" aca="1" ref="AB5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6" s="1273">
        <v>0.5</v>
      </c>
      <c r="AE56" s="1274">
        <v>5</v>
      </c>
      <c r="AF56" s="1271">
        <f ca="1">N(dbУчДисц[[#This Row],[Лекции]])*dbУчДисц[[#This Row],[кЕзик]]*dbУчДисц[[#This Row],[кСтуденти]]*кЛекции</f>
        <v>0</v>
      </c>
      <c r="AG56" s="1272">
        <f ca="1">N(dbУчДисц[[#This Row],[Упражнения]])*dbУчДисц[[#This Row],[кЕзик]]*dbУчДисц[[#This Row],[кСтуденти]]*кУпражнение</f>
        <v>0</v>
      </c>
      <c r="AH56" s="1272">
        <f ca="1">N(dbУчДисц[[#This Row],[Изпитани]])*dbУчДисц[[#This Row],[кИзпитващ]]</f>
        <v>0</v>
      </c>
      <c r="AI56" s="1273">
        <f ca="1">dbУчДисц[[#This Row],[ТО]]*dbУчДисц[[#This Row],[кTO]]</f>
        <v>0</v>
      </c>
      <c r="AJ56" s="1266">
        <f ca="1">dbУчДисц[[#This Row],[КР]]*dbУчДисц[[#This Row],[кКР]]</f>
        <v>0</v>
      </c>
      <c r="AK56" s="1275">
        <f ca="1">N(INDEX(CHOOSE(dbУчДисц[[#This Row],[код]],BAZZS[id_РД],BAZLS[id_РД],MAZZS[id_РД],MAZLS[id_РД]),dbУчДисц[[#This Row],[№]],0))</f>
        <v>0</v>
      </c>
      <c r="AL5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6" s="1383" t="str">
        <f ca="1">T(INDEX(CHOOSE(dbУчДисц[[#This Row],[код]],BAZZS[Факултет1],BAZLS[Факултет1],MAZZS[Факултет1],MAZLS[Факултет1]),dbУчДисц[[#This Row],[№]],0))</f>
        <v/>
      </c>
      <c r="AO5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57" spans="5:81" ht="16.5" x14ac:dyDescent="0.3">
      <c r="E57" s="915" t="s">
        <v>682</v>
      </c>
      <c r="F57" s="923" t="s">
        <v>406</v>
      </c>
      <c r="G57" s="841">
        <v>3</v>
      </c>
      <c r="H57" s="860">
        <f ca="1">IF(dbУчДисц[[#This Row],[Семестър]]=OFFSET(dbУчДисц[[#This Row],[Семестър]],-1,0),N(OFFSET(dbУчДисц[[#This Row],[№]],-1,0))+1,1)</f>
        <v>7</v>
      </c>
      <c r="I57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7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7" s="842" t="str">
        <f ca="1">T(INDEX(CHOOSE(dbУчДисц[[#This Row],[код]],BAZZS[Факултет],BAZLS[Факултет],MAZZS[Факултет],MAZLS[Факултет]),dbУчДисц[[#This Row],[№]],0))</f>
        <v/>
      </c>
      <c r="L57" s="265" t="str">
        <f ca="1">T(INDEX(CHOOSE(dbУчДисц[[#This Row],[код]],BAZZS[Вид],BAZLS[Вид],MAZZS[Вид],MAZLS[Вид]),dbУчДисц[[#This Row],[№]],0))</f>
        <v/>
      </c>
      <c r="M57" s="243" t="str">
        <f ca="1">T(INDEX(CHOOSE(dbУчДисц[[#This Row],[код]],BAZZS[Курс],BAZLS[Курс],MAZZS[Курс],MAZLS[Курс]),dbУчДисц[[#This Row],[№]],0))</f>
        <v/>
      </c>
      <c r="N57" s="243" t="str">
        <f ca="1">T(INDEX(CHOOSE(dbУчДисц[[#This Row],[код]],BAZZS[ФормаОб],BAZLS[ФормаОб],MAZZS[ФормаОб],MAZLS[ФормаОб]),dbУчДисц[[#This Row],[№]],0))</f>
        <v/>
      </c>
      <c r="O57" s="1253" cm="1">
        <f t="array" aca="1" ref="O57" ca="1">INDEX(CHOOSE(dbУчДисц[[#This Row],[код]],BAZZS[Студенти],BAZLS[Студенти],MAZZS[Студенти],MAZLS[Студенти]),dbУчДисц[[#This Row],[№]],0)</f>
        <v>0</v>
      </c>
      <c r="P57" s="1254" cm="1">
        <f t="array" aca="1" ref="P57" ca="1">INDEX(CHOOSE(dbУчДисц[[#This Row],[код]],BAZZS[Лекции],BAZLS[Лекции],MAZZS[Лекции],MAZLS[Лекции]),dbУчДисц[[#This Row],[№]],0)</f>
        <v>0</v>
      </c>
      <c r="Q57" s="1254" cm="1">
        <f t="array" aca="1" ref="Q57" ca="1">INDEX(CHOOSE(dbУчДисц[[#This Row],[код]],BAZZS[Упражнения],BAZLS[Упражнения],MAZZS[Упражнения],MAZLS[Упражнения]),dbУчДисц[[#This Row],[№]],0)</f>
        <v>0</v>
      </c>
      <c r="R57" s="892" t="str">
        <f ca="1">T(INDEX(CHOOSE(dbУчДисц[[#This Row],[код]],BAZZS[Език],BAZLS[Език],MAZZS[Език],MAZLS[Език]),dbУчДисц[[#This Row],[№]],0))</f>
        <v>БЕ</v>
      </c>
      <c r="S57" s="243" t="str">
        <f ca="1">T(INDEX(CHOOSE(dbУчДисц[[#This Row],[код]],BAZZS[ФормаОц],BAZLS[ФормаОц],MAZZS[ФормаОц],MAZLS[ФормаОц]),dbУчДисц[[#This Row],[№]],0))</f>
        <v/>
      </c>
      <c r="T57" s="244" t="str">
        <f ca="1">T(INDEX(CHOOSE(dbУчДисц[[#This Row],[код]],BAZZS[Изпитващ],BAZLS[Изпитващ],MAZZS[Изпитващ],MAZLS[Изпитващ]),dbУчДисц[[#This Row],[№]],0))</f>
        <v/>
      </c>
      <c r="U57" s="1254" cm="1">
        <f t="array" aca="1" ref="U57" ca="1">INDEX(CHOOSE(dbУчДисц[[#This Row],[код]],BAZZS[Изпитани],BAZLS[Изпитани],MAZZS[Изпитани],MAZLS[Изпитани]),dbУчДисц[[#This Row],[№]],0)</f>
        <v>0</v>
      </c>
      <c r="V57" s="1268" cm="1">
        <f t="array" aca="1" ref="V57" ca="1">INDEX(CHOOSE(dbУчДисц[[#This Row],[код]],BAZZS[ТО],BAZLS[ТО],MAZZS[ТО],MAZLS[ТО]),dbУчДисц[[#This Row],[№]],0)</f>
        <v>0</v>
      </c>
      <c r="W57" s="1268" cm="1">
        <f t="array" aca="1" ref="W57" ca="1">INDEX(CHOOSE(dbУчДисц[[#This Row],[код]],BAZZS[КР],BAZLS[КР],MAZZS[КР],MAZLS[КР]),dbУчДисц[[#This Row],[№]],0)</f>
        <v>0</v>
      </c>
      <c r="X5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7" s="1270">
        <f ca="1">IF(AND(dbУчДисц[[#This Row],[Изпитани]]&lt;&gt;0,dbУчДисц[[#This Row],[Изпитващ]]=0),1,0)</f>
        <v>0</v>
      </c>
      <c r="AA57" s="1271">
        <f ca="1">IFERROR(VLOOKUP(dbУчДисц[[#This Row],[Език]],Коефициент_Eзик[],2,0),0)</f>
        <v>1</v>
      </c>
      <c r="AB57" s="1272" cm="1">
        <f t="array" aca="1" ref="AB5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7" s="1273">
        <v>0.5</v>
      </c>
      <c r="AE57" s="1274">
        <v>5</v>
      </c>
      <c r="AF57" s="1271">
        <f ca="1">N(dbУчДисц[[#This Row],[Лекции]])*dbУчДисц[[#This Row],[кЕзик]]*dbУчДисц[[#This Row],[кСтуденти]]*кЛекции</f>
        <v>0</v>
      </c>
      <c r="AG57" s="1272">
        <f ca="1">N(dbУчДисц[[#This Row],[Упражнения]])*dbУчДисц[[#This Row],[кЕзик]]*dbУчДисц[[#This Row],[кСтуденти]]*кУпражнение</f>
        <v>0</v>
      </c>
      <c r="AH57" s="1272">
        <f ca="1">N(dbУчДисц[[#This Row],[Изпитани]])*dbУчДисц[[#This Row],[кИзпитващ]]</f>
        <v>0</v>
      </c>
      <c r="AI57" s="1273">
        <f ca="1">dbУчДисц[[#This Row],[ТО]]*dbУчДисц[[#This Row],[кTO]]</f>
        <v>0</v>
      </c>
      <c r="AJ57" s="1266">
        <f ca="1">dbУчДисц[[#This Row],[КР]]*dbУчДисц[[#This Row],[кКР]]</f>
        <v>0</v>
      </c>
      <c r="AK57" s="1275">
        <f ca="1">N(INDEX(CHOOSE(dbУчДисц[[#This Row],[код]],BAZZS[id_РД],BAZLS[id_РД],MAZZS[id_РД],MAZLS[id_РД]),dbУчДисц[[#This Row],[№]],0))</f>
        <v>0</v>
      </c>
      <c r="AL5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7" s="1383" t="str">
        <f ca="1">T(INDEX(CHOOSE(dbУчДисц[[#This Row],[код]],BAZZS[Факултет1],BAZLS[Факултет1],MAZZS[Факултет1],MAZLS[Факултет1]),dbУчДисц[[#This Row],[№]],0))</f>
        <v/>
      </c>
      <c r="AO5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58" spans="5:81" ht="16.5" x14ac:dyDescent="0.3">
      <c r="E58" s="915" t="s">
        <v>682</v>
      </c>
      <c r="F58" s="923" t="s">
        <v>406</v>
      </c>
      <c r="G58" s="841">
        <v>3</v>
      </c>
      <c r="H58" s="860">
        <f ca="1">IF(dbУчДисц[[#This Row],[Семестър]]=OFFSET(dbУчДисц[[#This Row],[Семестър]],-1,0),N(OFFSET(dbУчДисц[[#This Row],[№]],-1,0))+1,1)</f>
        <v>8</v>
      </c>
      <c r="I58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8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8" s="842" t="str">
        <f ca="1">T(INDEX(CHOOSE(dbУчДисц[[#This Row],[код]],BAZZS[Факултет],BAZLS[Факултет],MAZZS[Факултет],MAZLS[Факултет]),dbУчДисц[[#This Row],[№]],0))</f>
        <v/>
      </c>
      <c r="L58" s="265" t="str">
        <f ca="1">T(INDEX(CHOOSE(dbУчДисц[[#This Row],[код]],BAZZS[Вид],BAZLS[Вид],MAZZS[Вид],MAZLS[Вид]),dbУчДисц[[#This Row],[№]],0))</f>
        <v/>
      </c>
      <c r="M58" s="243" t="str">
        <f ca="1">T(INDEX(CHOOSE(dbУчДисц[[#This Row],[код]],BAZZS[Курс],BAZLS[Курс],MAZZS[Курс],MAZLS[Курс]),dbУчДисц[[#This Row],[№]],0))</f>
        <v/>
      </c>
      <c r="N58" s="243" t="str">
        <f ca="1">T(INDEX(CHOOSE(dbУчДисц[[#This Row],[код]],BAZZS[ФормаОб],BAZLS[ФормаОб],MAZZS[ФормаОб],MAZLS[ФормаОб]),dbУчДисц[[#This Row],[№]],0))</f>
        <v/>
      </c>
      <c r="O58" s="1253" cm="1">
        <f t="array" aca="1" ref="O58" ca="1">INDEX(CHOOSE(dbУчДисц[[#This Row],[код]],BAZZS[Студенти],BAZLS[Студенти],MAZZS[Студенти],MAZLS[Студенти]),dbУчДисц[[#This Row],[№]],0)</f>
        <v>0</v>
      </c>
      <c r="P58" s="1254" cm="1">
        <f t="array" aca="1" ref="P58" ca="1">INDEX(CHOOSE(dbУчДисц[[#This Row],[код]],BAZZS[Лекции],BAZLS[Лекции],MAZZS[Лекции],MAZLS[Лекции]),dbУчДисц[[#This Row],[№]],0)</f>
        <v>0</v>
      </c>
      <c r="Q58" s="1254" cm="1">
        <f t="array" aca="1" ref="Q58" ca="1">INDEX(CHOOSE(dbУчДисц[[#This Row],[код]],BAZZS[Упражнения],BAZLS[Упражнения],MAZZS[Упражнения],MAZLS[Упражнения]),dbУчДисц[[#This Row],[№]],0)</f>
        <v>0</v>
      </c>
      <c r="R58" s="892" t="str">
        <f ca="1">T(INDEX(CHOOSE(dbУчДисц[[#This Row],[код]],BAZZS[Език],BAZLS[Език],MAZZS[Език],MAZLS[Език]),dbУчДисц[[#This Row],[№]],0))</f>
        <v>БЕ</v>
      </c>
      <c r="S58" s="243" t="str">
        <f ca="1">T(INDEX(CHOOSE(dbУчДисц[[#This Row],[код]],BAZZS[ФормаОц],BAZLS[ФормаОц],MAZZS[ФормаОц],MAZLS[ФормаОц]),dbУчДисц[[#This Row],[№]],0))</f>
        <v/>
      </c>
      <c r="T58" s="244" t="str">
        <f ca="1">T(INDEX(CHOOSE(dbУчДисц[[#This Row],[код]],BAZZS[Изпитващ],BAZLS[Изпитващ],MAZZS[Изпитващ],MAZLS[Изпитващ]),dbУчДисц[[#This Row],[№]],0))</f>
        <v/>
      </c>
      <c r="U58" s="1254" cm="1">
        <f t="array" aca="1" ref="U58" ca="1">INDEX(CHOOSE(dbУчДисц[[#This Row],[код]],BAZZS[Изпитани],BAZLS[Изпитани],MAZZS[Изпитани],MAZLS[Изпитани]),dbУчДисц[[#This Row],[№]],0)</f>
        <v>0</v>
      </c>
      <c r="V58" s="1268" cm="1">
        <f t="array" aca="1" ref="V58" ca="1">INDEX(CHOOSE(dbУчДисц[[#This Row],[код]],BAZZS[ТО],BAZLS[ТО],MAZZS[ТО],MAZLS[ТО]),dbУчДисц[[#This Row],[№]],0)</f>
        <v>0</v>
      </c>
      <c r="W58" s="1268" cm="1">
        <f t="array" aca="1" ref="W58" ca="1">INDEX(CHOOSE(dbУчДисц[[#This Row],[код]],BAZZS[КР],BAZLS[КР],MAZZS[КР],MAZLS[КР]),dbУчДисц[[#This Row],[№]],0)</f>
        <v>0</v>
      </c>
      <c r="X5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8" s="1270">
        <f ca="1">IF(AND(dbУчДисц[[#This Row],[Изпитани]]&lt;&gt;0,dbУчДисц[[#This Row],[Изпитващ]]=0),1,0)</f>
        <v>0</v>
      </c>
      <c r="AA58" s="1271">
        <f ca="1">IFERROR(VLOOKUP(dbУчДисц[[#This Row],[Език]],Коефициент_Eзик[],2,0),0)</f>
        <v>1</v>
      </c>
      <c r="AB58" s="1272" cm="1">
        <f t="array" aca="1" ref="AB5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8" s="1273">
        <v>0.5</v>
      </c>
      <c r="AE58" s="1274">
        <v>5</v>
      </c>
      <c r="AF58" s="1271">
        <f ca="1">N(dbУчДисц[[#This Row],[Лекции]])*dbУчДисц[[#This Row],[кЕзик]]*dbУчДисц[[#This Row],[кСтуденти]]*кЛекции</f>
        <v>0</v>
      </c>
      <c r="AG58" s="1272">
        <f ca="1">N(dbУчДисц[[#This Row],[Упражнения]])*dbУчДисц[[#This Row],[кЕзик]]*dbУчДисц[[#This Row],[кСтуденти]]*кУпражнение</f>
        <v>0</v>
      </c>
      <c r="AH58" s="1272">
        <f ca="1">N(dbУчДисц[[#This Row],[Изпитани]])*dbУчДисц[[#This Row],[кИзпитващ]]</f>
        <v>0</v>
      </c>
      <c r="AI58" s="1273">
        <f ca="1">dbУчДисц[[#This Row],[ТО]]*dbУчДисц[[#This Row],[кTO]]</f>
        <v>0</v>
      </c>
      <c r="AJ58" s="1266">
        <f ca="1">dbУчДисц[[#This Row],[КР]]*dbУчДисц[[#This Row],[кКР]]</f>
        <v>0</v>
      </c>
      <c r="AK58" s="1275">
        <f ca="1">N(INDEX(CHOOSE(dbУчДисц[[#This Row],[код]],BAZZS[id_РД],BAZLS[id_РД],MAZZS[id_РД],MAZLS[id_РД]),dbУчДисц[[#This Row],[№]],0))</f>
        <v>0</v>
      </c>
      <c r="AL5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8" s="1383" t="str">
        <f ca="1">T(INDEX(CHOOSE(dbУчДисц[[#This Row],[код]],BAZZS[Факултет1],BAZLS[Факултет1],MAZZS[Факултет1],MAZLS[Факултет1]),dbУчДисц[[#This Row],[№]],0))</f>
        <v/>
      </c>
      <c r="AO5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59" spans="5:81" ht="16.5" x14ac:dyDescent="0.3">
      <c r="E59" s="915" t="s">
        <v>682</v>
      </c>
      <c r="F59" s="923" t="s">
        <v>406</v>
      </c>
      <c r="G59" s="841">
        <v>3</v>
      </c>
      <c r="H59" s="860">
        <f ca="1">IF(dbУчДисц[[#This Row],[Семестър]]=OFFSET(dbУчДисц[[#This Row],[Семестър]],-1,0),N(OFFSET(dbУчДисц[[#This Row],[№]],-1,0))+1,1)</f>
        <v>9</v>
      </c>
      <c r="I59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59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59" s="842" t="str">
        <f ca="1">T(INDEX(CHOOSE(dbУчДисц[[#This Row],[код]],BAZZS[Факултет],BAZLS[Факултет],MAZZS[Факултет],MAZLS[Факултет]),dbУчДисц[[#This Row],[№]],0))</f>
        <v/>
      </c>
      <c r="L59" s="265" t="str">
        <f ca="1">T(INDEX(CHOOSE(dbУчДисц[[#This Row],[код]],BAZZS[Вид],BAZLS[Вид],MAZZS[Вид],MAZLS[Вид]),dbУчДисц[[#This Row],[№]],0))</f>
        <v/>
      </c>
      <c r="M59" s="243" t="str">
        <f ca="1">T(INDEX(CHOOSE(dbУчДисц[[#This Row],[код]],BAZZS[Курс],BAZLS[Курс],MAZZS[Курс],MAZLS[Курс]),dbУчДисц[[#This Row],[№]],0))</f>
        <v/>
      </c>
      <c r="N59" s="243" t="str">
        <f ca="1">T(INDEX(CHOOSE(dbУчДисц[[#This Row],[код]],BAZZS[ФормаОб],BAZLS[ФормаОб],MAZZS[ФормаОб],MAZLS[ФормаОб]),dbУчДисц[[#This Row],[№]],0))</f>
        <v/>
      </c>
      <c r="O59" s="1253" cm="1">
        <f t="array" aca="1" ref="O59" ca="1">INDEX(CHOOSE(dbУчДисц[[#This Row],[код]],BAZZS[Студенти],BAZLS[Студенти],MAZZS[Студенти],MAZLS[Студенти]),dbУчДисц[[#This Row],[№]],0)</f>
        <v>0</v>
      </c>
      <c r="P59" s="1254" cm="1">
        <f t="array" aca="1" ref="P59" ca="1">INDEX(CHOOSE(dbУчДисц[[#This Row],[код]],BAZZS[Лекции],BAZLS[Лекции],MAZZS[Лекции],MAZLS[Лекции]),dbУчДисц[[#This Row],[№]],0)</f>
        <v>0</v>
      </c>
      <c r="Q59" s="1254" cm="1">
        <f t="array" aca="1" ref="Q59" ca="1">INDEX(CHOOSE(dbУчДисц[[#This Row],[код]],BAZZS[Упражнения],BAZLS[Упражнения],MAZZS[Упражнения],MAZLS[Упражнения]),dbУчДисц[[#This Row],[№]],0)</f>
        <v>0</v>
      </c>
      <c r="R59" s="892" t="str">
        <f ca="1">T(INDEX(CHOOSE(dbУчДисц[[#This Row],[код]],BAZZS[Език],BAZLS[Език],MAZZS[Език],MAZLS[Език]),dbУчДисц[[#This Row],[№]],0))</f>
        <v>БЕ</v>
      </c>
      <c r="S59" s="243" t="str">
        <f ca="1">T(INDEX(CHOOSE(dbУчДисц[[#This Row],[код]],BAZZS[ФормаОц],BAZLS[ФормаОц],MAZZS[ФормаОц],MAZLS[ФормаОц]),dbУчДисц[[#This Row],[№]],0))</f>
        <v/>
      </c>
      <c r="T59" s="244" t="str">
        <f ca="1">T(INDEX(CHOOSE(dbУчДисц[[#This Row],[код]],BAZZS[Изпитващ],BAZLS[Изпитващ],MAZZS[Изпитващ],MAZLS[Изпитващ]),dbУчДисц[[#This Row],[№]],0))</f>
        <v/>
      </c>
      <c r="U59" s="1254" cm="1">
        <f t="array" aca="1" ref="U59" ca="1">INDEX(CHOOSE(dbУчДисц[[#This Row],[код]],BAZZS[Изпитани],BAZLS[Изпитани],MAZZS[Изпитани],MAZLS[Изпитани]),dbУчДисц[[#This Row],[№]],0)</f>
        <v>0</v>
      </c>
      <c r="V59" s="1268" cm="1">
        <f t="array" aca="1" ref="V59" ca="1">INDEX(CHOOSE(dbУчДисц[[#This Row],[код]],BAZZS[ТО],BAZLS[ТО],MAZZS[ТО],MAZLS[ТО]),dbУчДисц[[#This Row],[№]],0)</f>
        <v>0</v>
      </c>
      <c r="W59" s="1268" cm="1">
        <f t="array" aca="1" ref="W59" ca="1">INDEX(CHOOSE(dbУчДисц[[#This Row],[код]],BAZZS[КР],BAZLS[КР],MAZZS[КР],MAZLS[КР]),dbУчДисц[[#This Row],[№]],0)</f>
        <v>0</v>
      </c>
      <c r="X59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59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59" s="1270">
        <f ca="1">IF(AND(dbУчДисц[[#This Row],[Изпитани]]&lt;&gt;0,dbУчДисц[[#This Row],[Изпитващ]]=0),1,0)</f>
        <v>0</v>
      </c>
      <c r="AA59" s="1271">
        <f ca="1">IFERROR(VLOOKUP(dbУчДисц[[#This Row],[Език]],Коефициент_Eзик[],2,0),0)</f>
        <v>1</v>
      </c>
      <c r="AB59" s="1272" cm="1">
        <f t="array" aca="1" ref="AB5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59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59" s="1273">
        <v>0.5</v>
      </c>
      <c r="AE59" s="1274">
        <v>5</v>
      </c>
      <c r="AF59" s="1271">
        <f ca="1">N(dbУчДисц[[#This Row],[Лекции]])*dbУчДисц[[#This Row],[кЕзик]]*dbУчДисц[[#This Row],[кСтуденти]]*кЛекции</f>
        <v>0</v>
      </c>
      <c r="AG59" s="1272">
        <f ca="1">N(dbУчДисц[[#This Row],[Упражнения]])*dbУчДисц[[#This Row],[кЕзик]]*dbУчДисц[[#This Row],[кСтуденти]]*кУпражнение</f>
        <v>0</v>
      </c>
      <c r="AH59" s="1272">
        <f ca="1">N(dbУчДисц[[#This Row],[Изпитани]])*dbУчДисц[[#This Row],[кИзпитващ]]</f>
        <v>0</v>
      </c>
      <c r="AI59" s="1273">
        <f ca="1">dbУчДисц[[#This Row],[ТО]]*dbУчДисц[[#This Row],[кTO]]</f>
        <v>0</v>
      </c>
      <c r="AJ59" s="1266">
        <f ca="1">dbУчДисц[[#This Row],[КР]]*dbУчДисц[[#This Row],[кКР]]</f>
        <v>0</v>
      </c>
      <c r="AK59" s="1275">
        <f ca="1">N(INDEX(CHOOSE(dbУчДисц[[#This Row],[код]],BAZZS[id_РД],BAZLS[id_РД],MAZZS[id_РД],MAZLS[id_РД]),dbУчДисц[[#This Row],[№]],0))</f>
        <v>0</v>
      </c>
      <c r="AL59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59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59" s="1383" t="str">
        <f ca="1">T(INDEX(CHOOSE(dbУчДисц[[#This Row],[код]],BAZZS[Факултет1],BAZLS[Факултет1],MAZZS[Факултет1],MAZLS[Факултет1]),dbУчДисц[[#This Row],[№]],0))</f>
        <v/>
      </c>
      <c r="AO59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0" spans="5:81" ht="16.5" x14ac:dyDescent="0.3">
      <c r="E60" s="915" t="s">
        <v>682</v>
      </c>
      <c r="F60" s="923" t="s">
        <v>406</v>
      </c>
      <c r="G60" s="841">
        <v>3</v>
      </c>
      <c r="H60" s="860">
        <f ca="1">IF(dbУчДисц[[#This Row],[Семестър]]=OFFSET(dbУчДисц[[#This Row],[Семестър]],-1,0),N(OFFSET(dbУчДисц[[#This Row],[№]],-1,0))+1,1)</f>
        <v>10</v>
      </c>
      <c r="I60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0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0" s="842" t="str">
        <f ca="1">T(INDEX(CHOOSE(dbУчДисц[[#This Row],[код]],BAZZS[Факултет],BAZLS[Факултет],MAZZS[Факултет],MAZLS[Факултет]),dbУчДисц[[#This Row],[№]],0))</f>
        <v/>
      </c>
      <c r="L60" s="265" t="str">
        <f ca="1">T(INDEX(CHOOSE(dbУчДисц[[#This Row],[код]],BAZZS[Вид],BAZLS[Вид],MAZZS[Вид],MAZLS[Вид]),dbУчДисц[[#This Row],[№]],0))</f>
        <v/>
      </c>
      <c r="M60" s="243" t="str">
        <f ca="1">T(INDEX(CHOOSE(dbУчДисц[[#This Row],[код]],BAZZS[Курс],BAZLS[Курс],MAZZS[Курс],MAZLS[Курс]),dbУчДисц[[#This Row],[№]],0))</f>
        <v/>
      </c>
      <c r="N60" s="243" t="str">
        <f ca="1">T(INDEX(CHOOSE(dbУчДисц[[#This Row],[код]],BAZZS[ФормаОб],BAZLS[ФормаОб],MAZZS[ФормаОб],MAZLS[ФормаОб]),dbУчДисц[[#This Row],[№]],0))</f>
        <v/>
      </c>
      <c r="O60" s="1253" cm="1">
        <f t="array" aca="1" ref="O60" ca="1">INDEX(CHOOSE(dbУчДисц[[#This Row],[код]],BAZZS[Студенти],BAZLS[Студенти],MAZZS[Студенти],MAZLS[Студенти]),dbУчДисц[[#This Row],[№]],0)</f>
        <v>0</v>
      </c>
      <c r="P60" s="1254" cm="1">
        <f t="array" aca="1" ref="P60" ca="1">INDEX(CHOOSE(dbУчДисц[[#This Row],[код]],BAZZS[Лекции],BAZLS[Лекции],MAZZS[Лекции],MAZLS[Лекции]),dbУчДисц[[#This Row],[№]],0)</f>
        <v>0</v>
      </c>
      <c r="Q60" s="1254" cm="1">
        <f t="array" aca="1" ref="Q60" ca="1">INDEX(CHOOSE(dbУчДисц[[#This Row],[код]],BAZZS[Упражнения],BAZLS[Упражнения],MAZZS[Упражнения],MAZLS[Упражнения]),dbУчДисц[[#This Row],[№]],0)</f>
        <v>0</v>
      </c>
      <c r="R60" s="892" t="str">
        <f ca="1">T(INDEX(CHOOSE(dbУчДисц[[#This Row],[код]],BAZZS[Език],BAZLS[Език],MAZZS[Език],MAZLS[Език]),dbУчДисц[[#This Row],[№]],0))</f>
        <v>БЕ</v>
      </c>
      <c r="S60" s="243" t="str">
        <f ca="1">T(INDEX(CHOOSE(dbУчДисц[[#This Row],[код]],BAZZS[ФормаОц],BAZLS[ФормаОц],MAZZS[ФормаОц],MAZLS[ФормаОц]),dbУчДисц[[#This Row],[№]],0))</f>
        <v/>
      </c>
      <c r="T60" s="244" t="str">
        <f ca="1">T(INDEX(CHOOSE(dbУчДисц[[#This Row],[код]],BAZZS[Изпитващ],BAZLS[Изпитващ],MAZZS[Изпитващ],MAZLS[Изпитващ]),dbУчДисц[[#This Row],[№]],0))</f>
        <v/>
      </c>
      <c r="U60" s="1254" cm="1">
        <f t="array" aca="1" ref="U60" ca="1">INDEX(CHOOSE(dbУчДисц[[#This Row],[код]],BAZZS[Изпитани],BAZLS[Изпитани],MAZZS[Изпитани],MAZLS[Изпитани]),dbУчДисц[[#This Row],[№]],0)</f>
        <v>0</v>
      </c>
      <c r="V60" s="1268" cm="1">
        <f t="array" aca="1" ref="V60" ca="1">INDEX(CHOOSE(dbУчДисц[[#This Row],[код]],BAZZS[ТО],BAZLS[ТО],MAZZS[ТО],MAZLS[ТО]),dbУчДисц[[#This Row],[№]],0)</f>
        <v>0</v>
      </c>
      <c r="W60" s="1268" cm="1">
        <f t="array" aca="1" ref="W60" ca="1">INDEX(CHOOSE(dbУчДисц[[#This Row],[код]],BAZZS[КР],BAZLS[КР],MAZZS[КР],MAZLS[КР]),dbУчДисц[[#This Row],[№]],0)</f>
        <v>0</v>
      </c>
      <c r="X6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0" s="1270">
        <f ca="1">IF(AND(dbУчДисц[[#This Row],[Изпитани]]&lt;&gt;0,dbУчДисц[[#This Row],[Изпитващ]]=0),1,0)</f>
        <v>0</v>
      </c>
      <c r="AA60" s="1271">
        <f ca="1">IFERROR(VLOOKUP(dbУчДисц[[#This Row],[Език]],Коефициент_Eзик[],2,0),0)</f>
        <v>1</v>
      </c>
      <c r="AB60" s="1272" cm="1">
        <f t="array" aca="1" ref="AB6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0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0" s="1273">
        <v>0.5</v>
      </c>
      <c r="AE60" s="1274">
        <v>5</v>
      </c>
      <c r="AF60" s="1271">
        <f ca="1">N(dbУчДисц[[#This Row],[Лекции]])*dbУчДисц[[#This Row],[кЕзик]]*dbУчДисц[[#This Row],[кСтуденти]]*кЛекции</f>
        <v>0</v>
      </c>
      <c r="AG60" s="1272">
        <f ca="1">N(dbУчДисц[[#This Row],[Упражнения]])*dbУчДисц[[#This Row],[кЕзик]]*dbУчДисц[[#This Row],[кСтуденти]]*кУпражнение</f>
        <v>0</v>
      </c>
      <c r="AH60" s="1272">
        <f ca="1">N(dbУчДисц[[#This Row],[Изпитани]])*dbУчДисц[[#This Row],[кИзпитващ]]</f>
        <v>0</v>
      </c>
      <c r="AI60" s="1273">
        <f ca="1">dbУчДисц[[#This Row],[ТО]]*dbУчДисц[[#This Row],[кTO]]</f>
        <v>0</v>
      </c>
      <c r="AJ60" s="1266">
        <f ca="1">dbУчДисц[[#This Row],[КР]]*dbУчДисц[[#This Row],[кКР]]</f>
        <v>0</v>
      </c>
      <c r="AK60" s="1275">
        <f ca="1">N(INDEX(CHOOSE(dbУчДисц[[#This Row],[код]],BAZZS[id_РД],BAZLS[id_РД],MAZZS[id_РД],MAZLS[id_РД]),dbУчДисц[[#This Row],[№]],0))</f>
        <v>0</v>
      </c>
      <c r="AL60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0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0" s="1383" t="str">
        <f ca="1">T(INDEX(CHOOSE(dbУчДисц[[#This Row],[код]],BAZZS[Факултет1],BAZLS[Факултет1],MAZZS[Факултет1],MAZLS[Факултет1]),dbУчДисц[[#This Row],[№]],0))</f>
        <v/>
      </c>
      <c r="AO60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1" spans="5:81" ht="16.5" x14ac:dyDescent="0.3">
      <c r="E61" s="915" t="s">
        <v>682</v>
      </c>
      <c r="F61" s="923" t="s">
        <v>406</v>
      </c>
      <c r="G61" s="841">
        <v>3</v>
      </c>
      <c r="H61" s="860">
        <f ca="1">IF(dbУчДисц[[#This Row],[Семестър]]=OFFSET(dbУчДисц[[#This Row],[Семестър]],-1,0),N(OFFSET(dbУчДисц[[#This Row],[№]],-1,0))+1,1)</f>
        <v>11</v>
      </c>
      <c r="I61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1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1" s="842" t="str">
        <f ca="1">T(INDEX(CHOOSE(dbУчДисц[[#This Row],[код]],BAZZS[Факултет],BAZLS[Факултет],MAZZS[Факултет],MAZLS[Факултет]),dbУчДисц[[#This Row],[№]],0))</f>
        <v/>
      </c>
      <c r="L61" s="265" t="str">
        <f ca="1">T(INDEX(CHOOSE(dbУчДисц[[#This Row],[код]],BAZZS[Вид],BAZLS[Вид],MAZZS[Вид],MAZLS[Вид]),dbУчДисц[[#This Row],[№]],0))</f>
        <v/>
      </c>
      <c r="M61" s="243" t="str">
        <f ca="1">T(INDEX(CHOOSE(dbУчДисц[[#This Row],[код]],BAZZS[Курс],BAZLS[Курс],MAZZS[Курс],MAZLS[Курс]),dbУчДисц[[#This Row],[№]],0))</f>
        <v/>
      </c>
      <c r="N61" s="243" t="str">
        <f ca="1">T(INDEX(CHOOSE(dbУчДисц[[#This Row],[код]],BAZZS[ФормаОб],BAZLS[ФормаОб],MAZZS[ФормаОб],MAZLS[ФормаОб]),dbУчДисц[[#This Row],[№]],0))</f>
        <v/>
      </c>
      <c r="O61" s="1253" cm="1">
        <f t="array" aca="1" ref="O61" ca="1">INDEX(CHOOSE(dbУчДисц[[#This Row],[код]],BAZZS[Студенти],BAZLS[Студенти],MAZZS[Студенти],MAZLS[Студенти]),dbУчДисц[[#This Row],[№]],0)</f>
        <v>0</v>
      </c>
      <c r="P61" s="1254" cm="1">
        <f t="array" aca="1" ref="P61" ca="1">INDEX(CHOOSE(dbУчДисц[[#This Row],[код]],BAZZS[Лекции],BAZLS[Лекции],MAZZS[Лекции],MAZLS[Лекции]),dbУчДисц[[#This Row],[№]],0)</f>
        <v>0</v>
      </c>
      <c r="Q61" s="1254" cm="1">
        <f t="array" aca="1" ref="Q61" ca="1">INDEX(CHOOSE(dbУчДисц[[#This Row],[код]],BAZZS[Упражнения],BAZLS[Упражнения],MAZZS[Упражнения],MAZLS[Упражнения]),dbУчДисц[[#This Row],[№]],0)</f>
        <v>0</v>
      </c>
      <c r="R61" s="892" t="str">
        <f ca="1">T(INDEX(CHOOSE(dbУчДисц[[#This Row],[код]],BAZZS[Език],BAZLS[Език],MAZZS[Език],MAZLS[Език]),dbУчДисц[[#This Row],[№]],0))</f>
        <v>БЕ</v>
      </c>
      <c r="S61" s="243" t="str">
        <f ca="1">T(INDEX(CHOOSE(dbУчДисц[[#This Row],[код]],BAZZS[ФормаОц],BAZLS[ФормаОц],MAZZS[ФормаОц],MAZLS[ФормаОц]),dbУчДисц[[#This Row],[№]],0))</f>
        <v/>
      </c>
      <c r="T61" s="244" t="str">
        <f ca="1">T(INDEX(CHOOSE(dbУчДисц[[#This Row],[код]],BAZZS[Изпитващ],BAZLS[Изпитващ],MAZZS[Изпитващ],MAZLS[Изпитващ]),dbУчДисц[[#This Row],[№]],0))</f>
        <v/>
      </c>
      <c r="U61" s="1254" cm="1">
        <f t="array" aca="1" ref="U61" ca="1">INDEX(CHOOSE(dbУчДисц[[#This Row],[код]],BAZZS[Изпитани],BAZLS[Изпитани],MAZZS[Изпитани],MAZLS[Изпитани]),dbУчДисц[[#This Row],[№]],0)</f>
        <v>0</v>
      </c>
      <c r="V61" s="1268" cm="1">
        <f t="array" aca="1" ref="V61" ca="1">INDEX(CHOOSE(dbУчДисц[[#This Row],[код]],BAZZS[ТО],BAZLS[ТО],MAZZS[ТО],MAZLS[ТО]),dbУчДисц[[#This Row],[№]],0)</f>
        <v>0</v>
      </c>
      <c r="W61" s="1268" cm="1">
        <f t="array" aca="1" ref="W61" ca="1">INDEX(CHOOSE(dbУчДисц[[#This Row],[код]],BAZZS[КР],BAZLS[КР],MAZZS[КР],MAZLS[КР]),dbУчДисц[[#This Row],[№]],0)</f>
        <v>0</v>
      </c>
      <c r="X61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1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1" s="1270">
        <f ca="1">IF(AND(dbУчДисц[[#This Row],[Изпитани]]&lt;&gt;0,dbУчДисц[[#This Row],[Изпитващ]]=0),1,0)</f>
        <v>0</v>
      </c>
      <c r="AA61" s="1271">
        <f ca="1">IFERROR(VLOOKUP(dbУчДисц[[#This Row],[Език]],Коефициент_Eзик[],2,0),0)</f>
        <v>1</v>
      </c>
      <c r="AB61" s="1272" cm="1">
        <f t="array" aca="1" ref="AB6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1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1" s="1273">
        <v>0.5</v>
      </c>
      <c r="AE61" s="1274">
        <v>5</v>
      </c>
      <c r="AF61" s="1271">
        <f ca="1">N(dbУчДисц[[#This Row],[Лекции]])*dbУчДисц[[#This Row],[кЕзик]]*dbУчДисц[[#This Row],[кСтуденти]]*кЛекции</f>
        <v>0</v>
      </c>
      <c r="AG61" s="1272">
        <f ca="1">N(dbУчДисц[[#This Row],[Упражнения]])*dbУчДисц[[#This Row],[кЕзик]]*dbУчДисц[[#This Row],[кСтуденти]]*кУпражнение</f>
        <v>0</v>
      </c>
      <c r="AH61" s="1272">
        <f ca="1">N(dbУчДисц[[#This Row],[Изпитани]])*dbУчДисц[[#This Row],[кИзпитващ]]</f>
        <v>0</v>
      </c>
      <c r="AI61" s="1273">
        <f ca="1">dbУчДисц[[#This Row],[ТО]]*dbУчДисц[[#This Row],[кTO]]</f>
        <v>0</v>
      </c>
      <c r="AJ61" s="1266">
        <f ca="1">dbУчДисц[[#This Row],[КР]]*dbУчДисц[[#This Row],[кКР]]</f>
        <v>0</v>
      </c>
      <c r="AK61" s="1275">
        <f ca="1">N(INDEX(CHOOSE(dbУчДисц[[#This Row],[код]],BAZZS[id_РД],BAZLS[id_РД],MAZZS[id_РД],MAZLS[id_РД]),dbУчДисц[[#This Row],[№]],0))</f>
        <v>0</v>
      </c>
      <c r="AL61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1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1" s="1383" t="str">
        <f ca="1">T(INDEX(CHOOSE(dbУчДисц[[#This Row],[код]],BAZZS[Факултет1],BAZLS[Факултет1],MAZZS[Факултет1],MAZLS[Факултет1]),dbУчДисц[[#This Row],[№]],0))</f>
        <v/>
      </c>
      <c r="AO61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2" spans="5:81" ht="16.5" x14ac:dyDescent="0.3">
      <c r="E62" s="915" t="s">
        <v>682</v>
      </c>
      <c r="F62" s="923" t="s">
        <v>406</v>
      </c>
      <c r="G62" s="841">
        <v>3</v>
      </c>
      <c r="H62" s="860">
        <f ca="1">IF(dbУчДисц[[#This Row],[Семестър]]=OFFSET(dbУчДисц[[#This Row],[Семестър]],-1,0),N(OFFSET(dbУчДисц[[#This Row],[№]],-1,0))+1,1)</f>
        <v>12</v>
      </c>
      <c r="I62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2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2" s="842" t="str">
        <f ca="1">T(INDEX(CHOOSE(dbУчДисц[[#This Row],[код]],BAZZS[Факултет],BAZLS[Факултет],MAZZS[Факултет],MAZLS[Факултет]),dbУчДисц[[#This Row],[№]],0))</f>
        <v/>
      </c>
      <c r="L62" s="265" t="str">
        <f ca="1">T(INDEX(CHOOSE(dbУчДисц[[#This Row],[код]],BAZZS[Вид],BAZLS[Вид],MAZZS[Вид],MAZLS[Вид]),dbУчДисц[[#This Row],[№]],0))</f>
        <v/>
      </c>
      <c r="M62" s="243" t="str">
        <f ca="1">T(INDEX(CHOOSE(dbУчДисц[[#This Row],[код]],BAZZS[Курс],BAZLS[Курс],MAZZS[Курс],MAZLS[Курс]),dbУчДисц[[#This Row],[№]],0))</f>
        <v/>
      </c>
      <c r="N62" s="243" t="str">
        <f ca="1">T(INDEX(CHOOSE(dbУчДисц[[#This Row],[код]],BAZZS[ФормаОб],BAZLS[ФормаОб],MAZZS[ФормаОб],MAZLS[ФормаОб]),dbУчДисц[[#This Row],[№]],0))</f>
        <v/>
      </c>
      <c r="O62" s="1253" cm="1">
        <f t="array" aca="1" ref="O62" ca="1">INDEX(CHOOSE(dbУчДисц[[#This Row],[код]],BAZZS[Студенти],BAZLS[Студенти],MAZZS[Студенти],MAZLS[Студенти]),dbУчДисц[[#This Row],[№]],0)</f>
        <v>0</v>
      </c>
      <c r="P62" s="1254" cm="1">
        <f t="array" aca="1" ref="P62" ca="1">INDEX(CHOOSE(dbУчДисц[[#This Row],[код]],BAZZS[Лекции],BAZLS[Лекции],MAZZS[Лекции],MAZLS[Лекции]),dbУчДисц[[#This Row],[№]],0)</f>
        <v>0</v>
      </c>
      <c r="Q62" s="1254" cm="1">
        <f t="array" aca="1" ref="Q62" ca="1">INDEX(CHOOSE(dbУчДисц[[#This Row],[код]],BAZZS[Упражнения],BAZLS[Упражнения],MAZZS[Упражнения],MAZLS[Упражнения]),dbУчДисц[[#This Row],[№]],0)</f>
        <v>0</v>
      </c>
      <c r="R62" s="892" t="str">
        <f ca="1">T(INDEX(CHOOSE(dbУчДисц[[#This Row],[код]],BAZZS[Език],BAZLS[Език],MAZZS[Език],MAZLS[Език]),dbУчДисц[[#This Row],[№]],0))</f>
        <v>БЕ</v>
      </c>
      <c r="S62" s="243" t="str">
        <f ca="1">T(INDEX(CHOOSE(dbУчДисц[[#This Row],[код]],BAZZS[ФормаОц],BAZLS[ФормаОц],MAZZS[ФормаОц],MAZLS[ФормаОц]),dbУчДисц[[#This Row],[№]],0))</f>
        <v/>
      </c>
      <c r="T62" s="244" t="str">
        <f ca="1">T(INDEX(CHOOSE(dbУчДисц[[#This Row],[код]],BAZZS[Изпитващ],BAZLS[Изпитващ],MAZZS[Изпитващ],MAZLS[Изпитващ]),dbУчДисц[[#This Row],[№]],0))</f>
        <v/>
      </c>
      <c r="U62" s="1254" cm="1">
        <f t="array" aca="1" ref="U62" ca="1">INDEX(CHOOSE(dbУчДисц[[#This Row],[код]],BAZZS[Изпитани],BAZLS[Изпитани],MAZZS[Изпитани],MAZLS[Изпитани]),dbУчДисц[[#This Row],[№]],0)</f>
        <v>0</v>
      </c>
      <c r="V62" s="1268" cm="1">
        <f t="array" aca="1" ref="V62" ca="1">INDEX(CHOOSE(dbУчДисц[[#This Row],[код]],BAZZS[ТО],BAZLS[ТО],MAZZS[ТО],MAZLS[ТО]),dbУчДисц[[#This Row],[№]],0)</f>
        <v>0</v>
      </c>
      <c r="W62" s="1268" cm="1">
        <f t="array" aca="1" ref="W62" ca="1">INDEX(CHOOSE(dbУчДисц[[#This Row],[код]],BAZZS[КР],BAZLS[КР],MAZZS[КР],MAZLS[КР]),dbУчДисц[[#This Row],[№]],0)</f>
        <v>0</v>
      </c>
      <c r="X6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2" s="1270">
        <f ca="1">IF(AND(dbУчДисц[[#This Row],[Изпитани]]&lt;&gt;0,dbУчДисц[[#This Row],[Изпитващ]]=0),1,0)</f>
        <v>0</v>
      </c>
      <c r="AA62" s="1271">
        <f ca="1">IFERROR(VLOOKUP(dbУчДисц[[#This Row],[Език]],Коефициент_Eзик[],2,0),0)</f>
        <v>1</v>
      </c>
      <c r="AB62" s="1272" cm="1">
        <f t="array" aca="1" ref="AB6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2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2" s="1273">
        <v>0.5</v>
      </c>
      <c r="AE62" s="1274">
        <v>5</v>
      </c>
      <c r="AF62" s="1271">
        <f ca="1">N(dbУчДисц[[#This Row],[Лекции]])*dbУчДисц[[#This Row],[кЕзик]]*dbУчДисц[[#This Row],[кСтуденти]]*кЛекции</f>
        <v>0</v>
      </c>
      <c r="AG62" s="1272">
        <f ca="1">N(dbУчДисц[[#This Row],[Упражнения]])*dbУчДисц[[#This Row],[кЕзик]]*dbУчДисц[[#This Row],[кСтуденти]]*кУпражнение</f>
        <v>0</v>
      </c>
      <c r="AH62" s="1272">
        <f ca="1">N(dbУчДисц[[#This Row],[Изпитани]])*dbУчДисц[[#This Row],[кИзпитващ]]</f>
        <v>0</v>
      </c>
      <c r="AI62" s="1273">
        <f ca="1">dbУчДисц[[#This Row],[ТО]]*dbУчДисц[[#This Row],[кTO]]</f>
        <v>0</v>
      </c>
      <c r="AJ62" s="1266">
        <f ca="1">dbУчДисц[[#This Row],[КР]]*dbУчДисц[[#This Row],[кКР]]</f>
        <v>0</v>
      </c>
      <c r="AK62" s="1275">
        <f ca="1">N(INDEX(CHOOSE(dbУчДисц[[#This Row],[код]],BAZZS[id_РД],BAZLS[id_РД],MAZZS[id_РД],MAZLS[id_РД]),dbУчДисц[[#This Row],[№]],0))</f>
        <v>0</v>
      </c>
      <c r="AL62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2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2" s="1383" t="str">
        <f ca="1">T(INDEX(CHOOSE(dbУчДисц[[#This Row],[код]],BAZZS[Факултет1],BAZLS[Факултет1],MAZZS[Факултет1],MAZLS[Факултет1]),dbУчДисц[[#This Row],[№]],0))</f>
        <v/>
      </c>
      <c r="AO62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3" spans="5:81" ht="16.5" x14ac:dyDescent="0.3">
      <c r="E63" s="915" t="s">
        <v>682</v>
      </c>
      <c r="F63" s="923" t="s">
        <v>406</v>
      </c>
      <c r="G63" s="841">
        <v>3</v>
      </c>
      <c r="H63" s="860">
        <f ca="1">IF(dbУчДисц[[#This Row],[Семестър]]=OFFSET(dbУчДисц[[#This Row],[Семестър]],-1,0),N(OFFSET(dbУчДисц[[#This Row],[№]],-1,0))+1,1)</f>
        <v>13</v>
      </c>
      <c r="I63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3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3" s="842" t="str">
        <f ca="1">T(INDEX(CHOOSE(dbУчДисц[[#This Row],[код]],BAZZS[Факултет],BAZLS[Факултет],MAZZS[Факултет],MAZLS[Факултет]),dbУчДисц[[#This Row],[№]],0))</f>
        <v/>
      </c>
      <c r="L63" s="265" t="str">
        <f ca="1">T(INDEX(CHOOSE(dbУчДисц[[#This Row],[код]],BAZZS[Вид],BAZLS[Вид],MAZZS[Вид],MAZLS[Вид]),dbУчДисц[[#This Row],[№]],0))</f>
        <v/>
      </c>
      <c r="M63" s="243" t="str">
        <f ca="1">T(INDEX(CHOOSE(dbУчДисц[[#This Row],[код]],BAZZS[Курс],BAZLS[Курс],MAZZS[Курс],MAZLS[Курс]),dbУчДисц[[#This Row],[№]],0))</f>
        <v/>
      </c>
      <c r="N63" s="243" t="str">
        <f ca="1">T(INDEX(CHOOSE(dbУчДисц[[#This Row],[код]],BAZZS[ФормаОб],BAZLS[ФормаОб],MAZZS[ФормаОб],MAZLS[ФормаОб]),dbУчДисц[[#This Row],[№]],0))</f>
        <v/>
      </c>
      <c r="O63" s="1253" cm="1">
        <f t="array" aca="1" ref="O63" ca="1">INDEX(CHOOSE(dbУчДисц[[#This Row],[код]],BAZZS[Студенти],BAZLS[Студенти],MAZZS[Студенти],MAZLS[Студенти]),dbУчДисц[[#This Row],[№]],0)</f>
        <v>0</v>
      </c>
      <c r="P63" s="1254" cm="1">
        <f t="array" aca="1" ref="P63" ca="1">INDEX(CHOOSE(dbУчДисц[[#This Row],[код]],BAZZS[Лекции],BAZLS[Лекции],MAZZS[Лекции],MAZLS[Лекции]),dbУчДисц[[#This Row],[№]],0)</f>
        <v>0</v>
      </c>
      <c r="Q63" s="1254" cm="1">
        <f t="array" aca="1" ref="Q63" ca="1">INDEX(CHOOSE(dbУчДисц[[#This Row],[код]],BAZZS[Упражнения],BAZLS[Упражнения],MAZZS[Упражнения],MAZLS[Упражнения]),dbУчДисц[[#This Row],[№]],0)</f>
        <v>0</v>
      </c>
      <c r="R63" s="892" t="str">
        <f ca="1">T(INDEX(CHOOSE(dbУчДисц[[#This Row],[код]],BAZZS[Език],BAZLS[Език],MAZZS[Език],MAZLS[Език]),dbУчДисц[[#This Row],[№]],0))</f>
        <v>БЕ</v>
      </c>
      <c r="S63" s="243" t="str">
        <f ca="1">T(INDEX(CHOOSE(dbУчДисц[[#This Row],[код]],BAZZS[ФормаОц],BAZLS[ФормаОц],MAZZS[ФормаОц],MAZLS[ФормаОц]),dbУчДисц[[#This Row],[№]],0))</f>
        <v/>
      </c>
      <c r="T63" s="244" t="str">
        <f ca="1">T(INDEX(CHOOSE(dbУчДисц[[#This Row],[код]],BAZZS[Изпитващ],BAZLS[Изпитващ],MAZZS[Изпитващ],MAZLS[Изпитващ]),dbУчДисц[[#This Row],[№]],0))</f>
        <v/>
      </c>
      <c r="U63" s="1254" cm="1">
        <f t="array" aca="1" ref="U63" ca="1">INDEX(CHOOSE(dbУчДисц[[#This Row],[код]],BAZZS[Изпитани],BAZLS[Изпитани],MAZZS[Изпитани],MAZLS[Изпитани]),dbУчДисц[[#This Row],[№]],0)</f>
        <v>0</v>
      </c>
      <c r="V63" s="1268" cm="1">
        <f t="array" aca="1" ref="V63" ca="1">INDEX(CHOOSE(dbУчДисц[[#This Row],[код]],BAZZS[ТО],BAZLS[ТО],MAZZS[ТО],MAZLS[ТО]),dbУчДисц[[#This Row],[№]],0)</f>
        <v>0</v>
      </c>
      <c r="W63" s="1268" cm="1">
        <f t="array" aca="1" ref="W63" ca="1">INDEX(CHOOSE(dbУчДисц[[#This Row],[код]],BAZZS[КР],BAZLS[КР],MAZZS[КР],MAZLS[КР]),dbУчДисц[[#This Row],[№]],0)</f>
        <v>0</v>
      </c>
      <c r="X6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3" s="1270">
        <f ca="1">IF(AND(dbУчДисц[[#This Row],[Изпитани]]&lt;&gt;0,dbУчДисц[[#This Row],[Изпитващ]]=0),1,0)</f>
        <v>0</v>
      </c>
      <c r="AA63" s="1271">
        <f ca="1">IFERROR(VLOOKUP(dbУчДисц[[#This Row],[Език]],Коефициент_Eзик[],2,0),0)</f>
        <v>1</v>
      </c>
      <c r="AB63" s="1272" cm="1">
        <f t="array" aca="1" ref="AB6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3" s="1273">
        <v>0.5</v>
      </c>
      <c r="AE63" s="1274">
        <v>5</v>
      </c>
      <c r="AF63" s="1271">
        <f ca="1">N(dbУчДисц[[#This Row],[Лекции]])*dbУчДисц[[#This Row],[кЕзик]]*dbУчДисц[[#This Row],[кСтуденти]]*кЛекции</f>
        <v>0</v>
      </c>
      <c r="AG63" s="1272">
        <f ca="1">N(dbУчДисц[[#This Row],[Упражнения]])*dbУчДисц[[#This Row],[кЕзик]]*dbУчДисц[[#This Row],[кСтуденти]]*кУпражнение</f>
        <v>0</v>
      </c>
      <c r="AH63" s="1272">
        <f ca="1">N(dbУчДисц[[#This Row],[Изпитани]])*dbУчДисц[[#This Row],[кИзпитващ]]</f>
        <v>0</v>
      </c>
      <c r="AI63" s="1273">
        <f ca="1">dbУчДисц[[#This Row],[ТО]]*dbУчДисц[[#This Row],[кTO]]</f>
        <v>0</v>
      </c>
      <c r="AJ63" s="1266">
        <f ca="1">dbУчДисц[[#This Row],[КР]]*dbУчДисц[[#This Row],[кКР]]</f>
        <v>0</v>
      </c>
      <c r="AK63" s="1275">
        <f ca="1">N(INDEX(CHOOSE(dbУчДисц[[#This Row],[код]],BAZZS[id_РД],BAZLS[id_РД],MAZZS[id_РД],MAZLS[id_РД]),dbУчДисц[[#This Row],[№]],0))</f>
        <v>0</v>
      </c>
      <c r="AL6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3" s="1383" t="str">
        <f ca="1">T(INDEX(CHOOSE(dbУчДисц[[#This Row],[код]],BAZZS[Факултет1],BAZLS[Факултет1],MAZZS[Факултет1],MAZLS[Факултет1]),dbУчДисц[[#This Row],[№]],0))</f>
        <v/>
      </c>
      <c r="AO6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4" spans="5:81" ht="16.5" x14ac:dyDescent="0.3">
      <c r="E64" s="915" t="s">
        <v>682</v>
      </c>
      <c r="F64" s="923" t="s">
        <v>406</v>
      </c>
      <c r="G64" s="841">
        <v>3</v>
      </c>
      <c r="H64" s="860">
        <f ca="1">IF(dbУчДисц[[#This Row],[Семестър]]=OFFSET(dbУчДисц[[#This Row],[Семестър]],-1,0),N(OFFSET(dbУчДисц[[#This Row],[№]],-1,0))+1,1)</f>
        <v>14</v>
      </c>
      <c r="I64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4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4" s="842" t="str">
        <f ca="1">T(INDEX(CHOOSE(dbУчДисц[[#This Row],[код]],BAZZS[Факултет],BAZLS[Факултет],MAZZS[Факултет],MAZLS[Факултет]),dbУчДисц[[#This Row],[№]],0))</f>
        <v/>
      </c>
      <c r="L64" s="265" t="str">
        <f ca="1">T(INDEX(CHOOSE(dbУчДисц[[#This Row],[код]],BAZZS[Вид],BAZLS[Вид],MAZZS[Вид],MAZLS[Вид]),dbУчДисц[[#This Row],[№]],0))</f>
        <v/>
      </c>
      <c r="M64" s="243" t="str">
        <f ca="1">T(INDEX(CHOOSE(dbУчДисц[[#This Row],[код]],BAZZS[Курс],BAZLS[Курс],MAZZS[Курс],MAZLS[Курс]),dbУчДисц[[#This Row],[№]],0))</f>
        <v/>
      </c>
      <c r="N64" s="243" t="str">
        <f ca="1">T(INDEX(CHOOSE(dbУчДисц[[#This Row],[код]],BAZZS[ФормаОб],BAZLS[ФормаОб],MAZZS[ФормаОб],MAZLS[ФормаОб]),dbУчДисц[[#This Row],[№]],0))</f>
        <v/>
      </c>
      <c r="O64" s="1253" cm="1">
        <f t="array" aca="1" ref="O64" ca="1">INDEX(CHOOSE(dbУчДисц[[#This Row],[код]],BAZZS[Студенти],BAZLS[Студенти],MAZZS[Студенти],MAZLS[Студенти]),dbУчДисц[[#This Row],[№]],0)</f>
        <v>0</v>
      </c>
      <c r="P64" s="1254" cm="1">
        <f t="array" aca="1" ref="P64" ca="1">INDEX(CHOOSE(dbУчДисц[[#This Row],[код]],BAZZS[Лекции],BAZLS[Лекции],MAZZS[Лекции],MAZLS[Лекции]),dbУчДисц[[#This Row],[№]],0)</f>
        <v>0</v>
      </c>
      <c r="Q64" s="1254" cm="1">
        <f t="array" aca="1" ref="Q64" ca="1">INDEX(CHOOSE(dbУчДисц[[#This Row],[код]],BAZZS[Упражнения],BAZLS[Упражнения],MAZZS[Упражнения],MAZLS[Упражнения]),dbУчДисц[[#This Row],[№]],0)</f>
        <v>0</v>
      </c>
      <c r="R64" s="892" t="str">
        <f ca="1">T(INDEX(CHOOSE(dbУчДисц[[#This Row],[код]],BAZZS[Език],BAZLS[Език],MAZZS[Език],MAZLS[Език]),dbУчДисц[[#This Row],[№]],0))</f>
        <v>БЕ</v>
      </c>
      <c r="S64" s="243" t="str">
        <f ca="1">T(INDEX(CHOOSE(dbУчДисц[[#This Row],[код]],BAZZS[ФормаОц],BAZLS[ФормаОц],MAZZS[ФормаОц],MAZLS[ФормаОц]),dbУчДисц[[#This Row],[№]],0))</f>
        <v/>
      </c>
      <c r="T64" s="244" t="str">
        <f ca="1">T(INDEX(CHOOSE(dbУчДисц[[#This Row],[код]],BAZZS[Изпитващ],BAZLS[Изпитващ],MAZZS[Изпитващ],MAZLS[Изпитващ]),dbУчДисц[[#This Row],[№]],0))</f>
        <v/>
      </c>
      <c r="U64" s="1254" cm="1">
        <f t="array" aca="1" ref="U64" ca="1">INDEX(CHOOSE(dbУчДисц[[#This Row],[код]],BAZZS[Изпитани],BAZLS[Изпитани],MAZZS[Изпитани],MAZLS[Изпитани]),dbУчДисц[[#This Row],[№]],0)</f>
        <v>0</v>
      </c>
      <c r="V64" s="1268" cm="1">
        <f t="array" aca="1" ref="V64" ca="1">INDEX(CHOOSE(dbУчДисц[[#This Row],[код]],BAZZS[ТО],BAZLS[ТО],MAZZS[ТО],MAZLS[ТО]),dbУчДисц[[#This Row],[№]],0)</f>
        <v>0</v>
      </c>
      <c r="W64" s="1268" cm="1">
        <f t="array" aca="1" ref="W64" ca="1">INDEX(CHOOSE(dbУчДисц[[#This Row],[код]],BAZZS[КР],BAZLS[КР],MAZZS[КР],MAZLS[КР]),dbУчДисц[[#This Row],[№]],0)</f>
        <v>0</v>
      </c>
      <c r="X6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4" s="1270">
        <f ca="1">IF(AND(dbУчДисц[[#This Row],[Изпитани]]&lt;&gt;0,dbУчДисц[[#This Row],[Изпитващ]]=0),1,0)</f>
        <v>0</v>
      </c>
      <c r="AA64" s="1271">
        <f ca="1">IFERROR(VLOOKUP(dbУчДисц[[#This Row],[Език]],Коефициент_Eзик[],2,0),0)</f>
        <v>1</v>
      </c>
      <c r="AB64" s="1272" cm="1">
        <f t="array" aca="1" ref="AB6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4" s="1273">
        <v>0.5</v>
      </c>
      <c r="AE64" s="1274">
        <v>5</v>
      </c>
      <c r="AF64" s="1271">
        <f ca="1">N(dbУчДисц[[#This Row],[Лекции]])*dbУчДисц[[#This Row],[кЕзик]]*dbУчДисц[[#This Row],[кСтуденти]]*кЛекции</f>
        <v>0</v>
      </c>
      <c r="AG64" s="1272">
        <f ca="1">N(dbУчДисц[[#This Row],[Упражнения]])*dbУчДисц[[#This Row],[кЕзик]]*dbУчДисц[[#This Row],[кСтуденти]]*кУпражнение</f>
        <v>0</v>
      </c>
      <c r="AH64" s="1272">
        <f ca="1">N(dbУчДисц[[#This Row],[Изпитани]])*dbУчДисц[[#This Row],[кИзпитващ]]</f>
        <v>0</v>
      </c>
      <c r="AI64" s="1273">
        <f ca="1">dbУчДисц[[#This Row],[ТО]]*dbУчДисц[[#This Row],[кTO]]</f>
        <v>0</v>
      </c>
      <c r="AJ64" s="1266">
        <f ca="1">dbУчДисц[[#This Row],[КР]]*dbУчДисц[[#This Row],[кКР]]</f>
        <v>0</v>
      </c>
      <c r="AK64" s="1275">
        <f ca="1">N(INDEX(CHOOSE(dbУчДисц[[#This Row],[код]],BAZZS[id_РД],BAZLS[id_РД],MAZZS[id_РД],MAZLS[id_РД]),dbУчДисц[[#This Row],[№]],0))</f>
        <v>0</v>
      </c>
      <c r="AL6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4" s="1383" t="str">
        <f ca="1">T(INDEX(CHOOSE(dbУчДисц[[#This Row],[код]],BAZZS[Факултет1],BAZLS[Факултет1],MAZZS[Факултет1],MAZLS[Факултет1]),dbУчДисц[[#This Row],[№]],0))</f>
        <v/>
      </c>
      <c r="AO6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5" spans="5:41" ht="16.5" x14ac:dyDescent="0.3">
      <c r="E65" s="915" t="s">
        <v>682</v>
      </c>
      <c r="F65" s="923" t="s">
        <v>406</v>
      </c>
      <c r="G65" s="841">
        <v>3</v>
      </c>
      <c r="H65" s="860">
        <f ca="1">IF(dbУчДисц[[#This Row],[Семестър]]=OFFSET(dbУчДисц[[#This Row],[Семестър]],-1,0),N(OFFSET(dbУчДисц[[#This Row],[№]],-1,0))+1,1)</f>
        <v>15</v>
      </c>
      <c r="I65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5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5" s="842" t="str">
        <f ca="1">T(INDEX(CHOOSE(dbУчДисц[[#This Row],[код]],BAZZS[Факултет],BAZLS[Факултет],MAZZS[Факултет],MAZLS[Факултет]),dbУчДисц[[#This Row],[№]],0))</f>
        <v/>
      </c>
      <c r="L65" s="265" t="str">
        <f ca="1">T(INDEX(CHOOSE(dbУчДисц[[#This Row],[код]],BAZZS[Вид],BAZLS[Вид],MAZZS[Вид],MAZLS[Вид]),dbУчДисц[[#This Row],[№]],0))</f>
        <v/>
      </c>
      <c r="M65" s="243" t="str">
        <f ca="1">T(INDEX(CHOOSE(dbУчДисц[[#This Row],[код]],BAZZS[Курс],BAZLS[Курс],MAZZS[Курс],MAZLS[Курс]),dbУчДисц[[#This Row],[№]],0))</f>
        <v/>
      </c>
      <c r="N65" s="243" t="str">
        <f ca="1">T(INDEX(CHOOSE(dbУчДисц[[#This Row],[код]],BAZZS[ФормаОб],BAZLS[ФормаОб],MAZZS[ФормаОб],MAZLS[ФормаОб]),dbУчДисц[[#This Row],[№]],0))</f>
        <v/>
      </c>
      <c r="O65" s="1253" cm="1">
        <f t="array" aca="1" ref="O65" ca="1">INDEX(CHOOSE(dbУчДисц[[#This Row],[код]],BAZZS[Студенти],BAZLS[Студенти],MAZZS[Студенти],MAZLS[Студенти]),dbУчДисц[[#This Row],[№]],0)</f>
        <v>0</v>
      </c>
      <c r="P65" s="1254" cm="1">
        <f t="array" aca="1" ref="P65" ca="1">INDEX(CHOOSE(dbУчДисц[[#This Row],[код]],BAZZS[Лекции],BAZLS[Лекции],MAZZS[Лекции],MAZLS[Лекции]),dbУчДисц[[#This Row],[№]],0)</f>
        <v>0</v>
      </c>
      <c r="Q65" s="1254" cm="1">
        <f t="array" aca="1" ref="Q65" ca="1">INDEX(CHOOSE(dbУчДисц[[#This Row],[код]],BAZZS[Упражнения],BAZLS[Упражнения],MAZZS[Упражнения],MAZLS[Упражнения]),dbУчДисц[[#This Row],[№]],0)</f>
        <v>0</v>
      </c>
      <c r="R65" s="892" t="str">
        <f ca="1">T(INDEX(CHOOSE(dbУчДисц[[#This Row],[код]],BAZZS[Език],BAZLS[Език],MAZZS[Език],MAZLS[Език]),dbУчДисц[[#This Row],[№]],0))</f>
        <v>БЕ</v>
      </c>
      <c r="S65" s="243" t="str">
        <f ca="1">T(INDEX(CHOOSE(dbУчДисц[[#This Row],[код]],BAZZS[ФормаОц],BAZLS[ФормаОц],MAZZS[ФормаОц],MAZLS[ФормаОц]),dbУчДисц[[#This Row],[№]],0))</f>
        <v/>
      </c>
      <c r="T65" s="244" t="str">
        <f ca="1">T(INDEX(CHOOSE(dbУчДисц[[#This Row],[код]],BAZZS[Изпитващ],BAZLS[Изпитващ],MAZZS[Изпитващ],MAZLS[Изпитващ]),dbУчДисц[[#This Row],[№]],0))</f>
        <v/>
      </c>
      <c r="U65" s="1254" cm="1">
        <f t="array" aca="1" ref="U65" ca="1">INDEX(CHOOSE(dbУчДисц[[#This Row],[код]],BAZZS[Изпитани],BAZLS[Изпитани],MAZZS[Изпитани],MAZLS[Изпитани]),dbУчДисц[[#This Row],[№]],0)</f>
        <v>0</v>
      </c>
      <c r="V65" s="1268" cm="1">
        <f t="array" aca="1" ref="V65" ca="1">INDEX(CHOOSE(dbУчДисц[[#This Row],[код]],BAZZS[ТО],BAZLS[ТО],MAZZS[ТО],MAZLS[ТО]),dbУчДисц[[#This Row],[№]],0)</f>
        <v>0</v>
      </c>
      <c r="W65" s="1268" cm="1">
        <f t="array" aca="1" ref="W65" ca="1">INDEX(CHOOSE(dbУчДисц[[#This Row],[код]],BAZZS[КР],BAZLS[КР],MAZZS[КР],MAZLS[КР]),dbУчДисц[[#This Row],[№]],0)</f>
        <v>0</v>
      </c>
      <c r="X6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5" s="1270">
        <f ca="1">IF(AND(dbУчДисц[[#This Row],[Изпитани]]&lt;&gt;0,dbУчДисц[[#This Row],[Изпитващ]]=0),1,0)</f>
        <v>0</v>
      </c>
      <c r="AA65" s="1271">
        <f ca="1">IFERROR(VLOOKUP(dbУчДисц[[#This Row],[Език]],Коефициент_Eзик[],2,0),0)</f>
        <v>1</v>
      </c>
      <c r="AB65" s="1272" cm="1">
        <f t="array" aca="1" ref="AB6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5" s="1273">
        <v>0.5</v>
      </c>
      <c r="AE65" s="1274">
        <v>5</v>
      </c>
      <c r="AF65" s="1271">
        <f ca="1">N(dbУчДисц[[#This Row],[Лекции]])*dbУчДисц[[#This Row],[кЕзик]]*dbУчДисц[[#This Row],[кСтуденти]]*кЛекции</f>
        <v>0</v>
      </c>
      <c r="AG65" s="1272">
        <f ca="1">N(dbУчДисц[[#This Row],[Упражнения]])*dbУчДисц[[#This Row],[кЕзик]]*dbУчДисц[[#This Row],[кСтуденти]]*кУпражнение</f>
        <v>0</v>
      </c>
      <c r="AH65" s="1272">
        <f ca="1">N(dbУчДисц[[#This Row],[Изпитани]])*dbУчДисц[[#This Row],[кИзпитващ]]</f>
        <v>0</v>
      </c>
      <c r="AI65" s="1273">
        <f ca="1">dbУчДисц[[#This Row],[ТО]]*dbУчДисц[[#This Row],[кTO]]</f>
        <v>0</v>
      </c>
      <c r="AJ65" s="1266">
        <f ca="1">dbУчДисц[[#This Row],[КР]]*dbУчДисц[[#This Row],[кКР]]</f>
        <v>0</v>
      </c>
      <c r="AK65" s="1275">
        <f ca="1">N(INDEX(CHOOSE(dbУчДисц[[#This Row],[код]],BAZZS[id_РД],BAZLS[id_РД],MAZZS[id_РД],MAZLS[id_РД]),dbУчДисц[[#This Row],[№]],0))</f>
        <v>0</v>
      </c>
      <c r="AL6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5" s="1383" t="str">
        <f ca="1">T(INDEX(CHOOSE(dbУчДисц[[#This Row],[код]],BAZZS[Факултет1],BAZLS[Факултет1],MAZZS[Факултет1],MAZLS[Факултет1]),dbУчДисц[[#This Row],[№]],0))</f>
        <v/>
      </c>
      <c r="AO6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6" spans="5:41" ht="16.5" x14ac:dyDescent="0.3">
      <c r="E66" s="915" t="s">
        <v>682</v>
      </c>
      <c r="F66" s="923" t="s">
        <v>406</v>
      </c>
      <c r="G66" s="841">
        <v>3</v>
      </c>
      <c r="H66" s="860">
        <f ca="1">IF(dbУчДисц[[#This Row],[Семестър]]=OFFSET(dbУчДисц[[#This Row],[Семестър]],-1,0),N(OFFSET(dbУчДисц[[#This Row],[№]],-1,0))+1,1)</f>
        <v>16</v>
      </c>
      <c r="I66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6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6" s="842" t="str">
        <f ca="1">T(INDEX(CHOOSE(dbУчДисц[[#This Row],[код]],BAZZS[Факултет],BAZLS[Факултет],MAZZS[Факултет],MAZLS[Факултет]),dbУчДисц[[#This Row],[№]],0))</f>
        <v/>
      </c>
      <c r="L66" s="265" t="str">
        <f ca="1">T(INDEX(CHOOSE(dbУчДисц[[#This Row],[код]],BAZZS[Вид],BAZLS[Вид],MAZZS[Вид],MAZLS[Вид]),dbУчДисц[[#This Row],[№]],0))</f>
        <v/>
      </c>
      <c r="M66" s="243" t="str">
        <f ca="1">T(INDEX(CHOOSE(dbУчДисц[[#This Row],[код]],BAZZS[Курс],BAZLS[Курс],MAZZS[Курс],MAZLS[Курс]),dbУчДисц[[#This Row],[№]],0))</f>
        <v/>
      </c>
      <c r="N66" s="243" t="str">
        <f ca="1">T(INDEX(CHOOSE(dbУчДисц[[#This Row],[код]],BAZZS[ФормаОб],BAZLS[ФормаОб],MAZZS[ФормаОб],MAZLS[ФормаОб]),dbУчДисц[[#This Row],[№]],0))</f>
        <v/>
      </c>
      <c r="O66" s="1253" cm="1">
        <f t="array" aca="1" ref="O66" ca="1">INDEX(CHOOSE(dbУчДисц[[#This Row],[код]],BAZZS[Студенти],BAZLS[Студенти],MAZZS[Студенти],MAZLS[Студенти]),dbУчДисц[[#This Row],[№]],0)</f>
        <v>0</v>
      </c>
      <c r="P66" s="1254" cm="1">
        <f t="array" aca="1" ref="P66" ca="1">INDEX(CHOOSE(dbУчДисц[[#This Row],[код]],BAZZS[Лекции],BAZLS[Лекции],MAZZS[Лекции],MAZLS[Лекции]),dbУчДисц[[#This Row],[№]],0)</f>
        <v>0</v>
      </c>
      <c r="Q66" s="1254" cm="1">
        <f t="array" aca="1" ref="Q66" ca="1">INDEX(CHOOSE(dbУчДисц[[#This Row],[код]],BAZZS[Упражнения],BAZLS[Упражнения],MAZZS[Упражнения],MAZLS[Упражнения]),dbУчДисц[[#This Row],[№]],0)</f>
        <v>0</v>
      </c>
      <c r="R66" s="892" t="str">
        <f ca="1">T(INDEX(CHOOSE(dbУчДисц[[#This Row],[код]],BAZZS[Език],BAZLS[Език],MAZZS[Език],MAZLS[Език]),dbУчДисц[[#This Row],[№]],0))</f>
        <v>БЕ</v>
      </c>
      <c r="S66" s="243" t="str">
        <f ca="1">T(INDEX(CHOOSE(dbУчДисц[[#This Row],[код]],BAZZS[ФормаОц],BAZLS[ФормаОц],MAZZS[ФормаОц],MAZLS[ФормаОц]),dbУчДисц[[#This Row],[№]],0))</f>
        <v/>
      </c>
      <c r="T66" s="244" t="str">
        <f ca="1">T(INDEX(CHOOSE(dbУчДисц[[#This Row],[код]],BAZZS[Изпитващ],BAZLS[Изпитващ],MAZZS[Изпитващ],MAZLS[Изпитващ]),dbУчДисц[[#This Row],[№]],0))</f>
        <v/>
      </c>
      <c r="U66" s="1254" cm="1">
        <f t="array" aca="1" ref="U66" ca="1">INDEX(CHOOSE(dbУчДисц[[#This Row],[код]],BAZZS[Изпитани],BAZLS[Изпитани],MAZZS[Изпитани],MAZLS[Изпитани]),dbУчДисц[[#This Row],[№]],0)</f>
        <v>0</v>
      </c>
      <c r="V66" s="1268" cm="1">
        <f t="array" aca="1" ref="V66" ca="1">INDEX(CHOOSE(dbУчДисц[[#This Row],[код]],BAZZS[ТО],BAZLS[ТО],MAZZS[ТО],MAZLS[ТО]),dbУчДисц[[#This Row],[№]],0)</f>
        <v>0</v>
      </c>
      <c r="W66" s="1268" cm="1">
        <f t="array" aca="1" ref="W66" ca="1">INDEX(CHOOSE(dbУчДисц[[#This Row],[код]],BAZZS[КР],BAZLS[КР],MAZZS[КР],MAZLS[КР]),dbУчДисц[[#This Row],[№]],0)</f>
        <v>0</v>
      </c>
      <c r="X6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6" s="1270">
        <f ca="1">IF(AND(dbУчДисц[[#This Row],[Изпитани]]&lt;&gt;0,dbУчДисц[[#This Row],[Изпитващ]]=0),1,0)</f>
        <v>0</v>
      </c>
      <c r="AA66" s="1271">
        <f ca="1">IFERROR(VLOOKUP(dbУчДисц[[#This Row],[Език]],Коефициент_Eзик[],2,0),0)</f>
        <v>1</v>
      </c>
      <c r="AB66" s="1272" cm="1">
        <f t="array" aca="1" ref="AB6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6" s="1273">
        <v>0.5</v>
      </c>
      <c r="AE66" s="1274">
        <v>5</v>
      </c>
      <c r="AF66" s="1271">
        <f ca="1">N(dbУчДисц[[#This Row],[Лекции]])*dbУчДисц[[#This Row],[кЕзик]]*dbУчДисц[[#This Row],[кСтуденти]]*кЛекции</f>
        <v>0</v>
      </c>
      <c r="AG66" s="1272">
        <f ca="1">N(dbУчДисц[[#This Row],[Упражнения]])*dbУчДисц[[#This Row],[кЕзик]]*dbУчДисц[[#This Row],[кСтуденти]]*кУпражнение</f>
        <v>0</v>
      </c>
      <c r="AH66" s="1272">
        <f ca="1">N(dbУчДисц[[#This Row],[Изпитани]])*dbУчДисц[[#This Row],[кИзпитващ]]</f>
        <v>0</v>
      </c>
      <c r="AI66" s="1273">
        <f ca="1">dbУчДисц[[#This Row],[ТО]]*dbУчДисц[[#This Row],[кTO]]</f>
        <v>0</v>
      </c>
      <c r="AJ66" s="1266">
        <f ca="1">dbУчДисц[[#This Row],[КР]]*dbУчДисц[[#This Row],[кКР]]</f>
        <v>0</v>
      </c>
      <c r="AK66" s="1275">
        <f ca="1">N(INDEX(CHOOSE(dbУчДисц[[#This Row],[код]],BAZZS[id_РД],BAZLS[id_РД],MAZZS[id_РД],MAZLS[id_РД]),dbУчДисц[[#This Row],[№]],0))</f>
        <v>0</v>
      </c>
      <c r="AL6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6" s="1383" t="str">
        <f ca="1">T(INDEX(CHOOSE(dbУчДисц[[#This Row],[код]],BAZZS[Факултет1],BAZLS[Факултет1],MAZZS[Факултет1],MAZLS[Факултет1]),dbУчДисц[[#This Row],[№]],0))</f>
        <v/>
      </c>
      <c r="AO6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7" spans="5:41" ht="16.5" x14ac:dyDescent="0.3">
      <c r="E67" s="915" t="s">
        <v>682</v>
      </c>
      <c r="F67" s="923" t="s">
        <v>406</v>
      </c>
      <c r="G67" s="841">
        <v>3</v>
      </c>
      <c r="H67" s="860">
        <f ca="1">IF(dbУчДисц[[#This Row],[Семестър]]=OFFSET(dbУчДисц[[#This Row],[Семестър]],-1,0),N(OFFSET(dbУчДисц[[#This Row],[№]],-1,0))+1,1)</f>
        <v>17</v>
      </c>
      <c r="I67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7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7" s="842" t="str">
        <f ca="1">T(INDEX(CHOOSE(dbУчДисц[[#This Row],[код]],BAZZS[Факултет],BAZLS[Факултет],MAZZS[Факултет],MAZLS[Факултет]),dbУчДисц[[#This Row],[№]],0))</f>
        <v/>
      </c>
      <c r="L67" s="265" t="str">
        <f ca="1">T(INDEX(CHOOSE(dbУчДисц[[#This Row],[код]],BAZZS[Вид],BAZLS[Вид],MAZZS[Вид],MAZLS[Вид]),dbУчДисц[[#This Row],[№]],0))</f>
        <v/>
      </c>
      <c r="M67" s="243" t="str">
        <f ca="1">T(INDEX(CHOOSE(dbУчДисц[[#This Row],[код]],BAZZS[Курс],BAZLS[Курс],MAZZS[Курс],MAZLS[Курс]),dbУчДисц[[#This Row],[№]],0))</f>
        <v/>
      </c>
      <c r="N67" s="243" t="str">
        <f ca="1">T(INDEX(CHOOSE(dbУчДисц[[#This Row],[код]],BAZZS[ФормаОб],BAZLS[ФормаОб],MAZZS[ФормаОб],MAZLS[ФормаОб]),dbУчДисц[[#This Row],[№]],0))</f>
        <v/>
      </c>
      <c r="O67" s="1253" cm="1">
        <f t="array" aca="1" ref="O67" ca="1">INDEX(CHOOSE(dbУчДисц[[#This Row],[код]],BAZZS[Студенти],BAZLS[Студенти],MAZZS[Студенти],MAZLS[Студенти]),dbУчДисц[[#This Row],[№]],0)</f>
        <v>0</v>
      </c>
      <c r="P67" s="1254" cm="1">
        <f t="array" aca="1" ref="P67" ca="1">INDEX(CHOOSE(dbУчДисц[[#This Row],[код]],BAZZS[Лекции],BAZLS[Лекции],MAZZS[Лекции],MAZLS[Лекции]),dbУчДисц[[#This Row],[№]],0)</f>
        <v>0</v>
      </c>
      <c r="Q67" s="1254" cm="1">
        <f t="array" aca="1" ref="Q67" ca="1">INDEX(CHOOSE(dbУчДисц[[#This Row],[код]],BAZZS[Упражнения],BAZLS[Упражнения],MAZZS[Упражнения],MAZLS[Упражнения]),dbУчДисц[[#This Row],[№]],0)</f>
        <v>0</v>
      </c>
      <c r="R67" s="892" t="str">
        <f ca="1">T(INDEX(CHOOSE(dbУчДисц[[#This Row],[код]],BAZZS[Език],BAZLS[Език],MAZZS[Език],MAZLS[Език]),dbУчДисц[[#This Row],[№]],0))</f>
        <v>БЕ</v>
      </c>
      <c r="S67" s="243" t="str">
        <f ca="1">T(INDEX(CHOOSE(dbУчДисц[[#This Row],[код]],BAZZS[ФормаОц],BAZLS[ФормаОц],MAZZS[ФормаОц],MAZLS[ФормаОц]),dbУчДисц[[#This Row],[№]],0))</f>
        <v/>
      </c>
      <c r="T67" s="244" t="str">
        <f ca="1">T(INDEX(CHOOSE(dbУчДисц[[#This Row],[код]],BAZZS[Изпитващ],BAZLS[Изпитващ],MAZZS[Изпитващ],MAZLS[Изпитващ]),dbУчДисц[[#This Row],[№]],0))</f>
        <v/>
      </c>
      <c r="U67" s="1254" cm="1">
        <f t="array" aca="1" ref="U67" ca="1">INDEX(CHOOSE(dbУчДисц[[#This Row],[код]],BAZZS[Изпитани],BAZLS[Изпитани],MAZZS[Изпитани],MAZLS[Изпитани]),dbУчДисц[[#This Row],[№]],0)</f>
        <v>0</v>
      </c>
      <c r="V67" s="1268" cm="1">
        <f t="array" aca="1" ref="V67" ca="1">INDEX(CHOOSE(dbУчДисц[[#This Row],[код]],BAZZS[ТО],BAZLS[ТО],MAZZS[ТО],MAZLS[ТО]),dbУчДисц[[#This Row],[№]],0)</f>
        <v>0</v>
      </c>
      <c r="W67" s="1268" cm="1">
        <f t="array" aca="1" ref="W67" ca="1">INDEX(CHOOSE(dbУчДисц[[#This Row],[код]],BAZZS[КР],BAZLS[КР],MAZZS[КР],MAZLS[КР]),dbУчДисц[[#This Row],[№]],0)</f>
        <v>0</v>
      </c>
      <c r="X6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7" s="1270">
        <f ca="1">IF(AND(dbУчДисц[[#This Row],[Изпитани]]&lt;&gt;0,dbУчДисц[[#This Row],[Изпитващ]]=0),1,0)</f>
        <v>0</v>
      </c>
      <c r="AA67" s="1271">
        <f ca="1">IFERROR(VLOOKUP(dbУчДисц[[#This Row],[Език]],Коефициент_Eзик[],2,0),0)</f>
        <v>1</v>
      </c>
      <c r="AB67" s="1272" cm="1">
        <f t="array" aca="1" ref="AB6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7" s="1273">
        <v>0.5</v>
      </c>
      <c r="AE67" s="1274">
        <v>5</v>
      </c>
      <c r="AF67" s="1271">
        <f ca="1">N(dbУчДисц[[#This Row],[Лекции]])*dbУчДисц[[#This Row],[кЕзик]]*dbУчДисц[[#This Row],[кСтуденти]]*кЛекции</f>
        <v>0</v>
      </c>
      <c r="AG67" s="1272">
        <f ca="1">N(dbУчДисц[[#This Row],[Упражнения]])*dbУчДисц[[#This Row],[кЕзик]]*dbУчДисц[[#This Row],[кСтуденти]]*кУпражнение</f>
        <v>0</v>
      </c>
      <c r="AH67" s="1272">
        <f ca="1">N(dbУчДисц[[#This Row],[Изпитани]])*dbУчДисц[[#This Row],[кИзпитващ]]</f>
        <v>0</v>
      </c>
      <c r="AI67" s="1273">
        <f ca="1">dbУчДисц[[#This Row],[ТО]]*dbУчДисц[[#This Row],[кTO]]</f>
        <v>0</v>
      </c>
      <c r="AJ67" s="1266">
        <f ca="1">dbУчДисц[[#This Row],[КР]]*dbУчДисц[[#This Row],[кКР]]</f>
        <v>0</v>
      </c>
      <c r="AK67" s="1275">
        <f ca="1">N(INDEX(CHOOSE(dbУчДисц[[#This Row],[код]],BAZZS[id_РД],BAZLS[id_РД],MAZZS[id_РД],MAZLS[id_РД]),dbУчДисц[[#This Row],[№]],0))</f>
        <v>0</v>
      </c>
      <c r="AL6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7" s="1383" t="str">
        <f ca="1">T(INDEX(CHOOSE(dbУчДисц[[#This Row],[код]],BAZZS[Факултет1],BAZLS[Факултет1],MAZZS[Факултет1],MAZLS[Факултет1]),dbУчДисц[[#This Row],[№]],0))</f>
        <v/>
      </c>
      <c r="AO6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8" spans="5:41" ht="16.5" x14ac:dyDescent="0.3">
      <c r="E68" s="915" t="s">
        <v>682</v>
      </c>
      <c r="F68" s="923" t="s">
        <v>406</v>
      </c>
      <c r="G68" s="841">
        <v>3</v>
      </c>
      <c r="H68" s="860">
        <f ca="1">IF(dbУчДисц[[#This Row],[Семестър]]=OFFSET(dbУчДисц[[#This Row],[Семестър]],-1,0),N(OFFSET(dbУчДисц[[#This Row],[№]],-1,0))+1,1)</f>
        <v>18</v>
      </c>
      <c r="I68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68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8" s="842" t="str">
        <f ca="1">T(INDEX(CHOOSE(dbУчДисц[[#This Row],[код]],BAZZS[Факултет],BAZLS[Факултет],MAZZS[Факултет],MAZLS[Факултет]),dbУчДисц[[#This Row],[№]],0))</f>
        <v/>
      </c>
      <c r="L68" s="265" t="str">
        <f ca="1">T(INDEX(CHOOSE(dbУчДисц[[#This Row],[код]],BAZZS[Вид],BAZLS[Вид],MAZZS[Вид],MAZLS[Вид]),dbУчДисц[[#This Row],[№]],0))</f>
        <v/>
      </c>
      <c r="M68" s="243" t="str">
        <f ca="1">T(INDEX(CHOOSE(dbУчДисц[[#This Row],[код]],BAZZS[Курс],BAZLS[Курс],MAZZS[Курс],MAZLS[Курс]),dbУчДисц[[#This Row],[№]],0))</f>
        <v/>
      </c>
      <c r="N68" s="243" t="str">
        <f ca="1">T(INDEX(CHOOSE(dbУчДисц[[#This Row],[код]],BAZZS[ФормаОб],BAZLS[ФормаОб],MAZZS[ФормаОб],MAZLS[ФормаОб]),dbУчДисц[[#This Row],[№]],0))</f>
        <v/>
      </c>
      <c r="O68" s="1253" cm="1">
        <f t="array" aca="1" ref="O68" ca="1">INDEX(CHOOSE(dbУчДисц[[#This Row],[код]],BAZZS[Студенти],BAZLS[Студенти],MAZZS[Студенти],MAZLS[Студенти]),dbУчДисц[[#This Row],[№]],0)</f>
        <v>0</v>
      </c>
      <c r="P68" s="1254" cm="1">
        <f t="array" aca="1" ref="P68" ca="1">INDEX(CHOOSE(dbУчДисц[[#This Row],[код]],BAZZS[Лекции],BAZLS[Лекции],MAZZS[Лекции],MAZLS[Лекции]),dbУчДисц[[#This Row],[№]],0)</f>
        <v>0</v>
      </c>
      <c r="Q68" s="1254" cm="1">
        <f t="array" aca="1" ref="Q68" ca="1">INDEX(CHOOSE(dbУчДисц[[#This Row],[код]],BAZZS[Упражнения],BAZLS[Упражнения],MAZZS[Упражнения],MAZLS[Упражнения]),dbУчДисц[[#This Row],[№]],0)</f>
        <v>0</v>
      </c>
      <c r="R68" s="892" t="str">
        <f ca="1">T(INDEX(CHOOSE(dbУчДисц[[#This Row],[код]],BAZZS[Език],BAZLS[Език],MAZZS[Език],MAZLS[Език]),dbУчДисц[[#This Row],[№]],0))</f>
        <v>БЕ</v>
      </c>
      <c r="S68" s="243" t="str">
        <f ca="1">T(INDEX(CHOOSE(dbУчДисц[[#This Row],[код]],BAZZS[ФормаОц],BAZLS[ФормаОц],MAZZS[ФормаОц],MAZLS[ФормаОц]),dbУчДисц[[#This Row],[№]],0))</f>
        <v/>
      </c>
      <c r="T68" s="244" t="str">
        <f ca="1">T(INDEX(CHOOSE(dbУчДисц[[#This Row],[код]],BAZZS[Изпитващ],BAZLS[Изпитващ],MAZZS[Изпитващ],MAZLS[Изпитващ]),dbУчДисц[[#This Row],[№]],0))</f>
        <v/>
      </c>
      <c r="U68" s="1254" cm="1">
        <f t="array" aca="1" ref="U68" ca="1">INDEX(CHOOSE(dbУчДисц[[#This Row],[код]],BAZZS[Изпитани],BAZLS[Изпитани],MAZZS[Изпитани],MAZLS[Изпитани]),dbУчДисц[[#This Row],[№]],0)</f>
        <v>0</v>
      </c>
      <c r="V68" s="1268" cm="1">
        <f t="array" aca="1" ref="V68" ca="1">INDEX(CHOOSE(dbУчДисц[[#This Row],[код]],BAZZS[ТО],BAZLS[ТО],MAZZS[ТО],MAZLS[ТО]),dbУчДисц[[#This Row],[№]],0)</f>
        <v>0</v>
      </c>
      <c r="W68" s="1268" cm="1">
        <f t="array" aca="1" ref="W68" ca="1">INDEX(CHOOSE(dbУчДисц[[#This Row],[код]],BAZZS[КР],BAZLS[КР],MAZZS[КР],MAZLS[КР]),dbУчДисц[[#This Row],[№]],0)</f>
        <v>0</v>
      </c>
      <c r="X6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8" s="1270">
        <f ca="1">IF(AND(dbУчДисц[[#This Row],[Изпитани]]&lt;&gt;0,dbУчДисц[[#This Row],[Изпитващ]]=0),1,0)</f>
        <v>0</v>
      </c>
      <c r="AA68" s="1271">
        <f ca="1">IFERROR(VLOOKUP(dbУчДисц[[#This Row],[Език]],Коефициент_Eзик[],2,0),0)</f>
        <v>1</v>
      </c>
      <c r="AB68" s="1272" cm="1">
        <f t="array" aca="1" ref="AB6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8" s="1273">
        <v>0.5</v>
      </c>
      <c r="AE68" s="1274">
        <v>5</v>
      </c>
      <c r="AF68" s="1271">
        <f ca="1">N(dbУчДисц[[#This Row],[Лекции]])*dbУчДисц[[#This Row],[кЕзик]]*dbУчДисц[[#This Row],[кСтуденти]]*кЛекции</f>
        <v>0</v>
      </c>
      <c r="AG68" s="1272">
        <f ca="1">N(dbУчДисц[[#This Row],[Упражнения]])*dbУчДисц[[#This Row],[кЕзик]]*dbУчДисц[[#This Row],[кСтуденти]]*кУпражнение</f>
        <v>0</v>
      </c>
      <c r="AH68" s="1272">
        <f ca="1">N(dbУчДисц[[#This Row],[Изпитани]])*dbУчДисц[[#This Row],[кИзпитващ]]</f>
        <v>0</v>
      </c>
      <c r="AI68" s="1273">
        <f ca="1">dbУчДисц[[#This Row],[ТО]]*dbУчДисц[[#This Row],[кTO]]</f>
        <v>0</v>
      </c>
      <c r="AJ68" s="1266">
        <f ca="1">dbУчДисц[[#This Row],[КР]]*dbУчДисц[[#This Row],[кКР]]</f>
        <v>0</v>
      </c>
      <c r="AK68" s="1275">
        <f ca="1">N(INDEX(CHOOSE(dbУчДисц[[#This Row],[код]],BAZZS[id_РД],BAZLS[id_РД],MAZZS[id_РД],MAZLS[id_РД]),dbУчДисц[[#This Row],[№]],0))</f>
        <v>0</v>
      </c>
      <c r="AL6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6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8" s="1383" t="str">
        <f ca="1">T(INDEX(CHOOSE(dbУчДисц[[#This Row],[код]],BAZZS[Факултет1],BAZLS[Факултет1],MAZZS[Факултет1],MAZLS[Факултет1]),dbУчДисц[[#This Row],[№]],0))</f>
        <v/>
      </c>
      <c r="AO6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69" spans="5:41" ht="17.25" thickBot="1" x14ac:dyDescent="0.35">
      <c r="E69" s="917" t="s">
        <v>682</v>
      </c>
      <c r="F69" s="924" t="s">
        <v>406</v>
      </c>
      <c r="G69" s="849">
        <v>3</v>
      </c>
      <c r="H69" s="861">
        <f ca="1">IF(dbУчДисц[[#This Row],[Семестър]]=OFFSET(dbУчДисц[[#This Row],[Семестър]],-1,0),N(OFFSET(dbУчДисц[[#This Row],[№]],-1,0))+1,1)</f>
        <v>19</v>
      </c>
      <c r="I69" s="857" t="str">
        <f ca="1">T(INDEX(CHOOSE(dbУчДисц[[#This Row],[код]],BAZZS[Дисциплина],BAZLS[Дисциплина],MAZZS[Дисциплина],MAZLS[Дисциплина]),dbУчДисц[[#This Row],[№]],0))</f>
        <v/>
      </c>
      <c r="J69" s="858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69" s="889" t="str">
        <f ca="1">T(INDEX(CHOOSE(dbУчДисц[[#This Row],[код]],BAZZS[Факултет],BAZLS[Факултет],MAZZS[Факултет],MAZLS[Факултет]),dbУчДисц[[#This Row],[№]],0))</f>
        <v/>
      </c>
      <c r="L69" s="266" t="str">
        <f ca="1">T(INDEX(CHOOSE(dbУчДисц[[#This Row],[код]],BAZZS[Вид],BAZLS[Вид],MAZZS[Вид],MAZLS[Вид]),dbУчДисц[[#This Row],[№]],0))</f>
        <v/>
      </c>
      <c r="M69" s="267" t="str">
        <f ca="1">T(INDEX(CHOOSE(dbУчДисц[[#This Row],[код]],BAZZS[Курс],BAZLS[Курс],MAZZS[Курс],MAZLS[Курс]),dbУчДисц[[#This Row],[№]],0))</f>
        <v/>
      </c>
      <c r="N69" s="267" t="str">
        <f ca="1">T(INDEX(CHOOSE(dbУчДисц[[#This Row],[код]],BAZZS[ФормаОб],BAZLS[ФормаОб],MAZZS[ФормаОб],MAZLS[ФормаОб]),dbУчДисц[[#This Row],[№]],0))</f>
        <v/>
      </c>
      <c r="O69" s="1257" cm="1">
        <f t="array" aca="1" ref="O69" ca="1">INDEX(CHOOSE(dbУчДисц[[#This Row],[код]],BAZZS[Студенти],BAZLS[Студенти],MAZZS[Студенти],MAZLS[Студенти]),dbУчДисц[[#This Row],[№]],0)</f>
        <v>0</v>
      </c>
      <c r="P69" s="1258" cm="1">
        <f t="array" aca="1" ref="P69" ca="1">INDEX(CHOOSE(dbУчДисц[[#This Row],[код]],BAZZS[Лекции],BAZLS[Лекции],MAZZS[Лекции],MAZLS[Лекции]),dbУчДисц[[#This Row],[№]],0)</f>
        <v>0</v>
      </c>
      <c r="Q69" s="1258" cm="1">
        <f t="array" aca="1" ref="Q69" ca="1">INDEX(CHOOSE(dbУчДисц[[#This Row],[код]],BAZZS[Упражнения],BAZLS[Упражнения],MAZZS[Упражнения],MAZLS[Упражнения]),dbУчДисц[[#This Row],[№]],0)</f>
        <v>0</v>
      </c>
      <c r="R69" s="894" t="str">
        <f ca="1">T(INDEX(CHOOSE(dbУчДисц[[#This Row],[код]],BAZZS[Език],BAZLS[Език],MAZZS[Език],MAZLS[Език]),dbУчДисц[[#This Row],[№]],0))</f>
        <v>БЕ</v>
      </c>
      <c r="S69" s="267" t="str">
        <f ca="1">T(INDEX(CHOOSE(dbУчДисц[[#This Row],[код]],BAZZS[ФормаОц],BAZLS[ФормаОц],MAZZS[ФормаОц],MAZLS[ФормаОц]),dbУчДисц[[#This Row],[№]],0))</f>
        <v/>
      </c>
      <c r="T69" s="268" t="str">
        <f ca="1">T(INDEX(CHOOSE(dbУчДисц[[#This Row],[код]],BAZZS[Изпитващ],BAZLS[Изпитващ],MAZZS[Изпитващ],MAZLS[Изпитващ]),dbУчДисц[[#This Row],[№]],0))</f>
        <v/>
      </c>
      <c r="U69" s="1258" cm="1">
        <f t="array" aca="1" ref="U69" ca="1">INDEX(CHOOSE(dbУчДисц[[#This Row],[код]],BAZZS[Изпитани],BAZLS[Изпитани],MAZZS[Изпитани],MAZLS[Изпитани]),dbУчДисц[[#This Row],[№]],0)</f>
        <v>0</v>
      </c>
      <c r="V69" s="1276" cm="1">
        <f t="array" aca="1" ref="V69" ca="1">INDEX(CHOOSE(dbУчДисц[[#This Row],[код]],BAZZS[ТО],BAZLS[ТО],MAZZS[ТО],MAZLS[ТО]),dbУчДисц[[#This Row],[№]],0)</f>
        <v>0</v>
      </c>
      <c r="W69" s="1276" cm="1">
        <f t="array" aca="1" ref="W69" ca="1">INDEX(CHOOSE(dbУчДисц[[#This Row],[код]],BAZZS[КР],BAZLS[КР],MAZZS[КР],MAZLS[КР]),dbУчДисц[[#This Row],[№]],0)</f>
        <v>0</v>
      </c>
      <c r="X69" s="1277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69" s="1278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69" s="1278">
        <f ca="1">IF(AND(dbУчДисц[[#This Row],[Изпитани]]&lt;&gt;0,dbУчДисц[[#This Row],[Изпитващ]]=0),1,0)</f>
        <v>0</v>
      </c>
      <c r="AA69" s="1279">
        <f ca="1">IFERROR(VLOOKUP(dbУчДисц[[#This Row],[Език]],Коефициент_Eзик[],2,0),0)</f>
        <v>1</v>
      </c>
      <c r="AB69" s="1280" cm="1">
        <f t="array" aca="1" ref="AB6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69" s="1280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69" s="1281">
        <v>0.5</v>
      </c>
      <c r="AE69" s="1282">
        <v>5</v>
      </c>
      <c r="AF69" s="1279">
        <f ca="1">N(dbУчДисц[[#This Row],[Лекции]])*dbУчДисц[[#This Row],[кЕзик]]*dbУчДисц[[#This Row],[кСтуденти]]*кЛекции</f>
        <v>0</v>
      </c>
      <c r="AG69" s="1280">
        <f ca="1">N(dbУчДисц[[#This Row],[Упражнения]])*dbУчДисц[[#This Row],[кЕзик]]*dbУчДисц[[#This Row],[кСтуденти]]*кУпражнение</f>
        <v>0</v>
      </c>
      <c r="AH69" s="1280">
        <f ca="1">N(dbУчДисц[[#This Row],[Изпитани]])*dbУчДисц[[#This Row],[кИзпитващ]]</f>
        <v>0</v>
      </c>
      <c r="AI69" s="1281">
        <f ca="1">dbУчДисц[[#This Row],[ТО]]*dbУчДисц[[#This Row],[кTO]]</f>
        <v>0</v>
      </c>
      <c r="AJ69" s="1266">
        <f ca="1">dbУчДисц[[#This Row],[КР]]*dbУчДисц[[#This Row],[кКР]]</f>
        <v>0</v>
      </c>
      <c r="AK69" s="1294">
        <f ca="1">N(INDEX(CHOOSE(dbУчДисц[[#This Row],[код]],BAZZS[id_РД],BAZLS[id_РД],MAZZS[id_РД],MAZLS[id_РД]),dbУчДисц[[#This Row],[№]],0))</f>
        <v>0</v>
      </c>
      <c r="AL69" s="1387" t="str">
        <f ca="1">T(INDEX(CHOOSE(dbУчДисц[[#This Row],[код]],BAZZS[Дисциплина1],BAZLS[Дисциплина1],MAZZS[Дисциплина1],MAZLS[Дисциплина1]),dbУчДисц[[#This Row],[№]],0))</f>
        <v/>
      </c>
      <c r="AM69" s="1387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69" s="1387" t="str">
        <f ca="1">T(INDEX(CHOOSE(dbУчДисц[[#This Row],[код]],BAZZS[Факултет1],BAZLS[Факултет1],MAZZS[Факултет1],MAZLS[Факултет1]),dbУчДисц[[#This Row],[№]],0))</f>
        <v/>
      </c>
      <c r="AO69" s="1388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0" spans="5:41" ht="16.5" x14ac:dyDescent="0.3">
      <c r="E70" s="919" t="s">
        <v>682</v>
      </c>
      <c r="F70" s="921" t="s">
        <v>407</v>
      </c>
      <c r="G70" s="666">
        <f>4</f>
        <v>4</v>
      </c>
      <c r="H70" s="860">
        <f ca="1">IF(dbУчДисц[[#This Row],[Семестър]]=OFFSET(dbУчДисц[[#This Row],[Семестър]],-1,0),N(OFFSET(dbУчДисц[[#This Row],[№]],-1,0))+1,1)</f>
        <v>1</v>
      </c>
      <c r="I70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0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0" s="842" t="str">
        <f ca="1">T(INDEX(CHOOSE(dbУчДисц[[#This Row],[код]],BAZZS[Факултет],BAZLS[Факултет],MAZZS[Факултет],MAZLS[Факултет]),dbУчДисц[[#This Row],[№]],0))</f>
        <v/>
      </c>
      <c r="L70" s="265" t="str">
        <f ca="1">T(INDEX(CHOOSE(dbУчДисц[[#This Row],[код]],BAZZS[Вид],BAZLS[Вид],MAZZS[Вид],MAZLS[Вид]),dbУчДисц[[#This Row],[№]],0))</f>
        <v/>
      </c>
      <c r="M70" s="243" t="str">
        <f ca="1">T(INDEX(CHOOSE(dbУчДисц[[#This Row],[код]],BAZZS[Курс],BAZLS[Курс],MAZZS[Курс],MAZLS[Курс]),dbУчДисц[[#This Row],[№]],0))</f>
        <v/>
      </c>
      <c r="N70" s="243" t="str">
        <f ca="1">T(INDEX(CHOOSE(dbУчДисц[[#This Row],[код]],BAZZS[ФормаОб],BAZLS[ФормаОб],MAZZS[ФормаОб],MAZLS[ФормаОб]),dbУчДисц[[#This Row],[№]],0))</f>
        <v/>
      </c>
      <c r="O70" s="1253" cm="1">
        <f t="array" aca="1" ref="O70" ca="1">INDEX(CHOOSE(dbУчДисц[[#This Row],[код]],BAZZS[Студенти],BAZLS[Студенти],MAZZS[Студенти],MAZLS[Студенти]),dbУчДисц[[#This Row],[№]],0)</f>
        <v>0</v>
      </c>
      <c r="P70" s="1254" cm="1">
        <f t="array" aca="1" ref="P70" ca="1">INDEX(CHOOSE(dbУчДисц[[#This Row],[код]],BAZZS[Лекции],BAZLS[Лекции],MAZZS[Лекции],MAZLS[Лекции]),dbУчДисц[[#This Row],[№]],0)</f>
        <v>0</v>
      </c>
      <c r="Q70" s="1254" cm="1">
        <f t="array" aca="1" ref="Q70" ca="1">INDEX(CHOOSE(dbУчДисц[[#This Row],[код]],BAZZS[Упражнения],BAZLS[Упражнения],MAZZS[Упражнения],MAZLS[Упражнения]),dbУчДисц[[#This Row],[№]],0)</f>
        <v>0</v>
      </c>
      <c r="R70" s="892" t="str">
        <f ca="1">T(INDEX(CHOOSE(dbУчДисц[[#This Row],[код]],BAZZS[Език],BAZLS[Език],MAZZS[Език],MAZLS[Език]),dbУчДисц[[#This Row],[№]],0))</f>
        <v>БЕ</v>
      </c>
      <c r="S70" s="243" t="str">
        <f ca="1">T(INDEX(CHOOSE(dbУчДисц[[#This Row],[код]],BAZZS[ФормаОц],BAZLS[ФормаОц],MAZZS[ФормаОц],MAZLS[ФормаОц]),dbУчДисц[[#This Row],[№]],0))</f>
        <v/>
      </c>
      <c r="T70" s="244" t="str">
        <f ca="1">T(INDEX(CHOOSE(dbУчДисц[[#This Row],[код]],BAZZS[Изпитващ],BAZLS[Изпитващ],MAZZS[Изпитващ],MAZLS[Изпитващ]),dbУчДисц[[#This Row],[№]],0))</f>
        <v/>
      </c>
      <c r="U70" s="1254" cm="1">
        <f t="array" aca="1" ref="U70" ca="1">INDEX(CHOOSE(dbУчДисц[[#This Row],[код]],BAZZS[Изпитани],BAZLS[Изпитани],MAZZS[Изпитани],MAZLS[Изпитани]),dbУчДисц[[#This Row],[№]],0)</f>
        <v>0</v>
      </c>
      <c r="V70" s="1268" cm="1">
        <f t="array" aca="1" ref="V70" ca="1">INDEX(CHOOSE(dbУчДисц[[#This Row],[код]],BAZZS[ТО],BAZLS[ТО],MAZZS[ТО],MAZLS[ТО]),dbУчДисц[[#This Row],[№]],0)</f>
        <v>0</v>
      </c>
      <c r="W70" s="1268" cm="1">
        <f t="array" aca="1" ref="W70" ca="1">INDEX(CHOOSE(dbУчДисц[[#This Row],[код]],BAZZS[КР],BAZLS[КР],MAZZS[КР],MAZLS[КР]),dbУчДисц[[#This Row],[№]],0)</f>
        <v>0</v>
      </c>
      <c r="X7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0" s="1270">
        <f ca="1">IF(AND(dbУчДисц[[#This Row],[Изпитани]]&lt;&gt;0,dbУчДисц[[#This Row],[Изпитващ]]=0),1,0)</f>
        <v>0</v>
      </c>
      <c r="AA70" s="1284">
        <f ca="1">IFERROR(VLOOKUP(dbУчДисц[[#This Row],[Език]],Коефициент_Eзик[],2,0),0)</f>
        <v>1</v>
      </c>
      <c r="AB70" s="1285" cm="1">
        <f t="array" aca="1" ref="AB7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0" s="1285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0" s="1286">
        <v>0.5</v>
      </c>
      <c r="AE70" s="1287">
        <v>5</v>
      </c>
      <c r="AF70" s="1284">
        <f ca="1">N(dbУчДисц[[#This Row],[Лекции]])*dbУчДисц[[#This Row],[кЕзик]]*dbУчДисц[[#This Row],[кСтуденти]]*кЛекции</f>
        <v>0</v>
      </c>
      <c r="AG70" s="1285">
        <f ca="1">N(dbУчДисц[[#This Row],[Упражнения]])*dbУчДисц[[#This Row],[кЕзик]]*dbУчДисц[[#This Row],[кСтуденти]]*кУпражнение</f>
        <v>0</v>
      </c>
      <c r="AH70" s="1285">
        <f ca="1">N(dbУчДисц[[#This Row],[Изпитани]])*dbУчДисц[[#This Row],[кИзпитващ]]</f>
        <v>0</v>
      </c>
      <c r="AI70" s="1286">
        <f ca="1">dbУчДисц[[#This Row],[ТО]]*dbУчДисц[[#This Row],[кTO]]</f>
        <v>0</v>
      </c>
      <c r="AJ70" s="1288">
        <f ca="1">dbУчДисц[[#This Row],[КР]]*dbУчДисц[[#This Row],[кКР]]</f>
        <v>0</v>
      </c>
      <c r="AK70" s="1295">
        <f ca="1">N(INDEX(CHOOSE(dbУчДисц[[#This Row],[код]],BAZZS[id_РД],BAZLS[id_РД],MAZZS[id_РД],MAZLS[id_РД]),dbУчДисц[[#This Row],[№]],0))</f>
        <v>0</v>
      </c>
      <c r="AL70" s="1389" t="str">
        <f ca="1">T(INDEX(CHOOSE(dbУчДисц[[#This Row],[код]],BAZZS[Дисциплина1],BAZLS[Дисциплина1],MAZZS[Дисциплина1],MAZLS[Дисциплина1]),dbУчДисц[[#This Row],[№]],0))</f>
        <v/>
      </c>
      <c r="AM70" s="1389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0" s="1389" t="str">
        <f ca="1">T(INDEX(CHOOSE(dbУчДисц[[#This Row],[код]],BAZZS[Факултет1],BAZLS[Факултет1],MAZZS[Факултет1],MAZLS[Факултет1]),dbУчДисц[[#This Row],[№]],0))</f>
        <v/>
      </c>
      <c r="AO70" s="1390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1" spans="5:41" ht="16.5" x14ac:dyDescent="0.3">
      <c r="E71" s="919" t="s">
        <v>682</v>
      </c>
      <c r="F71" s="921" t="s">
        <v>407</v>
      </c>
      <c r="G71" s="666">
        <f>4</f>
        <v>4</v>
      </c>
      <c r="H71" s="860">
        <f ca="1">IF(dbУчДисц[[#This Row],[Семестър]]=OFFSET(dbУчДисц[[#This Row],[Семестър]],-1,0),N(OFFSET(dbУчДисц[[#This Row],[№]],-1,0))+1,1)</f>
        <v>2</v>
      </c>
      <c r="I71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1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1" s="842" t="str">
        <f ca="1">T(INDEX(CHOOSE(dbУчДисц[[#This Row],[код]],BAZZS[Факултет],BAZLS[Факултет],MAZZS[Факултет],MAZLS[Факултет]),dbУчДисц[[#This Row],[№]],0))</f>
        <v/>
      </c>
      <c r="L71" s="265" t="str">
        <f ca="1">T(INDEX(CHOOSE(dbУчДисц[[#This Row],[код]],BAZZS[Вид],BAZLS[Вид],MAZZS[Вид],MAZLS[Вид]),dbУчДисц[[#This Row],[№]],0))</f>
        <v/>
      </c>
      <c r="M71" s="243" t="str">
        <f ca="1">T(INDEX(CHOOSE(dbУчДисц[[#This Row],[код]],BAZZS[Курс],BAZLS[Курс],MAZZS[Курс],MAZLS[Курс]),dbУчДисц[[#This Row],[№]],0))</f>
        <v/>
      </c>
      <c r="N71" s="243" t="str">
        <f ca="1">T(INDEX(CHOOSE(dbУчДисц[[#This Row],[код]],BAZZS[ФормаОб],BAZLS[ФормаОб],MAZZS[ФормаОб],MAZLS[ФормаОб]),dbУчДисц[[#This Row],[№]],0))</f>
        <v/>
      </c>
      <c r="O71" s="1253" cm="1">
        <f t="array" aca="1" ref="O71" ca="1">INDEX(CHOOSE(dbУчДисц[[#This Row],[код]],BAZZS[Студенти],BAZLS[Студенти],MAZZS[Студенти],MAZLS[Студенти]),dbУчДисц[[#This Row],[№]],0)</f>
        <v>0</v>
      </c>
      <c r="P71" s="1254" cm="1">
        <f t="array" aca="1" ref="P71" ca="1">INDEX(CHOOSE(dbУчДисц[[#This Row],[код]],BAZZS[Лекции],BAZLS[Лекции],MAZZS[Лекции],MAZLS[Лекции]),dbУчДисц[[#This Row],[№]],0)</f>
        <v>0</v>
      </c>
      <c r="Q71" s="1254" cm="1">
        <f t="array" aca="1" ref="Q71" ca="1">INDEX(CHOOSE(dbУчДисц[[#This Row],[код]],BAZZS[Упражнения],BAZLS[Упражнения],MAZZS[Упражнения],MAZLS[Упражнения]),dbУчДисц[[#This Row],[№]],0)</f>
        <v>0</v>
      </c>
      <c r="R71" s="892" t="str">
        <f ca="1">T(INDEX(CHOOSE(dbУчДисц[[#This Row],[код]],BAZZS[Език],BAZLS[Език],MAZZS[Език],MAZLS[Език]),dbУчДисц[[#This Row],[№]],0))</f>
        <v>БЕ</v>
      </c>
      <c r="S71" s="243" t="str">
        <f ca="1">T(INDEX(CHOOSE(dbУчДисц[[#This Row],[код]],BAZZS[ФормаОц],BAZLS[ФормаОц],MAZZS[ФормаОц],MAZLS[ФормаОц]),dbУчДисц[[#This Row],[№]],0))</f>
        <v/>
      </c>
      <c r="T71" s="244" t="str">
        <f ca="1">T(INDEX(CHOOSE(dbУчДисц[[#This Row],[код]],BAZZS[Изпитващ],BAZLS[Изпитващ],MAZZS[Изпитващ],MAZLS[Изпитващ]),dbУчДисц[[#This Row],[№]],0))</f>
        <v/>
      </c>
      <c r="U71" s="1254" cm="1">
        <f t="array" aca="1" ref="U71" ca="1">INDEX(CHOOSE(dbУчДисц[[#This Row],[код]],BAZZS[Изпитани],BAZLS[Изпитани],MAZZS[Изпитани],MAZLS[Изпитани]),dbУчДисц[[#This Row],[№]],0)</f>
        <v>0</v>
      </c>
      <c r="V71" s="1268" cm="1">
        <f t="array" aca="1" ref="V71" ca="1">INDEX(CHOOSE(dbУчДисц[[#This Row],[код]],BAZZS[ТО],BAZLS[ТО],MAZZS[ТО],MAZLS[ТО]),dbУчДисц[[#This Row],[№]],0)</f>
        <v>0</v>
      </c>
      <c r="W71" s="1268" cm="1">
        <f t="array" aca="1" ref="W71" ca="1">INDEX(CHOOSE(dbУчДисц[[#This Row],[код]],BAZZS[КР],BAZLS[КР],MAZZS[КР],MAZLS[КР]),dbУчДисц[[#This Row],[№]],0)</f>
        <v>0</v>
      </c>
      <c r="X71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1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1" s="1270">
        <f ca="1">IF(AND(dbУчДисц[[#This Row],[Изпитани]]&lt;&gt;0,dbУчДисц[[#This Row],[Изпитващ]]=0),1,0)</f>
        <v>0</v>
      </c>
      <c r="AA71" s="1271">
        <f ca="1">IFERROR(VLOOKUP(dbУчДисц[[#This Row],[Език]],Коефициент_Eзик[],2,0),0)</f>
        <v>1</v>
      </c>
      <c r="AB71" s="1272" cm="1">
        <f t="array" aca="1" ref="AB7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1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1" s="1273">
        <v>0.5</v>
      </c>
      <c r="AE71" s="1274">
        <v>5</v>
      </c>
      <c r="AF71" s="1271">
        <f ca="1">N(dbУчДисц[[#This Row],[Лекции]])*dbУчДисц[[#This Row],[кЕзик]]*dbУчДисц[[#This Row],[кСтуденти]]*кЛекции</f>
        <v>0</v>
      </c>
      <c r="AG71" s="1272">
        <f ca="1">N(dbУчДисц[[#This Row],[Упражнения]])*dbУчДисц[[#This Row],[кЕзик]]*dbУчДисц[[#This Row],[кСтуденти]]*кУпражнение</f>
        <v>0</v>
      </c>
      <c r="AH71" s="1272">
        <f ca="1">N(dbУчДисц[[#This Row],[Изпитани]])*dbУчДисц[[#This Row],[кИзпитващ]]</f>
        <v>0</v>
      </c>
      <c r="AI71" s="1273">
        <f ca="1">dbУчДисц[[#This Row],[ТО]]*dbУчДисц[[#This Row],[кTO]]</f>
        <v>0</v>
      </c>
      <c r="AJ71" s="1266">
        <f ca="1">dbУчДисц[[#This Row],[КР]]*dbУчДисц[[#This Row],[кКР]]</f>
        <v>0</v>
      </c>
      <c r="AK71" s="1275">
        <f ca="1">N(INDEX(CHOOSE(dbУчДисц[[#This Row],[код]],BAZZS[id_РД],BAZLS[id_РД],MAZZS[id_РД],MAZLS[id_РД]),dbУчДисц[[#This Row],[№]],0))</f>
        <v>0</v>
      </c>
      <c r="AL71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1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1" s="1383" t="str">
        <f ca="1">T(INDEX(CHOOSE(dbУчДисц[[#This Row],[код]],BAZZS[Факултет1],BAZLS[Факултет1],MAZZS[Факултет1],MAZLS[Факултет1]),dbУчДисц[[#This Row],[№]],0))</f>
        <v/>
      </c>
      <c r="AO71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2" spans="5:41" ht="16.5" x14ac:dyDescent="0.3">
      <c r="E72" s="919" t="s">
        <v>682</v>
      </c>
      <c r="F72" s="921" t="s">
        <v>407</v>
      </c>
      <c r="G72" s="666">
        <f>4</f>
        <v>4</v>
      </c>
      <c r="H72" s="860">
        <f ca="1">IF(dbУчДисц[[#This Row],[Семестър]]=OFFSET(dbУчДисц[[#This Row],[Семестър]],-1,0),N(OFFSET(dbУчДисц[[#This Row],[№]],-1,0))+1,1)</f>
        <v>3</v>
      </c>
      <c r="I72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2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2" s="842" t="str">
        <f ca="1">T(INDEX(CHOOSE(dbУчДисц[[#This Row],[код]],BAZZS[Факултет],BAZLS[Факултет],MAZZS[Факултет],MAZLS[Факултет]),dbУчДисц[[#This Row],[№]],0))</f>
        <v/>
      </c>
      <c r="L72" s="265" t="str">
        <f ca="1">T(INDEX(CHOOSE(dbУчДисц[[#This Row],[код]],BAZZS[Вид],BAZLS[Вид],MAZZS[Вид],MAZLS[Вид]),dbУчДисц[[#This Row],[№]],0))</f>
        <v/>
      </c>
      <c r="M72" s="243" t="str">
        <f ca="1">T(INDEX(CHOOSE(dbУчДисц[[#This Row],[код]],BAZZS[Курс],BAZLS[Курс],MAZZS[Курс],MAZLS[Курс]),dbУчДисц[[#This Row],[№]],0))</f>
        <v/>
      </c>
      <c r="N72" s="243" t="str">
        <f ca="1">T(INDEX(CHOOSE(dbУчДисц[[#This Row],[код]],BAZZS[ФормаОб],BAZLS[ФормаОб],MAZZS[ФормаОб],MAZLS[ФормаОб]),dbУчДисц[[#This Row],[№]],0))</f>
        <v/>
      </c>
      <c r="O72" s="1253" cm="1">
        <f t="array" aca="1" ref="O72" ca="1">INDEX(CHOOSE(dbУчДисц[[#This Row],[код]],BAZZS[Студенти],BAZLS[Студенти],MAZZS[Студенти],MAZLS[Студенти]),dbУчДисц[[#This Row],[№]],0)</f>
        <v>0</v>
      </c>
      <c r="P72" s="1254" cm="1">
        <f t="array" aca="1" ref="P72" ca="1">INDEX(CHOOSE(dbУчДисц[[#This Row],[код]],BAZZS[Лекции],BAZLS[Лекции],MAZZS[Лекции],MAZLS[Лекции]),dbУчДисц[[#This Row],[№]],0)</f>
        <v>0</v>
      </c>
      <c r="Q72" s="1254" cm="1">
        <f t="array" aca="1" ref="Q72" ca="1">INDEX(CHOOSE(dbУчДисц[[#This Row],[код]],BAZZS[Упражнения],BAZLS[Упражнения],MAZZS[Упражнения],MAZLS[Упражнения]),dbУчДисц[[#This Row],[№]],0)</f>
        <v>0</v>
      </c>
      <c r="R72" s="892" t="str">
        <f ca="1">T(INDEX(CHOOSE(dbУчДисц[[#This Row],[код]],BAZZS[Език],BAZLS[Език],MAZZS[Език],MAZLS[Език]),dbУчДисц[[#This Row],[№]],0))</f>
        <v>БЕ</v>
      </c>
      <c r="S72" s="243" t="str">
        <f ca="1">T(INDEX(CHOOSE(dbУчДисц[[#This Row],[код]],BAZZS[ФормаОц],BAZLS[ФормаОц],MAZZS[ФормаОц],MAZLS[ФормаОц]),dbУчДисц[[#This Row],[№]],0))</f>
        <v/>
      </c>
      <c r="T72" s="244" t="str">
        <f ca="1">T(INDEX(CHOOSE(dbУчДисц[[#This Row],[код]],BAZZS[Изпитващ],BAZLS[Изпитващ],MAZZS[Изпитващ],MAZLS[Изпитващ]),dbУчДисц[[#This Row],[№]],0))</f>
        <v/>
      </c>
      <c r="U72" s="1254" cm="1">
        <f t="array" aca="1" ref="U72" ca="1">INDEX(CHOOSE(dbУчДисц[[#This Row],[код]],BAZZS[Изпитани],BAZLS[Изпитани],MAZZS[Изпитани],MAZLS[Изпитани]),dbУчДисц[[#This Row],[№]],0)</f>
        <v>0</v>
      </c>
      <c r="V72" s="1268" cm="1">
        <f t="array" aca="1" ref="V72" ca="1">INDEX(CHOOSE(dbУчДисц[[#This Row],[код]],BAZZS[ТО],BAZLS[ТО],MAZZS[ТО],MAZLS[ТО]),dbУчДисц[[#This Row],[№]],0)</f>
        <v>0</v>
      </c>
      <c r="W72" s="1268" cm="1">
        <f t="array" aca="1" ref="W72" ca="1">INDEX(CHOOSE(dbУчДисц[[#This Row],[код]],BAZZS[КР],BAZLS[КР],MAZZS[КР],MAZLS[КР]),dbУчДисц[[#This Row],[№]],0)</f>
        <v>0</v>
      </c>
      <c r="X7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2" s="1270">
        <f ca="1">IF(AND(dbУчДисц[[#This Row],[Изпитани]]&lt;&gt;0,dbУчДисц[[#This Row],[Изпитващ]]=0),1,0)</f>
        <v>0</v>
      </c>
      <c r="AA72" s="1271">
        <f ca="1">IFERROR(VLOOKUP(dbУчДисц[[#This Row],[Език]],Коефициент_Eзик[],2,0),0)</f>
        <v>1</v>
      </c>
      <c r="AB72" s="1272" cm="1">
        <f t="array" aca="1" ref="AB7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2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2" s="1273">
        <v>0.5</v>
      </c>
      <c r="AE72" s="1274">
        <v>5</v>
      </c>
      <c r="AF72" s="1271">
        <f ca="1">N(dbУчДисц[[#This Row],[Лекции]])*dbУчДисц[[#This Row],[кЕзик]]*dbУчДисц[[#This Row],[кСтуденти]]*кЛекции</f>
        <v>0</v>
      </c>
      <c r="AG72" s="1272">
        <f ca="1">N(dbУчДисц[[#This Row],[Упражнения]])*dbУчДисц[[#This Row],[кЕзик]]*dbУчДисц[[#This Row],[кСтуденти]]*кУпражнение</f>
        <v>0</v>
      </c>
      <c r="AH72" s="1272">
        <f ca="1">N(dbУчДисц[[#This Row],[Изпитани]])*dbУчДисц[[#This Row],[кИзпитващ]]</f>
        <v>0</v>
      </c>
      <c r="AI72" s="1273">
        <f ca="1">dbУчДисц[[#This Row],[ТО]]*dbУчДисц[[#This Row],[кTO]]</f>
        <v>0</v>
      </c>
      <c r="AJ72" s="1266">
        <f ca="1">dbУчДисц[[#This Row],[КР]]*dbУчДисц[[#This Row],[кКР]]</f>
        <v>0</v>
      </c>
      <c r="AK72" s="1275">
        <f ca="1">N(INDEX(CHOOSE(dbУчДисц[[#This Row],[код]],BAZZS[id_РД],BAZLS[id_РД],MAZZS[id_РД],MAZLS[id_РД]),dbУчДисц[[#This Row],[№]],0))</f>
        <v>0</v>
      </c>
      <c r="AL72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2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2" s="1383" t="str">
        <f ca="1">T(INDEX(CHOOSE(dbУчДисц[[#This Row],[код]],BAZZS[Факултет1],BAZLS[Факултет1],MAZZS[Факултет1],MAZLS[Факултет1]),dbУчДисц[[#This Row],[№]],0))</f>
        <v/>
      </c>
      <c r="AO72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3" spans="5:41" ht="16.5" x14ac:dyDescent="0.3">
      <c r="E73" s="919" t="s">
        <v>682</v>
      </c>
      <c r="F73" s="921" t="s">
        <v>407</v>
      </c>
      <c r="G73" s="666">
        <f>4</f>
        <v>4</v>
      </c>
      <c r="H73" s="860">
        <f ca="1">IF(dbУчДисц[[#This Row],[Семестър]]=OFFSET(dbУчДисц[[#This Row],[Семестър]],-1,0),N(OFFSET(dbУчДисц[[#This Row],[№]],-1,0))+1,1)</f>
        <v>4</v>
      </c>
      <c r="I73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3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3" s="842" t="str">
        <f ca="1">T(INDEX(CHOOSE(dbУчДисц[[#This Row],[код]],BAZZS[Факултет],BAZLS[Факултет],MAZZS[Факултет],MAZLS[Факултет]),dbУчДисц[[#This Row],[№]],0))</f>
        <v/>
      </c>
      <c r="L73" s="265" t="str">
        <f ca="1">T(INDEX(CHOOSE(dbУчДисц[[#This Row],[код]],BAZZS[Вид],BAZLS[Вид],MAZZS[Вид],MAZLS[Вид]),dbУчДисц[[#This Row],[№]],0))</f>
        <v/>
      </c>
      <c r="M73" s="243" t="str">
        <f ca="1">T(INDEX(CHOOSE(dbУчДисц[[#This Row],[код]],BAZZS[Курс],BAZLS[Курс],MAZZS[Курс],MAZLS[Курс]),dbУчДисц[[#This Row],[№]],0))</f>
        <v/>
      </c>
      <c r="N73" s="243" t="str">
        <f ca="1">T(INDEX(CHOOSE(dbУчДисц[[#This Row],[код]],BAZZS[ФормаОб],BAZLS[ФормаОб],MAZZS[ФормаОб],MAZLS[ФормаОб]),dbУчДисц[[#This Row],[№]],0))</f>
        <v/>
      </c>
      <c r="O73" s="1253" cm="1">
        <f t="array" aca="1" ref="O73" ca="1">INDEX(CHOOSE(dbУчДисц[[#This Row],[код]],BAZZS[Студенти],BAZLS[Студенти],MAZZS[Студенти],MAZLS[Студенти]),dbУчДисц[[#This Row],[№]],0)</f>
        <v>0</v>
      </c>
      <c r="P73" s="1254" cm="1">
        <f t="array" aca="1" ref="P73" ca="1">INDEX(CHOOSE(dbУчДисц[[#This Row],[код]],BAZZS[Лекции],BAZLS[Лекции],MAZZS[Лекции],MAZLS[Лекции]),dbУчДисц[[#This Row],[№]],0)</f>
        <v>0</v>
      </c>
      <c r="Q73" s="1254" cm="1">
        <f t="array" aca="1" ref="Q73" ca="1">INDEX(CHOOSE(dbУчДисц[[#This Row],[код]],BAZZS[Упражнения],BAZLS[Упражнения],MAZZS[Упражнения],MAZLS[Упражнения]),dbУчДисц[[#This Row],[№]],0)</f>
        <v>0</v>
      </c>
      <c r="R73" s="892" t="str">
        <f ca="1">T(INDEX(CHOOSE(dbУчДисц[[#This Row],[код]],BAZZS[Език],BAZLS[Език],MAZZS[Език],MAZLS[Език]),dbУчДисц[[#This Row],[№]],0))</f>
        <v>БЕ</v>
      </c>
      <c r="S73" s="243" t="str">
        <f ca="1">T(INDEX(CHOOSE(dbУчДисц[[#This Row],[код]],BAZZS[ФормаОц],BAZLS[ФормаОц],MAZZS[ФормаОц],MAZLS[ФормаОц]),dbУчДисц[[#This Row],[№]],0))</f>
        <v/>
      </c>
      <c r="T73" s="244" t="str">
        <f ca="1">T(INDEX(CHOOSE(dbУчДисц[[#This Row],[код]],BAZZS[Изпитващ],BAZLS[Изпитващ],MAZZS[Изпитващ],MAZLS[Изпитващ]),dbУчДисц[[#This Row],[№]],0))</f>
        <v/>
      </c>
      <c r="U73" s="1254" cm="1">
        <f t="array" aca="1" ref="U73" ca="1">INDEX(CHOOSE(dbУчДисц[[#This Row],[код]],BAZZS[Изпитани],BAZLS[Изпитани],MAZZS[Изпитани],MAZLS[Изпитани]),dbУчДисц[[#This Row],[№]],0)</f>
        <v>0</v>
      </c>
      <c r="V73" s="1268" cm="1">
        <f t="array" aca="1" ref="V73" ca="1">INDEX(CHOOSE(dbУчДисц[[#This Row],[код]],BAZZS[ТО],BAZLS[ТО],MAZZS[ТО],MAZLS[ТО]),dbУчДисц[[#This Row],[№]],0)</f>
        <v>0</v>
      </c>
      <c r="W73" s="1268" cm="1">
        <f t="array" aca="1" ref="W73" ca="1">INDEX(CHOOSE(dbУчДисц[[#This Row],[код]],BAZZS[КР],BAZLS[КР],MAZZS[КР],MAZLS[КР]),dbУчДисц[[#This Row],[№]],0)</f>
        <v>0</v>
      </c>
      <c r="X7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3" s="1270">
        <f ca="1">IF(AND(dbУчДисц[[#This Row],[Изпитани]]&lt;&gt;0,dbУчДисц[[#This Row],[Изпитващ]]=0),1,0)</f>
        <v>0</v>
      </c>
      <c r="AA73" s="1271">
        <f ca="1">IFERROR(VLOOKUP(dbУчДисц[[#This Row],[Език]],Коефициент_Eзик[],2,0),0)</f>
        <v>1</v>
      </c>
      <c r="AB73" s="1272" cm="1">
        <f t="array" aca="1" ref="AB7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3" s="1273">
        <v>0.5</v>
      </c>
      <c r="AE73" s="1274">
        <v>5</v>
      </c>
      <c r="AF73" s="1271">
        <f ca="1">N(dbУчДисц[[#This Row],[Лекции]])*dbУчДисц[[#This Row],[кЕзик]]*dbУчДисц[[#This Row],[кСтуденти]]*кЛекции</f>
        <v>0</v>
      </c>
      <c r="AG73" s="1272">
        <f ca="1">N(dbУчДисц[[#This Row],[Упражнения]])*dbУчДисц[[#This Row],[кЕзик]]*dbУчДисц[[#This Row],[кСтуденти]]*кУпражнение</f>
        <v>0</v>
      </c>
      <c r="AH73" s="1272">
        <f ca="1">N(dbУчДисц[[#This Row],[Изпитани]])*dbУчДисц[[#This Row],[кИзпитващ]]</f>
        <v>0</v>
      </c>
      <c r="AI73" s="1273">
        <f ca="1">dbУчДисц[[#This Row],[ТО]]*dbУчДисц[[#This Row],[кTO]]</f>
        <v>0</v>
      </c>
      <c r="AJ73" s="1266">
        <f ca="1">dbУчДисц[[#This Row],[КР]]*dbУчДисц[[#This Row],[кКР]]</f>
        <v>0</v>
      </c>
      <c r="AK73" s="1275">
        <f ca="1">N(INDEX(CHOOSE(dbУчДисц[[#This Row],[код]],BAZZS[id_РД],BAZLS[id_РД],MAZZS[id_РД],MAZLS[id_РД]),dbУчДисц[[#This Row],[№]],0))</f>
        <v>0</v>
      </c>
      <c r="AL7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3" s="1383" t="str">
        <f ca="1">T(INDEX(CHOOSE(dbУчДисц[[#This Row],[код]],BAZZS[Факултет1],BAZLS[Факултет1],MAZZS[Факултет1],MAZLS[Факултет1]),dbУчДисц[[#This Row],[№]],0))</f>
        <v/>
      </c>
      <c r="AO7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4" spans="5:41" ht="16.5" x14ac:dyDescent="0.3">
      <c r="E74" s="919" t="s">
        <v>682</v>
      </c>
      <c r="F74" s="921" t="s">
        <v>407</v>
      </c>
      <c r="G74" s="666">
        <f>4</f>
        <v>4</v>
      </c>
      <c r="H74" s="860">
        <f ca="1">IF(dbУчДисц[[#This Row],[Семестър]]=OFFSET(dbУчДисц[[#This Row],[Семестър]],-1,0),N(OFFSET(dbУчДисц[[#This Row],[№]],-1,0))+1,1)</f>
        <v>5</v>
      </c>
      <c r="I74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4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4" s="842" t="str">
        <f ca="1">T(INDEX(CHOOSE(dbУчДисц[[#This Row],[код]],BAZZS[Факултет],BAZLS[Факултет],MAZZS[Факултет],MAZLS[Факултет]),dbУчДисц[[#This Row],[№]],0))</f>
        <v/>
      </c>
      <c r="L74" s="265" t="str">
        <f ca="1">T(INDEX(CHOOSE(dbУчДисц[[#This Row],[код]],BAZZS[Вид],BAZLS[Вид],MAZZS[Вид],MAZLS[Вид]),dbУчДисц[[#This Row],[№]],0))</f>
        <v/>
      </c>
      <c r="M74" s="243" t="str">
        <f ca="1">T(INDEX(CHOOSE(dbУчДисц[[#This Row],[код]],BAZZS[Курс],BAZLS[Курс],MAZZS[Курс],MAZLS[Курс]),dbУчДисц[[#This Row],[№]],0))</f>
        <v/>
      </c>
      <c r="N74" s="243" t="str">
        <f ca="1">T(INDEX(CHOOSE(dbУчДисц[[#This Row],[код]],BAZZS[ФормаОб],BAZLS[ФормаОб],MAZZS[ФормаОб],MAZLS[ФормаОб]),dbУчДисц[[#This Row],[№]],0))</f>
        <v/>
      </c>
      <c r="O74" s="1253" cm="1">
        <f t="array" aca="1" ref="O74" ca="1">INDEX(CHOOSE(dbУчДисц[[#This Row],[код]],BAZZS[Студенти],BAZLS[Студенти],MAZZS[Студенти],MAZLS[Студенти]),dbУчДисц[[#This Row],[№]],0)</f>
        <v>0</v>
      </c>
      <c r="P74" s="1254" cm="1">
        <f t="array" aca="1" ref="P74" ca="1">INDEX(CHOOSE(dbУчДисц[[#This Row],[код]],BAZZS[Лекции],BAZLS[Лекции],MAZZS[Лекции],MAZLS[Лекции]),dbУчДисц[[#This Row],[№]],0)</f>
        <v>0</v>
      </c>
      <c r="Q74" s="1254" cm="1">
        <f t="array" aca="1" ref="Q74" ca="1">INDEX(CHOOSE(dbУчДисц[[#This Row],[код]],BAZZS[Упражнения],BAZLS[Упражнения],MAZZS[Упражнения],MAZLS[Упражнения]),dbУчДисц[[#This Row],[№]],0)</f>
        <v>0</v>
      </c>
      <c r="R74" s="892" t="str">
        <f ca="1">T(INDEX(CHOOSE(dbУчДисц[[#This Row],[код]],BAZZS[Език],BAZLS[Език],MAZZS[Език],MAZLS[Език]),dbУчДисц[[#This Row],[№]],0))</f>
        <v>БЕ</v>
      </c>
      <c r="S74" s="243" t="str">
        <f ca="1">T(INDEX(CHOOSE(dbУчДисц[[#This Row],[код]],BAZZS[ФормаОц],BAZLS[ФормаОц],MAZZS[ФормаОц],MAZLS[ФормаОц]),dbУчДисц[[#This Row],[№]],0))</f>
        <v/>
      </c>
      <c r="T74" s="244" t="str">
        <f ca="1">T(INDEX(CHOOSE(dbУчДисц[[#This Row],[код]],BAZZS[Изпитващ],BAZLS[Изпитващ],MAZZS[Изпитващ],MAZLS[Изпитващ]),dbУчДисц[[#This Row],[№]],0))</f>
        <v/>
      </c>
      <c r="U74" s="1254" cm="1">
        <f t="array" aca="1" ref="U74" ca="1">INDEX(CHOOSE(dbУчДисц[[#This Row],[код]],BAZZS[Изпитани],BAZLS[Изпитани],MAZZS[Изпитани],MAZLS[Изпитани]),dbУчДисц[[#This Row],[№]],0)</f>
        <v>0</v>
      </c>
      <c r="V74" s="1268" cm="1">
        <f t="array" aca="1" ref="V74" ca="1">INDEX(CHOOSE(dbУчДисц[[#This Row],[код]],BAZZS[ТО],BAZLS[ТО],MAZZS[ТО],MAZLS[ТО]),dbУчДисц[[#This Row],[№]],0)</f>
        <v>0</v>
      </c>
      <c r="W74" s="1268" cm="1">
        <f t="array" aca="1" ref="W74" ca="1">INDEX(CHOOSE(dbУчДисц[[#This Row],[код]],BAZZS[КР],BAZLS[КР],MAZZS[КР],MAZLS[КР]),dbУчДисц[[#This Row],[№]],0)</f>
        <v>0</v>
      </c>
      <c r="X7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4" s="1270">
        <f ca="1">IF(AND(dbУчДисц[[#This Row],[Изпитани]]&lt;&gt;0,dbУчДисц[[#This Row],[Изпитващ]]=0),1,0)</f>
        <v>0</v>
      </c>
      <c r="AA74" s="1271">
        <f ca="1">IFERROR(VLOOKUP(dbУчДисц[[#This Row],[Език]],Коефициент_Eзик[],2,0),0)</f>
        <v>1</v>
      </c>
      <c r="AB74" s="1272" cm="1">
        <f t="array" aca="1" ref="AB7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4" s="1273">
        <v>0.5</v>
      </c>
      <c r="AE74" s="1274">
        <v>5</v>
      </c>
      <c r="AF74" s="1271">
        <f ca="1">N(dbУчДисц[[#This Row],[Лекции]])*dbУчДисц[[#This Row],[кЕзик]]*dbУчДисц[[#This Row],[кСтуденти]]*кЛекции</f>
        <v>0</v>
      </c>
      <c r="AG74" s="1272">
        <f ca="1">N(dbУчДисц[[#This Row],[Упражнения]])*dbУчДисц[[#This Row],[кЕзик]]*dbУчДисц[[#This Row],[кСтуденти]]*кУпражнение</f>
        <v>0</v>
      </c>
      <c r="AH74" s="1272">
        <f ca="1">N(dbУчДисц[[#This Row],[Изпитани]])*dbУчДисц[[#This Row],[кИзпитващ]]</f>
        <v>0</v>
      </c>
      <c r="AI74" s="1273">
        <f ca="1">dbУчДисц[[#This Row],[ТО]]*dbУчДисц[[#This Row],[кTO]]</f>
        <v>0</v>
      </c>
      <c r="AJ74" s="1266">
        <f ca="1">dbУчДисц[[#This Row],[КР]]*dbУчДисц[[#This Row],[кКР]]</f>
        <v>0</v>
      </c>
      <c r="AK74" s="1275">
        <f ca="1">N(INDEX(CHOOSE(dbУчДисц[[#This Row],[код]],BAZZS[id_РД],BAZLS[id_РД],MAZZS[id_РД],MAZLS[id_РД]),dbУчДисц[[#This Row],[№]],0))</f>
        <v>0</v>
      </c>
      <c r="AL7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4" s="1383" t="str">
        <f ca="1">T(INDEX(CHOOSE(dbУчДисц[[#This Row],[код]],BAZZS[Факултет1],BAZLS[Факултет1],MAZZS[Факултет1],MAZLS[Факултет1]),dbУчДисц[[#This Row],[№]],0))</f>
        <v/>
      </c>
      <c r="AO7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5" spans="5:41" ht="16.5" x14ac:dyDescent="0.3">
      <c r="E75" s="919" t="s">
        <v>682</v>
      </c>
      <c r="F75" s="921" t="s">
        <v>407</v>
      </c>
      <c r="G75" s="666">
        <f>4</f>
        <v>4</v>
      </c>
      <c r="H75" s="860">
        <f ca="1">IF(dbУчДисц[[#This Row],[Семестър]]=OFFSET(dbУчДисц[[#This Row],[Семестър]],-1,0),N(OFFSET(dbУчДисц[[#This Row],[№]],-1,0))+1,1)</f>
        <v>6</v>
      </c>
      <c r="I75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5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5" s="842" t="str">
        <f ca="1">T(INDEX(CHOOSE(dbУчДисц[[#This Row],[код]],BAZZS[Факултет],BAZLS[Факултет],MAZZS[Факултет],MAZLS[Факултет]),dbУчДисц[[#This Row],[№]],0))</f>
        <v/>
      </c>
      <c r="L75" s="265" t="str">
        <f ca="1">T(INDEX(CHOOSE(dbУчДисц[[#This Row],[код]],BAZZS[Вид],BAZLS[Вид],MAZZS[Вид],MAZLS[Вид]),dbУчДисц[[#This Row],[№]],0))</f>
        <v/>
      </c>
      <c r="M75" s="243" t="str">
        <f ca="1">T(INDEX(CHOOSE(dbУчДисц[[#This Row],[код]],BAZZS[Курс],BAZLS[Курс],MAZZS[Курс],MAZLS[Курс]),dbУчДисц[[#This Row],[№]],0))</f>
        <v/>
      </c>
      <c r="N75" s="243" t="str">
        <f ca="1">T(INDEX(CHOOSE(dbУчДисц[[#This Row],[код]],BAZZS[ФормаОб],BAZLS[ФормаОб],MAZZS[ФормаОб],MAZLS[ФормаОб]),dbУчДисц[[#This Row],[№]],0))</f>
        <v/>
      </c>
      <c r="O75" s="1253" cm="1">
        <f t="array" aca="1" ref="O75" ca="1">INDEX(CHOOSE(dbУчДисц[[#This Row],[код]],BAZZS[Студенти],BAZLS[Студенти],MAZZS[Студенти],MAZLS[Студенти]),dbУчДисц[[#This Row],[№]],0)</f>
        <v>0</v>
      </c>
      <c r="P75" s="1254" cm="1">
        <f t="array" aca="1" ref="P75" ca="1">INDEX(CHOOSE(dbУчДисц[[#This Row],[код]],BAZZS[Лекции],BAZLS[Лекции],MAZZS[Лекции],MAZLS[Лекции]),dbУчДисц[[#This Row],[№]],0)</f>
        <v>0</v>
      </c>
      <c r="Q75" s="1254" cm="1">
        <f t="array" aca="1" ref="Q75" ca="1">INDEX(CHOOSE(dbУчДисц[[#This Row],[код]],BAZZS[Упражнения],BAZLS[Упражнения],MAZZS[Упражнения],MAZLS[Упражнения]),dbУчДисц[[#This Row],[№]],0)</f>
        <v>0</v>
      </c>
      <c r="R75" s="892" t="str">
        <f ca="1">T(INDEX(CHOOSE(dbУчДисц[[#This Row],[код]],BAZZS[Език],BAZLS[Език],MAZZS[Език],MAZLS[Език]),dbУчДисц[[#This Row],[№]],0))</f>
        <v>БЕ</v>
      </c>
      <c r="S75" s="243" t="str">
        <f ca="1">T(INDEX(CHOOSE(dbУчДисц[[#This Row],[код]],BAZZS[ФормаОц],BAZLS[ФормаОц],MAZZS[ФормаОц],MAZLS[ФормаОц]),dbУчДисц[[#This Row],[№]],0))</f>
        <v/>
      </c>
      <c r="T75" s="244" t="str">
        <f ca="1">T(INDEX(CHOOSE(dbУчДисц[[#This Row],[код]],BAZZS[Изпитващ],BAZLS[Изпитващ],MAZZS[Изпитващ],MAZLS[Изпитващ]),dbУчДисц[[#This Row],[№]],0))</f>
        <v/>
      </c>
      <c r="U75" s="1254" cm="1">
        <f t="array" aca="1" ref="U75" ca="1">INDEX(CHOOSE(dbУчДисц[[#This Row],[код]],BAZZS[Изпитани],BAZLS[Изпитани],MAZZS[Изпитани],MAZLS[Изпитани]),dbУчДисц[[#This Row],[№]],0)</f>
        <v>0</v>
      </c>
      <c r="V75" s="1268" cm="1">
        <f t="array" aca="1" ref="V75" ca="1">INDEX(CHOOSE(dbУчДисц[[#This Row],[код]],BAZZS[ТО],BAZLS[ТО],MAZZS[ТО],MAZLS[ТО]),dbУчДисц[[#This Row],[№]],0)</f>
        <v>0</v>
      </c>
      <c r="W75" s="1268" cm="1">
        <f t="array" aca="1" ref="W75" ca="1">INDEX(CHOOSE(dbУчДисц[[#This Row],[код]],BAZZS[КР],BAZLS[КР],MAZZS[КР],MAZLS[КР]),dbУчДисц[[#This Row],[№]],0)</f>
        <v>0</v>
      </c>
      <c r="X7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5" s="1270">
        <f ca="1">IF(AND(dbУчДисц[[#This Row],[Изпитани]]&lt;&gt;0,dbУчДисц[[#This Row],[Изпитващ]]=0),1,0)</f>
        <v>0</v>
      </c>
      <c r="AA75" s="1271">
        <f ca="1">IFERROR(VLOOKUP(dbУчДисц[[#This Row],[Език]],Коефициент_Eзик[],2,0),0)</f>
        <v>1</v>
      </c>
      <c r="AB75" s="1272" cm="1">
        <f t="array" aca="1" ref="AB7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5" s="1273">
        <v>0.5</v>
      </c>
      <c r="AE75" s="1274">
        <v>5</v>
      </c>
      <c r="AF75" s="1271">
        <f ca="1">N(dbУчДисц[[#This Row],[Лекции]])*dbУчДисц[[#This Row],[кЕзик]]*dbУчДисц[[#This Row],[кСтуденти]]*кЛекции</f>
        <v>0</v>
      </c>
      <c r="AG75" s="1272">
        <f ca="1">N(dbУчДисц[[#This Row],[Упражнения]])*dbУчДисц[[#This Row],[кЕзик]]*dbУчДисц[[#This Row],[кСтуденти]]*кУпражнение</f>
        <v>0</v>
      </c>
      <c r="AH75" s="1272">
        <f ca="1">N(dbУчДисц[[#This Row],[Изпитани]])*dbУчДисц[[#This Row],[кИзпитващ]]</f>
        <v>0</v>
      </c>
      <c r="AI75" s="1273">
        <f ca="1">dbУчДисц[[#This Row],[ТО]]*dbУчДисц[[#This Row],[кTO]]</f>
        <v>0</v>
      </c>
      <c r="AJ75" s="1266">
        <f ca="1">dbУчДисц[[#This Row],[КР]]*dbУчДисц[[#This Row],[кКР]]</f>
        <v>0</v>
      </c>
      <c r="AK75" s="1275">
        <f ca="1">N(INDEX(CHOOSE(dbУчДисц[[#This Row],[код]],BAZZS[id_РД],BAZLS[id_РД],MAZZS[id_РД],MAZLS[id_РД]),dbУчДисц[[#This Row],[№]],0))</f>
        <v>0</v>
      </c>
      <c r="AL7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5" s="1383" t="str">
        <f ca="1">T(INDEX(CHOOSE(dbУчДисц[[#This Row],[код]],BAZZS[Факултет1],BAZLS[Факултет1],MAZZS[Факултет1],MAZLS[Факултет1]),dbУчДисц[[#This Row],[№]],0))</f>
        <v/>
      </c>
      <c r="AO7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6" spans="5:41" ht="16.5" x14ac:dyDescent="0.3">
      <c r="E76" s="919" t="s">
        <v>682</v>
      </c>
      <c r="F76" s="921" t="s">
        <v>407</v>
      </c>
      <c r="G76" s="666">
        <f>4</f>
        <v>4</v>
      </c>
      <c r="H76" s="860">
        <f ca="1">IF(dbУчДисц[[#This Row],[Семестър]]=OFFSET(dbУчДисц[[#This Row],[Семестър]],-1,0),N(OFFSET(dbУчДисц[[#This Row],[№]],-1,0))+1,1)</f>
        <v>7</v>
      </c>
      <c r="I76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6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6" s="842" t="str">
        <f ca="1">T(INDEX(CHOOSE(dbУчДисц[[#This Row],[код]],BAZZS[Факултет],BAZLS[Факултет],MAZZS[Факултет],MAZLS[Факултет]),dbУчДисц[[#This Row],[№]],0))</f>
        <v/>
      </c>
      <c r="L76" s="265" t="str">
        <f ca="1">T(INDEX(CHOOSE(dbУчДисц[[#This Row],[код]],BAZZS[Вид],BAZLS[Вид],MAZZS[Вид],MAZLS[Вид]),dbУчДисц[[#This Row],[№]],0))</f>
        <v/>
      </c>
      <c r="M76" s="243" t="str">
        <f ca="1">T(INDEX(CHOOSE(dbУчДисц[[#This Row],[код]],BAZZS[Курс],BAZLS[Курс],MAZZS[Курс],MAZLS[Курс]),dbУчДисц[[#This Row],[№]],0))</f>
        <v/>
      </c>
      <c r="N76" s="243" t="str">
        <f ca="1">T(INDEX(CHOOSE(dbУчДисц[[#This Row],[код]],BAZZS[ФормаОб],BAZLS[ФормаОб],MAZZS[ФормаОб],MAZLS[ФормаОб]),dbУчДисц[[#This Row],[№]],0))</f>
        <v/>
      </c>
      <c r="O76" s="1253" cm="1">
        <f t="array" aca="1" ref="O76" ca="1">INDEX(CHOOSE(dbУчДисц[[#This Row],[код]],BAZZS[Студенти],BAZLS[Студенти],MAZZS[Студенти],MAZLS[Студенти]),dbУчДисц[[#This Row],[№]],0)</f>
        <v>0</v>
      </c>
      <c r="P76" s="1254" cm="1">
        <f t="array" aca="1" ref="P76" ca="1">INDEX(CHOOSE(dbУчДисц[[#This Row],[код]],BAZZS[Лекции],BAZLS[Лекции],MAZZS[Лекции],MAZLS[Лекции]),dbУчДисц[[#This Row],[№]],0)</f>
        <v>0</v>
      </c>
      <c r="Q76" s="1254" cm="1">
        <f t="array" aca="1" ref="Q76" ca="1">INDEX(CHOOSE(dbУчДисц[[#This Row],[код]],BAZZS[Упражнения],BAZLS[Упражнения],MAZZS[Упражнения],MAZLS[Упражнения]),dbУчДисц[[#This Row],[№]],0)</f>
        <v>0</v>
      </c>
      <c r="R76" s="892" t="str">
        <f ca="1">T(INDEX(CHOOSE(dbУчДисц[[#This Row],[код]],BAZZS[Език],BAZLS[Език],MAZZS[Език],MAZLS[Език]),dbУчДисц[[#This Row],[№]],0))</f>
        <v>БЕ</v>
      </c>
      <c r="S76" s="243" t="str">
        <f ca="1">T(INDEX(CHOOSE(dbУчДисц[[#This Row],[код]],BAZZS[ФормаОц],BAZLS[ФормаОц],MAZZS[ФормаОц],MAZLS[ФормаОц]),dbУчДисц[[#This Row],[№]],0))</f>
        <v/>
      </c>
      <c r="T76" s="244" t="str">
        <f ca="1">T(INDEX(CHOOSE(dbУчДисц[[#This Row],[код]],BAZZS[Изпитващ],BAZLS[Изпитващ],MAZZS[Изпитващ],MAZLS[Изпитващ]),dbУчДисц[[#This Row],[№]],0))</f>
        <v/>
      </c>
      <c r="U76" s="1254" cm="1">
        <f t="array" aca="1" ref="U76" ca="1">INDEX(CHOOSE(dbУчДисц[[#This Row],[код]],BAZZS[Изпитани],BAZLS[Изпитани],MAZZS[Изпитани],MAZLS[Изпитани]),dbУчДисц[[#This Row],[№]],0)</f>
        <v>0</v>
      </c>
      <c r="V76" s="1268" cm="1">
        <f t="array" aca="1" ref="V76" ca="1">INDEX(CHOOSE(dbУчДисц[[#This Row],[код]],BAZZS[ТО],BAZLS[ТО],MAZZS[ТО],MAZLS[ТО]),dbУчДисц[[#This Row],[№]],0)</f>
        <v>0</v>
      </c>
      <c r="W76" s="1268" cm="1">
        <f t="array" aca="1" ref="W76" ca="1">INDEX(CHOOSE(dbУчДисц[[#This Row],[код]],BAZZS[КР],BAZLS[КР],MAZZS[КР],MAZLS[КР]),dbУчДисц[[#This Row],[№]],0)</f>
        <v>0</v>
      </c>
      <c r="X7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6" s="1270">
        <f ca="1">IF(AND(dbУчДисц[[#This Row],[Изпитани]]&lt;&gt;0,dbУчДисц[[#This Row],[Изпитващ]]=0),1,0)</f>
        <v>0</v>
      </c>
      <c r="AA76" s="1271">
        <f ca="1">IFERROR(VLOOKUP(dbУчДисц[[#This Row],[Език]],Коефициент_Eзик[],2,0),0)</f>
        <v>1</v>
      </c>
      <c r="AB76" s="1272" cm="1">
        <f t="array" aca="1" ref="AB7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6" s="1273">
        <v>0.5</v>
      </c>
      <c r="AE76" s="1274">
        <v>5</v>
      </c>
      <c r="AF76" s="1271">
        <f ca="1">N(dbУчДисц[[#This Row],[Лекции]])*dbУчДисц[[#This Row],[кЕзик]]*dbУчДисц[[#This Row],[кСтуденти]]*кЛекции</f>
        <v>0</v>
      </c>
      <c r="AG76" s="1272">
        <f ca="1">N(dbУчДисц[[#This Row],[Упражнения]])*dbУчДисц[[#This Row],[кЕзик]]*dbУчДисц[[#This Row],[кСтуденти]]*кУпражнение</f>
        <v>0</v>
      </c>
      <c r="AH76" s="1272">
        <f ca="1">N(dbУчДисц[[#This Row],[Изпитани]])*dbУчДисц[[#This Row],[кИзпитващ]]</f>
        <v>0</v>
      </c>
      <c r="AI76" s="1273">
        <f ca="1">dbУчДисц[[#This Row],[ТО]]*dbУчДисц[[#This Row],[кTO]]</f>
        <v>0</v>
      </c>
      <c r="AJ76" s="1266">
        <f ca="1">dbУчДисц[[#This Row],[КР]]*dbУчДисц[[#This Row],[кКР]]</f>
        <v>0</v>
      </c>
      <c r="AK76" s="1275">
        <f ca="1">N(INDEX(CHOOSE(dbУчДисц[[#This Row],[код]],BAZZS[id_РД],BAZLS[id_РД],MAZZS[id_РД],MAZLS[id_РД]),dbУчДисц[[#This Row],[№]],0))</f>
        <v>0</v>
      </c>
      <c r="AL7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6" s="1383" t="str">
        <f ca="1">T(INDEX(CHOOSE(dbУчДисц[[#This Row],[код]],BAZZS[Факултет1],BAZLS[Факултет1],MAZZS[Факултет1],MAZLS[Факултет1]),dbУчДисц[[#This Row],[№]],0))</f>
        <v/>
      </c>
      <c r="AO7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7" spans="5:41" ht="16.5" x14ac:dyDescent="0.3">
      <c r="E77" s="919" t="s">
        <v>682</v>
      </c>
      <c r="F77" s="921" t="s">
        <v>407</v>
      </c>
      <c r="G77" s="666">
        <f>4</f>
        <v>4</v>
      </c>
      <c r="H77" s="860">
        <f ca="1">IF(dbУчДисц[[#This Row],[Семестър]]=OFFSET(dbУчДисц[[#This Row],[Семестър]],-1,0),N(OFFSET(dbУчДисц[[#This Row],[№]],-1,0))+1,1)</f>
        <v>8</v>
      </c>
      <c r="I77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7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7" s="842" t="str">
        <f ca="1">T(INDEX(CHOOSE(dbУчДисц[[#This Row],[код]],BAZZS[Факултет],BAZLS[Факултет],MAZZS[Факултет],MAZLS[Факултет]),dbУчДисц[[#This Row],[№]],0))</f>
        <v/>
      </c>
      <c r="L77" s="265" t="str">
        <f ca="1">T(INDEX(CHOOSE(dbУчДисц[[#This Row],[код]],BAZZS[Вид],BAZLS[Вид],MAZZS[Вид],MAZLS[Вид]),dbУчДисц[[#This Row],[№]],0))</f>
        <v/>
      </c>
      <c r="M77" s="243" t="str">
        <f ca="1">T(INDEX(CHOOSE(dbУчДисц[[#This Row],[код]],BAZZS[Курс],BAZLS[Курс],MAZZS[Курс],MAZLS[Курс]),dbУчДисц[[#This Row],[№]],0))</f>
        <v/>
      </c>
      <c r="N77" s="243" t="str">
        <f ca="1">T(INDEX(CHOOSE(dbУчДисц[[#This Row],[код]],BAZZS[ФормаОб],BAZLS[ФормаОб],MAZZS[ФормаОб],MAZLS[ФормаОб]),dbУчДисц[[#This Row],[№]],0))</f>
        <v/>
      </c>
      <c r="O77" s="1253" cm="1">
        <f t="array" aca="1" ref="O77" ca="1">INDEX(CHOOSE(dbУчДисц[[#This Row],[код]],BAZZS[Студенти],BAZLS[Студенти],MAZZS[Студенти],MAZLS[Студенти]),dbУчДисц[[#This Row],[№]],0)</f>
        <v>0</v>
      </c>
      <c r="P77" s="1254" cm="1">
        <f t="array" aca="1" ref="P77" ca="1">INDEX(CHOOSE(dbУчДисц[[#This Row],[код]],BAZZS[Лекции],BAZLS[Лекции],MAZZS[Лекции],MAZLS[Лекции]),dbУчДисц[[#This Row],[№]],0)</f>
        <v>0</v>
      </c>
      <c r="Q77" s="1254" cm="1">
        <f t="array" aca="1" ref="Q77" ca="1">INDEX(CHOOSE(dbУчДисц[[#This Row],[код]],BAZZS[Упражнения],BAZLS[Упражнения],MAZZS[Упражнения],MAZLS[Упражнения]),dbУчДисц[[#This Row],[№]],0)</f>
        <v>0</v>
      </c>
      <c r="R77" s="892" t="str">
        <f ca="1">T(INDEX(CHOOSE(dbУчДисц[[#This Row],[код]],BAZZS[Език],BAZLS[Език],MAZZS[Език],MAZLS[Език]),dbУчДисц[[#This Row],[№]],0))</f>
        <v>БЕ</v>
      </c>
      <c r="S77" s="243" t="str">
        <f ca="1">T(INDEX(CHOOSE(dbУчДисц[[#This Row],[код]],BAZZS[ФормаОц],BAZLS[ФормаОц],MAZZS[ФормаОц],MAZLS[ФормаОц]),dbУчДисц[[#This Row],[№]],0))</f>
        <v/>
      </c>
      <c r="T77" s="244" t="str">
        <f ca="1">T(INDEX(CHOOSE(dbУчДисц[[#This Row],[код]],BAZZS[Изпитващ],BAZLS[Изпитващ],MAZZS[Изпитващ],MAZLS[Изпитващ]),dbУчДисц[[#This Row],[№]],0))</f>
        <v/>
      </c>
      <c r="U77" s="1254" cm="1">
        <f t="array" aca="1" ref="U77" ca="1">INDEX(CHOOSE(dbУчДисц[[#This Row],[код]],BAZZS[Изпитани],BAZLS[Изпитани],MAZZS[Изпитани],MAZLS[Изпитани]),dbУчДисц[[#This Row],[№]],0)</f>
        <v>0</v>
      </c>
      <c r="V77" s="1268" cm="1">
        <f t="array" aca="1" ref="V77" ca="1">INDEX(CHOOSE(dbУчДисц[[#This Row],[код]],BAZZS[ТО],BAZLS[ТО],MAZZS[ТО],MAZLS[ТО]),dbУчДисц[[#This Row],[№]],0)</f>
        <v>0</v>
      </c>
      <c r="W77" s="1268" cm="1">
        <f t="array" aca="1" ref="W77" ca="1">INDEX(CHOOSE(dbУчДисц[[#This Row],[код]],BAZZS[КР],BAZLS[КР],MAZZS[КР],MAZLS[КР]),dbУчДисц[[#This Row],[№]],0)</f>
        <v>0</v>
      </c>
      <c r="X7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7" s="1270">
        <f ca="1">IF(AND(dbУчДисц[[#This Row],[Изпитани]]&lt;&gt;0,dbУчДисц[[#This Row],[Изпитващ]]=0),1,0)</f>
        <v>0</v>
      </c>
      <c r="AA77" s="1271">
        <f ca="1">IFERROR(VLOOKUP(dbУчДисц[[#This Row],[Език]],Коефициент_Eзик[],2,0),0)</f>
        <v>1</v>
      </c>
      <c r="AB77" s="1272" cm="1">
        <f t="array" aca="1" ref="AB7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7" s="1273">
        <v>0.5</v>
      </c>
      <c r="AE77" s="1274">
        <v>5</v>
      </c>
      <c r="AF77" s="1271">
        <f ca="1">N(dbУчДисц[[#This Row],[Лекции]])*dbУчДисц[[#This Row],[кЕзик]]*dbУчДисц[[#This Row],[кСтуденти]]*кЛекции</f>
        <v>0</v>
      </c>
      <c r="AG77" s="1272">
        <f ca="1">N(dbУчДисц[[#This Row],[Упражнения]])*dbУчДисц[[#This Row],[кЕзик]]*dbУчДисц[[#This Row],[кСтуденти]]*кУпражнение</f>
        <v>0</v>
      </c>
      <c r="AH77" s="1272">
        <f ca="1">N(dbУчДисц[[#This Row],[Изпитани]])*dbУчДисц[[#This Row],[кИзпитващ]]</f>
        <v>0</v>
      </c>
      <c r="AI77" s="1273">
        <f ca="1">dbУчДисц[[#This Row],[ТО]]*dbУчДисц[[#This Row],[кTO]]</f>
        <v>0</v>
      </c>
      <c r="AJ77" s="1266">
        <f ca="1">dbУчДисц[[#This Row],[КР]]*dbУчДисц[[#This Row],[кКР]]</f>
        <v>0</v>
      </c>
      <c r="AK77" s="1275">
        <f ca="1">N(INDEX(CHOOSE(dbУчДисц[[#This Row],[код]],BAZZS[id_РД],BAZLS[id_РД],MAZZS[id_РД],MAZLS[id_РД]),dbУчДисц[[#This Row],[№]],0))</f>
        <v>0</v>
      </c>
      <c r="AL7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7" s="1383" t="str">
        <f ca="1">T(INDEX(CHOOSE(dbУчДисц[[#This Row],[код]],BAZZS[Факултет1],BAZLS[Факултет1],MAZZS[Факултет1],MAZLS[Факултет1]),dbУчДисц[[#This Row],[№]],0))</f>
        <v/>
      </c>
      <c r="AO7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8" spans="5:41" ht="16.5" x14ac:dyDescent="0.3">
      <c r="E78" s="919" t="s">
        <v>682</v>
      </c>
      <c r="F78" s="921" t="s">
        <v>407</v>
      </c>
      <c r="G78" s="666">
        <f>4</f>
        <v>4</v>
      </c>
      <c r="H78" s="860">
        <f ca="1">IF(dbУчДисц[[#This Row],[Семестър]]=OFFSET(dbУчДисц[[#This Row],[Семестър]],-1,0),N(OFFSET(dbУчДисц[[#This Row],[№]],-1,0))+1,1)</f>
        <v>9</v>
      </c>
      <c r="I78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8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8" s="842" t="str">
        <f ca="1">T(INDEX(CHOOSE(dbУчДисц[[#This Row],[код]],BAZZS[Факултет],BAZLS[Факултет],MAZZS[Факултет],MAZLS[Факултет]),dbУчДисц[[#This Row],[№]],0))</f>
        <v/>
      </c>
      <c r="L78" s="265" t="str">
        <f ca="1">T(INDEX(CHOOSE(dbУчДисц[[#This Row],[код]],BAZZS[Вид],BAZLS[Вид],MAZZS[Вид],MAZLS[Вид]),dbУчДисц[[#This Row],[№]],0))</f>
        <v/>
      </c>
      <c r="M78" s="243" t="str">
        <f ca="1">T(INDEX(CHOOSE(dbУчДисц[[#This Row],[код]],BAZZS[Курс],BAZLS[Курс],MAZZS[Курс],MAZLS[Курс]),dbУчДисц[[#This Row],[№]],0))</f>
        <v/>
      </c>
      <c r="N78" s="243" t="str">
        <f ca="1">T(INDEX(CHOOSE(dbУчДисц[[#This Row],[код]],BAZZS[ФормаОб],BAZLS[ФормаОб],MAZZS[ФормаОб],MAZLS[ФормаОб]),dbУчДисц[[#This Row],[№]],0))</f>
        <v/>
      </c>
      <c r="O78" s="1253" cm="1">
        <f t="array" aca="1" ref="O78" ca="1">INDEX(CHOOSE(dbУчДисц[[#This Row],[код]],BAZZS[Студенти],BAZLS[Студенти],MAZZS[Студенти],MAZLS[Студенти]),dbУчДисц[[#This Row],[№]],0)</f>
        <v>0</v>
      </c>
      <c r="P78" s="1254" cm="1">
        <f t="array" aca="1" ref="P78" ca="1">INDEX(CHOOSE(dbУчДисц[[#This Row],[код]],BAZZS[Лекции],BAZLS[Лекции],MAZZS[Лекции],MAZLS[Лекции]),dbУчДисц[[#This Row],[№]],0)</f>
        <v>0</v>
      </c>
      <c r="Q78" s="1254" cm="1">
        <f t="array" aca="1" ref="Q78" ca="1">INDEX(CHOOSE(dbУчДисц[[#This Row],[код]],BAZZS[Упражнения],BAZLS[Упражнения],MAZZS[Упражнения],MAZLS[Упражнения]),dbУчДисц[[#This Row],[№]],0)</f>
        <v>0</v>
      </c>
      <c r="R78" s="892" t="str">
        <f ca="1">T(INDEX(CHOOSE(dbУчДисц[[#This Row],[код]],BAZZS[Език],BAZLS[Език],MAZZS[Език],MAZLS[Език]),dbУчДисц[[#This Row],[№]],0))</f>
        <v>БЕ</v>
      </c>
      <c r="S78" s="243" t="str">
        <f ca="1">T(INDEX(CHOOSE(dbУчДисц[[#This Row],[код]],BAZZS[ФормаОц],BAZLS[ФормаОц],MAZZS[ФормаОц],MAZLS[ФормаОц]),dbУчДисц[[#This Row],[№]],0))</f>
        <v/>
      </c>
      <c r="T78" s="244" t="str">
        <f ca="1">T(INDEX(CHOOSE(dbУчДисц[[#This Row],[код]],BAZZS[Изпитващ],BAZLS[Изпитващ],MAZZS[Изпитващ],MAZLS[Изпитващ]),dbУчДисц[[#This Row],[№]],0))</f>
        <v/>
      </c>
      <c r="U78" s="1254" cm="1">
        <f t="array" aca="1" ref="U78" ca="1">INDEX(CHOOSE(dbУчДисц[[#This Row],[код]],BAZZS[Изпитани],BAZLS[Изпитани],MAZZS[Изпитани],MAZLS[Изпитани]),dbУчДисц[[#This Row],[№]],0)</f>
        <v>0</v>
      </c>
      <c r="V78" s="1268" cm="1">
        <f t="array" aca="1" ref="V78" ca="1">INDEX(CHOOSE(dbУчДисц[[#This Row],[код]],BAZZS[ТО],BAZLS[ТО],MAZZS[ТО],MAZLS[ТО]),dbУчДисц[[#This Row],[№]],0)</f>
        <v>0</v>
      </c>
      <c r="W78" s="1268" cm="1">
        <f t="array" aca="1" ref="W78" ca="1">INDEX(CHOOSE(dbУчДисц[[#This Row],[код]],BAZZS[КР],BAZLS[КР],MAZZS[КР],MAZLS[КР]),dbУчДисц[[#This Row],[№]],0)</f>
        <v>0</v>
      </c>
      <c r="X7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8" s="1270">
        <f ca="1">IF(AND(dbУчДисц[[#This Row],[Изпитани]]&lt;&gt;0,dbУчДисц[[#This Row],[Изпитващ]]=0),1,0)</f>
        <v>0</v>
      </c>
      <c r="AA78" s="1271">
        <f ca="1">IFERROR(VLOOKUP(dbУчДисц[[#This Row],[Език]],Коефициент_Eзик[],2,0),0)</f>
        <v>1</v>
      </c>
      <c r="AB78" s="1272" cm="1">
        <f t="array" aca="1" ref="AB7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8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8" s="1273">
        <v>0.5</v>
      </c>
      <c r="AE78" s="1274">
        <v>5</v>
      </c>
      <c r="AF78" s="1271">
        <f ca="1">N(dbУчДисц[[#This Row],[Лекции]])*dbУчДисц[[#This Row],[кЕзик]]*dbУчДисц[[#This Row],[кСтуденти]]*кЛекции</f>
        <v>0</v>
      </c>
      <c r="AG78" s="1272">
        <f ca="1">N(dbУчДисц[[#This Row],[Упражнения]])*dbУчДисц[[#This Row],[кЕзик]]*dbУчДисц[[#This Row],[кСтуденти]]*кУпражнение</f>
        <v>0</v>
      </c>
      <c r="AH78" s="1272">
        <f ca="1">N(dbУчДисц[[#This Row],[Изпитани]])*dbУчДисц[[#This Row],[кИзпитващ]]</f>
        <v>0</v>
      </c>
      <c r="AI78" s="1273">
        <f ca="1">dbУчДисц[[#This Row],[ТО]]*dbУчДисц[[#This Row],[кTO]]</f>
        <v>0</v>
      </c>
      <c r="AJ78" s="1266">
        <f ca="1">dbУчДисц[[#This Row],[КР]]*dbУчДисц[[#This Row],[кКР]]</f>
        <v>0</v>
      </c>
      <c r="AK78" s="1275">
        <f ca="1">N(INDEX(CHOOSE(dbУчДисц[[#This Row],[код]],BAZZS[id_РД],BAZLS[id_РД],MAZZS[id_РД],MAZLS[id_РД]),dbУчДисц[[#This Row],[№]],0))</f>
        <v>0</v>
      </c>
      <c r="AL78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8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8" s="1383" t="str">
        <f ca="1">T(INDEX(CHOOSE(dbУчДисц[[#This Row],[код]],BAZZS[Факултет1],BAZLS[Факултет1],MAZZS[Факултет1],MAZLS[Факултет1]),dbУчДисц[[#This Row],[№]],0))</f>
        <v/>
      </c>
      <c r="AO78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79" spans="5:41" ht="16.5" x14ac:dyDescent="0.3">
      <c r="E79" s="919" t="s">
        <v>682</v>
      </c>
      <c r="F79" s="921" t="s">
        <v>407</v>
      </c>
      <c r="G79" s="666">
        <f>4</f>
        <v>4</v>
      </c>
      <c r="H79" s="860">
        <f ca="1">IF(dbУчДисц[[#This Row],[Семестър]]=OFFSET(dbУчДисц[[#This Row],[Семестър]],-1,0),N(OFFSET(dbУчДисц[[#This Row],[№]],-1,0))+1,1)</f>
        <v>10</v>
      </c>
      <c r="I79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79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79" s="842" t="str">
        <f ca="1">T(INDEX(CHOOSE(dbУчДисц[[#This Row],[код]],BAZZS[Факултет],BAZLS[Факултет],MAZZS[Факултет],MAZLS[Факултет]),dbУчДисц[[#This Row],[№]],0))</f>
        <v/>
      </c>
      <c r="L79" s="265" t="str">
        <f ca="1">T(INDEX(CHOOSE(dbУчДисц[[#This Row],[код]],BAZZS[Вид],BAZLS[Вид],MAZZS[Вид],MAZLS[Вид]),dbУчДисц[[#This Row],[№]],0))</f>
        <v/>
      </c>
      <c r="M79" s="243" t="str">
        <f ca="1">T(INDEX(CHOOSE(dbУчДисц[[#This Row],[код]],BAZZS[Курс],BAZLS[Курс],MAZZS[Курс],MAZLS[Курс]),dbУчДисц[[#This Row],[№]],0))</f>
        <v/>
      </c>
      <c r="N79" s="243" t="str">
        <f ca="1">T(INDEX(CHOOSE(dbУчДисц[[#This Row],[код]],BAZZS[ФормаОб],BAZLS[ФормаОб],MAZZS[ФормаОб],MAZLS[ФормаОб]),dbУчДисц[[#This Row],[№]],0))</f>
        <v/>
      </c>
      <c r="O79" s="1253" cm="1">
        <f t="array" aca="1" ref="O79" ca="1">INDEX(CHOOSE(dbУчДисц[[#This Row],[код]],BAZZS[Студенти],BAZLS[Студенти],MAZZS[Студенти],MAZLS[Студенти]),dbУчДисц[[#This Row],[№]],0)</f>
        <v>0</v>
      </c>
      <c r="P79" s="1254" cm="1">
        <f t="array" aca="1" ref="P79" ca="1">INDEX(CHOOSE(dbУчДисц[[#This Row],[код]],BAZZS[Лекции],BAZLS[Лекции],MAZZS[Лекции],MAZLS[Лекции]),dbУчДисц[[#This Row],[№]],0)</f>
        <v>0</v>
      </c>
      <c r="Q79" s="1254" cm="1">
        <f t="array" aca="1" ref="Q79" ca="1">INDEX(CHOOSE(dbУчДисц[[#This Row],[код]],BAZZS[Упражнения],BAZLS[Упражнения],MAZZS[Упражнения],MAZLS[Упражнения]),dbУчДисц[[#This Row],[№]],0)</f>
        <v>0</v>
      </c>
      <c r="R79" s="892" t="str">
        <f ca="1">T(INDEX(CHOOSE(dbУчДисц[[#This Row],[код]],BAZZS[Език],BAZLS[Език],MAZZS[Език],MAZLS[Език]),dbУчДисц[[#This Row],[№]],0))</f>
        <v>БЕ</v>
      </c>
      <c r="S79" s="243" t="str">
        <f ca="1">T(INDEX(CHOOSE(dbУчДисц[[#This Row],[код]],BAZZS[ФормаОц],BAZLS[ФормаОц],MAZZS[ФормаОц],MAZLS[ФормаОц]),dbУчДисц[[#This Row],[№]],0))</f>
        <v/>
      </c>
      <c r="T79" s="244" t="str">
        <f ca="1">T(INDEX(CHOOSE(dbУчДисц[[#This Row],[код]],BAZZS[Изпитващ],BAZLS[Изпитващ],MAZZS[Изпитващ],MAZLS[Изпитващ]),dbУчДисц[[#This Row],[№]],0))</f>
        <v/>
      </c>
      <c r="U79" s="1254" cm="1">
        <f t="array" aca="1" ref="U79" ca="1">INDEX(CHOOSE(dbУчДисц[[#This Row],[код]],BAZZS[Изпитани],BAZLS[Изпитани],MAZZS[Изпитани],MAZLS[Изпитани]),dbУчДисц[[#This Row],[№]],0)</f>
        <v>0</v>
      </c>
      <c r="V79" s="1268" cm="1">
        <f t="array" aca="1" ref="V79" ca="1">INDEX(CHOOSE(dbУчДисц[[#This Row],[код]],BAZZS[ТО],BAZLS[ТО],MAZZS[ТО],MAZLS[ТО]),dbУчДисц[[#This Row],[№]],0)</f>
        <v>0</v>
      </c>
      <c r="W79" s="1268" cm="1">
        <f t="array" aca="1" ref="W79" ca="1">INDEX(CHOOSE(dbУчДисц[[#This Row],[код]],BAZZS[КР],BAZLS[КР],MAZZS[КР],MAZLS[КР]),dbУчДисц[[#This Row],[№]],0)</f>
        <v>0</v>
      </c>
      <c r="X79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79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79" s="1270">
        <f ca="1">IF(AND(dbУчДисц[[#This Row],[Изпитани]]&lt;&gt;0,dbУчДисц[[#This Row],[Изпитващ]]=0),1,0)</f>
        <v>0</v>
      </c>
      <c r="AA79" s="1271">
        <f ca="1">IFERROR(VLOOKUP(dbУчДисц[[#This Row],[Език]],Коефициент_Eзик[],2,0),0)</f>
        <v>1</v>
      </c>
      <c r="AB79" s="1272" cm="1">
        <f t="array" aca="1" ref="AB79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79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79" s="1273">
        <v>0.5</v>
      </c>
      <c r="AE79" s="1274">
        <v>5</v>
      </c>
      <c r="AF79" s="1271">
        <f ca="1">N(dbУчДисц[[#This Row],[Лекции]])*dbУчДисц[[#This Row],[кЕзик]]*dbУчДисц[[#This Row],[кСтуденти]]*кЛекции</f>
        <v>0</v>
      </c>
      <c r="AG79" s="1272">
        <f ca="1">N(dbУчДисц[[#This Row],[Упражнения]])*dbУчДисц[[#This Row],[кЕзик]]*dbУчДисц[[#This Row],[кСтуденти]]*кУпражнение</f>
        <v>0</v>
      </c>
      <c r="AH79" s="1272">
        <f ca="1">N(dbУчДисц[[#This Row],[Изпитани]])*dbУчДисц[[#This Row],[кИзпитващ]]</f>
        <v>0</v>
      </c>
      <c r="AI79" s="1273">
        <f ca="1">dbУчДисц[[#This Row],[ТО]]*dbУчДисц[[#This Row],[кTO]]</f>
        <v>0</v>
      </c>
      <c r="AJ79" s="1266">
        <f ca="1">dbУчДисц[[#This Row],[КР]]*dbУчДисц[[#This Row],[кКР]]</f>
        <v>0</v>
      </c>
      <c r="AK79" s="1275">
        <f ca="1">N(INDEX(CHOOSE(dbУчДисц[[#This Row],[код]],BAZZS[id_РД],BAZLS[id_РД],MAZZS[id_РД],MAZLS[id_РД]),dbУчДисц[[#This Row],[№]],0))</f>
        <v>0</v>
      </c>
      <c r="AL79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79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79" s="1383" t="str">
        <f ca="1">T(INDEX(CHOOSE(dbУчДисц[[#This Row],[код]],BAZZS[Факултет1],BAZLS[Факултет1],MAZZS[Факултет1],MAZLS[Факултет1]),dbУчДисц[[#This Row],[№]],0))</f>
        <v/>
      </c>
      <c r="AO79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0" spans="5:41" ht="16.5" x14ac:dyDescent="0.3">
      <c r="E80" s="919" t="s">
        <v>682</v>
      </c>
      <c r="F80" s="921" t="s">
        <v>407</v>
      </c>
      <c r="G80" s="666">
        <f>4</f>
        <v>4</v>
      </c>
      <c r="H80" s="860">
        <f ca="1">IF(dbУчДисц[[#This Row],[Семестър]]=OFFSET(dbУчДисц[[#This Row],[Семестър]],-1,0),N(OFFSET(dbУчДисц[[#This Row],[№]],-1,0))+1,1)</f>
        <v>11</v>
      </c>
      <c r="I80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0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0" s="842" t="str">
        <f ca="1">T(INDEX(CHOOSE(dbУчДисц[[#This Row],[код]],BAZZS[Факултет],BAZLS[Факултет],MAZZS[Факултет],MAZLS[Факултет]),dbУчДисц[[#This Row],[№]],0))</f>
        <v/>
      </c>
      <c r="L80" s="265" t="str">
        <f ca="1">T(INDEX(CHOOSE(dbУчДисц[[#This Row],[код]],BAZZS[Вид],BAZLS[Вид],MAZZS[Вид],MAZLS[Вид]),dbУчДисц[[#This Row],[№]],0))</f>
        <v/>
      </c>
      <c r="M80" s="243" t="str">
        <f ca="1">T(INDEX(CHOOSE(dbУчДисц[[#This Row],[код]],BAZZS[Курс],BAZLS[Курс],MAZZS[Курс],MAZLS[Курс]),dbУчДисц[[#This Row],[№]],0))</f>
        <v/>
      </c>
      <c r="N80" s="243" t="str">
        <f ca="1">T(INDEX(CHOOSE(dbУчДисц[[#This Row],[код]],BAZZS[ФормаОб],BAZLS[ФормаОб],MAZZS[ФормаОб],MAZLS[ФормаОб]),dbУчДисц[[#This Row],[№]],0))</f>
        <v/>
      </c>
      <c r="O80" s="1253" cm="1">
        <f t="array" aca="1" ref="O80" ca="1">INDEX(CHOOSE(dbУчДисц[[#This Row],[код]],BAZZS[Студенти],BAZLS[Студенти],MAZZS[Студенти],MAZLS[Студенти]),dbУчДисц[[#This Row],[№]],0)</f>
        <v>0</v>
      </c>
      <c r="P80" s="1254" cm="1">
        <f t="array" aca="1" ref="P80" ca="1">INDEX(CHOOSE(dbУчДисц[[#This Row],[код]],BAZZS[Лекции],BAZLS[Лекции],MAZZS[Лекции],MAZLS[Лекции]),dbУчДисц[[#This Row],[№]],0)</f>
        <v>0</v>
      </c>
      <c r="Q80" s="1254" cm="1">
        <f t="array" aca="1" ref="Q80" ca="1">INDEX(CHOOSE(dbУчДисц[[#This Row],[код]],BAZZS[Упражнения],BAZLS[Упражнения],MAZZS[Упражнения],MAZLS[Упражнения]),dbУчДисц[[#This Row],[№]],0)</f>
        <v>0</v>
      </c>
      <c r="R80" s="892" t="str">
        <f ca="1">T(INDEX(CHOOSE(dbУчДисц[[#This Row],[код]],BAZZS[Език],BAZLS[Език],MAZZS[Език],MAZLS[Език]),dbУчДисц[[#This Row],[№]],0))</f>
        <v>БЕ</v>
      </c>
      <c r="S80" s="243" t="str">
        <f ca="1">T(INDEX(CHOOSE(dbУчДисц[[#This Row],[код]],BAZZS[ФормаОц],BAZLS[ФормаОц],MAZZS[ФормаОц],MAZLS[ФормаОц]),dbУчДисц[[#This Row],[№]],0))</f>
        <v/>
      </c>
      <c r="T80" s="244" t="str">
        <f ca="1">T(INDEX(CHOOSE(dbУчДисц[[#This Row],[код]],BAZZS[Изпитващ],BAZLS[Изпитващ],MAZZS[Изпитващ],MAZLS[Изпитващ]),dbУчДисц[[#This Row],[№]],0))</f>
        <v/>
      </c>
      <c r="U80" s="1254" cm="1">
        <f t="array" aca="1" ref="U80" ca="1">INDEX(CHOOSE(dbУчДисц[[#This Row],[код]],BAZZS[Изпитани],BAZLS[Изпитани],MAZZS[Изпитани],MAZLS[Изпитани]),dbУчДисц[[#This Row],[№]],0)</f>
        <v>0</v>
      </c>
      <c r="V80" s="1268" cm="1">
        <f t="array" aca="1" ref="V80" ca="1">INDEX(CHOOSE(dbУчДисц[[#This Row],[код]],BAZZS[ТО],BAZLS[ТО],MAZZS[ТО],MAZLS[ТО]),dbУчДисц[[#This Row],[№]],0)</f>
        <v>0</v>
      </c>
      <c r="W80" s="1268" cm="1">
        <f t="array" aca="1" ref="W80" ca="1">INDEX(CHOOSE(dbУчДисц[[#This Row],[код]],BAZZS[КР],BAZLS[КР],MAZZS[КР],MAZLS[КР]),dbУчДисц[[#This Row],[№]],0)</f>
        <v>0</v>
      </c>
      <c r="X80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0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0" s="1270">
        <f ca="1">IF(AND(dbУчДисц[[#This Row],[Изпитани]]&lt;&gt;0,dbУчДисц[[#This Row],[Изпитващ]]=0),1,0)</f>
        <v>0</v>
      </c>
      <c r="AA80" s="1271">
        <f ca="1">IFERROR(VLOOKUP(dbУчДисц[[#This Row],[Език]],Коефициент_Eзик[],2,0),0)</f>
        <v>1</v>
      </c>
      <c r="AB80" s="1272" cm="1">
        <f t="array" aca="1" ref="AB80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0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0" s="1273">
        <v>0.5</v>
      </c>
      <c r="AE80" s="1274">
        <v>5</v>
      </c>
      <c r="AF80" s="1271">
        <f ca="1">N(dbУчДисц[[#This Row],[Лекции]])*dbУчДисц[[#This Row],[кЕзик]]*dbУчДисц[[#This Row],[кСтуденти]]*кЛекции</f>
        <v>0</v>
      </c>
      <c r="AG80" s="1272">
        <f ca="1">N(dbУчДисц[[#This Row],[Упражнения]])*dbУчДисц[[#This Row],[кЕзик]]*dbУчДисц[[#This Row],[кСтуденти]]*кУпражнение</f>
        <v>0</v>
      </c>
      <c r="AH80" s="1272">
        <f ca="1">N(dbУчДисц[[#This Row],[Изпитани]])*dbУчДисц[[#This Row],[кИзпитващ]]</f>
        <v>0</v>
      </c>
      <c r="AI80" s="1273">
        <f ca="1">dbУчДисц[[#This Row],[ТО]]*dbУчДисц[[#This Row],[кTO]]</f>
        <v>0</v>
      </c>
      <c r="AJ80" s="1266">
        <f ca="1">dbУчДисц[[#This Row],[КР]]*dbУчДисц[[#This Row],[кКР]]</f>
        <v>0</v>
      </c>
      <c r="AK80" s="1275">
        <f ca="1">N(INDEX(CHOOSE(dbУчДисц[[#This Row],[код]],BAZZS[id_РД],BAZLS[id_РД],MAZZS[id_РД],MAZLS[id_РД]),dbУчДисц[[#This Row],[№]],0))</f>
        <v>0</v>
      </c>
      <c r="AL80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0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0" s="1383" t="str">
        <f ca="1">T(INDEX(CHOOSE(dbУчДисц[[#This Row],[код]],BAZZS[Факултет1],BAZLS[Факултет1],MAZZS[Факултет1],MAZLS[Факултет1]),dbУчДисц[[#This Row],[№]],0))</f>
        <v/>
      </c>
      <c r="AO80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1" spans="5:41" ht="16.5" x14ac:dyDescent="0.3">
      <c r="E81" s="919" t="s">
        <v>682</v>
      </c>
      <c r="F81" s="921" t="s">
        <v>407</v>
      </c>
      <c r="G81" s="666">
        <f>4</f>
        <v>4</v>
      </c>
      <c r="H81" s="860">
        <f ca="1">IF(dbУчДисц[[#This Row],[Семестър]]=OFFSET(dbУчДисц[[#This Row],[Семестър]],-1,0),N(OFFSET(dbУчДисц[[#This Row],[№]],-1,0))+1,1)</f>
        <v>12</v>
      </c>
      <c r="I81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1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1" s="842" t="str">
        <f ca="1">T(INDEX(CHOOSE(dbУчДисц[[#This Row],[код]],BAZZS[Факултет],BAZLS[Факултет],MAZZS[Факултет],MAZLS[Факултет]),dbУчДисц[[#This Row],[№]],0))</f>
        <v/>
      </c>
      <c r="L81" s="265" t="str">
        <f ca="1">T(INDEX(CHOOSE(dbУчДисц[[#This Row],[код]],BAZZS[Вид],BAZLS[Вид],MAZZS[Вид],MAZLS[Вид]),dbУчДисц[[#This Row],[№]],0))</f>
        <v/>
      </c>
      <c r="M81" s="243" t="str">
        <f ca="1">T(INDEX(CHOOSE(dbУчДисц[[#This Row],[код]],BAZZS[Курс],BAZLS[Курс],MAZZS[Курс],MAZLS[Курс]),dbУчДисц[[#This Row],[№]],0))</f>
        <v/>
      </c>
      <c r="N81" s="243" t="str">
        <f ca="1">T(INDEX(CHOOSE(dbУчДисц[[#This Row],[код]],BAZZS[ФормаОб],BAZLS[ФормаОб],MAZZS[ФормаОб],MAZLS[ФормаОб]),dbУчДисц[[#This Row],[№]],0))</f>
        <v/>
      </c>
      <c r="O81" s="1253" cm="1">
        <f t="array" aca="1" ref="O81" ca="1">INDEX(CHOOSE(dbУчДисц[[#This Row],[код]],BAZZS[Студенти],BAZLS[Студенти],MAZZS[Студенти],MAZLS[Студенти]),dbУчДисц[[#This Row],[№]],0)</f>
        <v>0</v>
      </c>
      <c r="P81" s="1254" cm="1">
        <f t="array" aca="1" ref="P81" ca="1">INDEX(CHOOSE(dbУчДисц[[#This Row],[код]],BAZZS[Лекции],BAZLS[Лекции],MAZZS[Лекции],MAZLS[Лекции]),dbУчДисц[[#This Row],[№]],0)</f>
        <v>0</v>
      </c>
      <c r="Q81" s="1254" cm="1">
        <f t="array" aca="1" ref="Q81" ca="1">INDEX(CHOOSE(dbУчДисц[[#This Row],[код]],BAZZS[Упражнения],BAZLS[Упражнения],MAZZS[Упражнения],MAZLS[Упражнения]),dbУчДисц[[#This Row],[№]],0)</f>
        <v>0</v>
      </c>
      <c r="R81" s="892" t="str">
        <f ca="1">T(INDEX(CHOOSE(dbУчДисц[[#This Row],[код]],BAZZS[Език],BAZLS[Език],MAZZS[Език],MAZLS[Език]),dbУчДисц[[#This Row],[№]],0))</f>
        <v>БЕ</v>
      </c>
      <c r="S81" s="243" t="str">
        <f ca="1">T(INDEX(CHOOSE(dbУчДисц[[#This Row],[код]],BAZZS[ФормаОц],BAZLS[ФормаОц],MAZZS[ФормаОц],MAZLS[ФормаОц]),dbУчДисц[[#This Row],[№]],0))</f>
        <v/>
      </c>
      <c r="T81" s="244" t="str">
        <f ca="1">T(INDEX(CHOOSE(dbУчДисц[[#This Row],[код]],BAZZS[Изпитващ],BAZLS[Изпитващ],MAZZS[Изпитващ],MAZLS[Изпитващ]),dbУчДисц[[#This Row],[№]],0))</f>
        <v/>
      </c>
      <c r="U81" s="1254" cm="1">
        <f t="array" aca="1" ref="U81" ca="1">INDEX(CHOOSE(dbУчДисц[[#This Row],[код]],BAZZS[Изпитани],BAZLS[Изпитани],MAZZS[Изпитани],MAZLS[Изпитани]),dbУчДисц[[#This Row],[№]],0)</f>
        <v>0</v>
      </c>
      <c r="V81" s="1268" cm="1">
        <f t="array" aca="1" ref="V81" ca="1">INDEX(CHOOSE(dbУчДисц[[#This Row],[код]],BAZZS[ТО],BAZLS[ТО],MAZZS[ТО],MAZLS[ТО]),dbУчДисц[[#This Row],[№]],0)</f>
        <v>0</v>
      </c>
      <c r="W81" s="1268" cm="1">
        <f t="array" aca="1" ref="W81" ca="1">INDEX(CHOOSE(dbУчДисц[[#This Row],[код]],BAZZS[КР],BAZLS[КР],MAZZS[КР],MAZLS[КР]),dbУчДисц[[#This Row],[№]],0)</f>
        <v>0</v>
      </c>
      <c r="X81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1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1" s="1270">
        <f ca="1">IF(AND(dbУчДисц[[#This Row],[Изпитани]]&lt;&gt;0,dbУчДисц[[#This Row],[Изпитващ]]=0),1,0)</f>
        <v>0</v>
      </c>
      <c r="AA81" s="1271">
        <f ca="1">IFERROR(VLOOKUP(dbУчДисц[[#This Row],[Език]],Коефициент_Eзик[],2,0),0)</f>
        <v>1</v>
      </c>
      <c r="AB81" s="1272" cm="1">
        <f t="array" aca="1" ref="AB81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1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1" s="1273">
        <v>0.5</v>
      </c>
      <c r="AE81" s="1274">
        <v>5</v>
      </c>
      <c r="AF81" s="1271">
        <f ca="1">N(dbУчДисц[[#This Row],[Лекции]])*dbУчДисц[[#This Row],[кЕзик]]*dbУчДисц[[#This Row],[кСтуденти]]*кЛекции</f>
        <v>0</v>
      </c>
      <c r="AG81" s="1272">
        <f ca="1">N(dbУчДисц[[#This Row],[Упражнения]])*dbУчДисц[[#This Row],[кЕзик]]*dbУчДисц[[#This Row],[кСтуденти]]*кУпражнение</f>
        <v>0</v>
      </c>
      <c r="AH81" s="1272">
        <f ca="1">N(dbУчДисц[[#This Row],[Изпитани]])*dbУчДисц[[#This Row],[кИзпитващ]]</f>
        <v>0</v>
      </c>
      <c r="AI81" s="1273">
        <f ca="1">dbУчДисц[[#This Row],[ТО]]*dbУчДисц[[#This Row],[кTO]]</f>
        <v>0</v>
      </c>
      <c r="AJ81" s="1266">
        <f ca="1">dbУчДисц[[#This Row],[КР]]*dbУчДисц[[#This Row],[кКР]]</f>
        <v>0</v>
      </c>
      <c r="AK81" s="1275">
        <f ca="1">N(INDEX(CHOOSE(dbУчДисц[[#This Row],[код]],BAZZS[id_РД],BAZLS[id_РД],MAZZS[id_РД],MAZLS[id_РД]),dbУчДисц[[#This Row],[№]],0))</f>
        <v>0</v>
      </c>
      <c r="AL81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1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1" s="1383" t="str">
        <f ca="1">T(INDEX(CHOOSE(dbУчДисц[[#This Row],[код]],BAZZS[Факултет1],BAZLS[Факултет1],MAZZS[Факултет1],MAZLS[Факултет1]),dbУчДисц[[#This Row],[№]],0))</f>
        <v/>
      </c>
      <c r="AO81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2" spans="5:41" ht="16.5" x14ac:dyDescent="0.3">
      <c r="E82" s="919" t="s">
        <v>682</v>
      </c>
      <c r="F82" s="921" t="s">
        <v>407</v>
      </c>
      <c r="G82" s="666">
        <f>4</f>
        <v>4</v>
      </c>
      <c r="H82" s="860">
        <f ca="1">IF(dbУчДисц[[#This Row],[Семестър]]=OFFSET(dbУчДисц[[#This Row],[Семестър]],-1,0),N(OFFSET(dbУчДисц[[#This Row],[№]],-1,0))+1,1)</f>
        <v>13</v>
      </c>
      <c r="I82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2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2" s="842" t="str">
        <f ca="1">T(INDEX(CHOOSE(dbУчДисц[[#This Row],[код]],BAZZS[Факултет],BAZLS[Факултет],MAZZS[Факултет],MAZLS[Факултет]),dbУчДисц[[#This Row],[№]],0))</f>
        <v/>
      </c>
      <c r="L82" s="265" t="str">
        <f ca="1">T(INDEX(CHOOSE(dbУчДисц[[#This Row],[код]],BAZZS[Вид],BAZLS[Вид],MAZZS[Вид],MAZLS[Вид]),dbУчДисц[[#This Row],[№]],0))</f>
        <v/>
      </c>
      <c r="M82" s="243" t="str">
        <f ca="1">T(INDEX(CHOOSE(dbУчДисц[[#This Row],[код]],BAZZS[Курс],BAZLS[Курс],MAZZS[Курс],MAZLS[Курс]),dbУчДисц[[#This Row],[№]],0))</f>
        <v/>
      </c>
      <c r="N82" s="243" t="str">
        <f ca="1">T(INDEX(CHOOSE(dbУчДисц[[#This Row],[код]],BAZZS[ФормаОб],BAZLS[ФормаОб],MAZZS[ФормаОб],MAZLS[ФормаОб]),dbУчДисц[[#This Row],[№]],0))</f>
        <v/>
      </c>
      <c r="O82" s="1253" cm="1">
        <f t="array" aca="1" ref="O82" ca="1">INDEX(CHOOSE(dbУчДисц[[#This Row],[код]],BAZZS[Студенти],BAZLS[Студенти],MAZZS[Студенти],MAZLS[Студенти]),dbУчДисц[[#This Row],[№]],0)</f>
        <v>0</v>
      </c>
      <c r="P82" s="1254" cm="1">
        <f t="array" aca="1" ref="P82" ca="1">INDEX(CHOOSE(dbУчДисц[[#This Row],[код]],BAZZS[Лекции],BAZLS[Лекции],MAZZS[Лекции],MAZLS[Лекции]),dbУчДисц[[#This Row],[№]],0)</f>
        <v>0</v>
      </c>
      <c r="Q82" s="1254" cm="1">
        <f t="array" aca="1" ref="Q82" ca="1">INDEX(CHOOSE(dbУчДисц[[#This Row],[код]],BAZZS[Упражнения],BAZLS[Упражнения],MAZZS[Упражнения],MAZLS[Упражнения]),dbУчДисц[[#This Row],[№]],0)</f>
        <v>0</v>
      </c>
      <c r="R82" s="892" t="str">
        <f ca="1">T(INDEX(CHOOSE(dbУчДисц[[#This Row],[код]],BAZZS[Език],BAZLS[Език],MAZZS[Език],MAZLS[Език]),dbУчДисц[[#This Row],[№]],0))</f>
        <v>БЕ</v>
      </c>
      <c r="S82" s="243" t="str">
        <f ca="1">T(INDEX(CHOOSE(dbУчДисц[[#This Row],[код]],BAZZS[ФормаОц],BAZLS[ФормаОц],MAZZS[ФормаОц],MAZLS[ФормаОц]),dbУчДисц[[#This Row],[№]],0))</f>
        <v/>
      </c>
      <c r="T82" s="244" t="str">
        <f ca="1">T(INDEX(CHOOSE(dbУчДисц[[#This Row],[код]],BAZZS[Изпитващ],BAZLS[Изпитващ],MAZZS[Изпитващ],MAZLS[Изпитващ]),dbУчДисц[[#This Row],[№]],0))</f>
        <v/>
      </c>
      <c r="U82" s="1254" cm="1">
        <f t="array" aca="1" ref="U82" ca="1">INDEX(CHOOSE(dbУчДисц[[#This Row],[код]],BAZZS[Изпитани],BAZLS[Изпитани],MAZZS[Изпитани],MAZLS[Изпитани]),dbУчДисц[[#This Row],[№]],0)</f>
        <v>0</v>
      </c>
      <c r="V82" s="1268" cm="1">
        <f t="array" aca="1" ref="V82" ca="1">INDEX(CHOOSE(dbУчДисц[[#This Row],[код]],BAZZS[ТО],BAZLS[ТО],MAZZS[ТО],MAZLS[ТО]),dbУчДисц[[#This Row],[№]],0)</f>
        <v>0</v>
      </c>
      <c r="W82" s="1268" cm="1">
        <f t="array" aca="1" ref="W82" ca="1">INDEX(CHOOSE(dbУчДисц[[#This Row],[код]],BAZZS[КР],BAZLS[КР],MAZZS[КР],MAZLS[КР]),dbУчДисц[[#This Row],[№]],0)</f>
        <v>0</v>
      </c>
      <c r="X82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2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2" s="1270">
        <f ca="1">IF(AND(dbУчДисц[[#This Row],[Изпитани]]&lt;&gt;0,dbУчДисц[[#This Row],[Изпитващ]]=0),1,0)</f>
        <v>0</v>
      </c>
      <c r="AA82" s="1271">
        <f ca="1">IFERROR(VLOOKUP(dbУчДисц[[#This Row],[Език]],Коефициент_Eзик[],2,0),0)</f>
        <v>1</v>
      </c>
      <c r="AB82" s="1272" cm="1">
        <f t="array" aca="1" ref="AB82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2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2" s="1273">
        <v>0.5</v>
      </c>
      <c r="AE82" s="1274">
        <v>5</v>
      </c>
      <c r="AF82" s="1271">
        <f ca="1">N(dbУчДисц[[#This Row],[Лекции]])*dbУчДисц[[#This Row],[кЕзик]]*dbУчДисц[[#This Row],[кСтуденти]]*кЛекции</f>
        <v>0</v>
      </c>
      <c r="AG82" s="1272">
        <f ca="1">N(dbУчДисц[[#This Row],[Упражнения]])*dbУчДисц[[#This Row],[кЕзик]]*dbУчДисц[[#This Row],[кСтуденти]]*кУпражнение</f>
        <v>0</v>
      </c>
      <c r="AH82" s="1272">
        <f ca="1">N(dbУчДисц[[#This Row],[Изпитани]])*dbУчДисц[[#This Row],[кИзпитващ]]</f>
        <v>0</v>
      </c>
      <c r="AI82" s="1273">
        <f ca="1">dbУчДисц[[#This Row],[ТО]]*dbУчДисц[[#This Row],[кTO]]</f>
        <v>0</v>
      </c>
      <c r="AJ82" s="1266">
        <f ca="1">dbУчДисц[[#This Row],[КР]]*dbУчДисц[[#This Row],[кКР]]</f>
        <v>0</v>
      </c>
      <c r="AK82" s="1275">
        <f ca="1">N(INDEX(CHOOSE(dbУчДисц[[#This Row],[код]],BAZZS[id_РД],BAZLS[id_РД],MAZZS[id_РД],MAZLS[id_РД]),dbУчДисц[[#This Row],[№]],0))</f>
        <v>0</v>
      </c>
      <c r="AL82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2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2" s="1383" t="str">
        <f ca="1">T(INDEX(CHOOSE(dbУчДисц[[#This Row],[код]],BAZZS[Факултет1],BAZLS[Факултет1],MAZZS[Факултет1],MAZLS[Факултет1]),dbУчДисц[[#This Row],[№]],0))</f>
        <v/>
      </c>
      <c r="AO82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3" spans="5:41" ht="16.5" x14ac:dyDescent="0.3">
      <c r="E83" s="919" t="s">
        <v>682</v>
      </c>
      <c r="F83" s="921" t="s">
        <v>407</v>
      </c>
      <c r="G83" s="666">
        <f>4</f>
        <v>4</v>
      </c>
      <c r="H83" s="860">
        <f ca="1">IF(dbУчДисц[[#This Row],[Семестър]]=OFFSET(dbУчДисц[[#This Row],[Семестър]],-1,0),N(OFFSET(dbУчДисц[[#This Row],[№]],-1,0))+1,1)</f>
        <v>14</v>
      </c>
      <c r="I83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3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3" s="842" t="str">
        <f ca="1">T(INDEX(CHOOSE(dbУчДисц[[#This Row],[код]],BAZZS[Факултет],BAZLS[Факултет],MAZZS[Факултет],MAZLS[Факултет]),dbУчДисц[[#This Row],[№]],0))</f>
        <v/>
      </c>
      <c r="L83" s="265" t="str">
        <f ca="1">T(INDEX(CHOOSE(dbУчДисц[[#This Row],[код]],BAZZS[Вид],BAZLS[Вид],MAZZS[Вид],MAZLS[Вид]),dbУчДисц[[#This Row],[№]],0))</f>
        <v/>
      </c>
      <c r="M83" s="243" t="str">
        <f ca="1">T(INDEX(CHOOSE(dbУчДисц[[#This Row],[код]],BAZZS[Курс],BAZLS[Курс],MAZZS[Курс],MAZLS[Курс]),dbУчДисц[[#This Row],[№]],0))</f>
        <v/>
      </c>
      <c r="N83" s="243" t="str">
        <f ca="1">T(INDEX(CHOOSE(dbУчДисц[[#This Row],[код]],BAZZS[ФормаОб],BAZLS[ФормаОб],MAZZS[ФормаОб],MAZLS[ФормаОб]),dbУчДисц[[#This Row],[№]],0))</f>
        <v/>
      </c>
      <c r="O83" s="1253" cm="1">
        <f t="array" aca="1" ref="O83" ca="1">INDEX(CHOOSE(dbУчДисц[[#This Row],[код]],BAZZS[Студенти],BAZLS[Студенти],MAZZS[Студенти],MAZLS[Студенти]),dbУчДисц[[#This Row],[№]],0)</f>
        <v>0</v>
      </c>
      <c r="P83" s="1254" cm="1">
        <f t="array" aca="1" ref="P83" ca="1">INDEX(CHOOSE(dbУчДисц[[#This Row],[код]],BAZZS[Лекции],BAZLS[Лекции],MAZZS[Лекции],MAZLS[Лекции]),dbУчДисц[[#This Row],[№]],0)</f>
        <v>0</v>
      </c>
      <c r="Q83" s="1254" cm="1">
        <f t="array" aca="1" ref="Q83" ca="1">INDEX(CHOOSE(dbУчДисц[[#This Row],[код]],BAZZS[Упражнения],BAZLS[Упражнения],MAZZS[Упражнения],MAZLS[Упражнения]),dbУчДисц[[#This Row],[№]],0)</f>
        <v>0</v>
      </c>
      <c r="R83" s="892" t="str">
        <f ca="1">T(INDEX(CHOOSE(dbУчДисц[[#This Row],[код]],BAZZS[Език],BAZLS[Език],MAZZS[Език],MAZLS[Език]),dbУчДисц[[#This Row],[№]],0))</f>
        <v>БЕ</v>
      </c>
      <c r="S83" s="243" t="str">
        <f ca="1">T(INDEX(CHOOSE(dbУчДисц[[#This Row],[код]],BAZZS[ФормаОц],BAZLS[ФормаОц],MAZZS[ФормаОц],MAZLS[ФормаОц]),dbУчДисц[[#This Row],[№]],0))</f>
        <v/>
      </c>
      <c r="T83" s="244" t="str">
        <f ca="1">T(INDEX(CHOOSE(dbУчДисц[[#This Row],[код]],BAZZS[Изпитващ],BAZLS[Изпитващ],MAZZS[Изпитващ],MAZLS[Изпитващ]),dbУчДисц[[#This Row],[№]],0))</f>
        <v/>
      </c>
      <c r="U83" s="1254" cm="1">
        <f t="array" aca="1" ref="U83" ca="1">INDEX(CHOOSE(dbУчДисц[[#This Row],[код]],BAZZS[Изпитани],BAZLS[Изпитани],MAZZS[Изпитани],MAZLS[Изпитани]),dbУчДисц[[#This Row],[№]],0)</f>
        <v>0</v>
      </c>
      <c r="V83" s="1268" cm="1">
        <f t="array" aca="1" ref="V83" ca="1">INDEX(CHOOSE(dbУчДисц[[#This Row],[код]],BAZZS[ТО],BAZLS[ТО],MAZZS[ТО],MAZLS[ТО]),dbУчДисц[[#This Row],[№]],0)</f>
        <v>0</v>
      </c>
      <c r="W83" s="1268" cm="1">
        <f t="array" aca="1" ref="W83" ca="1">INDEX(CHOOSE(dbУчДисц[[#This Row],[код]],BAZZS[КР],BAZLS[КР],MAZZS[КР],MAZLS[КР]),dbУчДисц[[#This Row],[№]],0)</f>
        <v>0</v>
      </c>
      <c r="X83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3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3" s="1270">
        <f ca="1">IF(AND(dbУчДисц[[#This Row],[Изпитани]]&lt;&gt;0,dbУчДисц[[#This Row],[Изпитващ]]=0),1,0)</f>
        <v>0</v>
      </c>
      <c r="AA83" s="1271">
        <f ca="1">IFERROR(VLOOKUP(dbУчДисц[[#This Row],[Език]],Коефициент_Eзик[],2,0),0)</f>
        <v>1</v>
      </c>
      <c r="AB83" s="1272" cm="1">
        <f t="array" aca="1" ref="AB83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3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3" s="1273">
        <v>0.5</v>
      </c>
      <c r="AE83" s="1274">
        <v>5</v>
      </c>
      <c r="AF83" s="1271">
        <f ca="1">N(dbУчДисц[[#This Row],[Лекции]])*dbУчДисц[[#This Row],[кЕзик]]*dbУчДисц[[#This Row],[кСтуденти]]*кЛекции</f>
        <v>0</v>
      </c>
      <c r="AG83" s="1272">
        <f ca="1">N(dbУчДисц[[#This Row],[Упражнения]])*dbУчДисц[[#This Row],[кЕзик]]*dbУчДисц[[#This Row],[кСтуденти]]*кУпражнение</f>
        <v>0</v>
      </c>
      <c r="AH83" s="1272">
        <f ca="1">N(dbУчДисц[[#This Row],[Изпитани]])*dbУчДисц[[#This Row],[кИзпитващ]]</f>
        <v>0</v>
      </c>
      <c r="AI83" s="1273">
        <f ca="1">dbУчДисц[[#This Row],[ТО]]*dbУчДисц[[#This Row],[кTO]]</f>
        <v>0</v>
      </c>
      <c r="AJ83" s="1266">
        <f ca="1">dbУчДисц[[#This Row],[КР]]*dbУчДисц[[#This Row],[кКР]]</f>
        <v>0</v>
      </c>
      <c r="AK83" s="1275">
        <f ca="1">N(INDEX(CHOOSE(dbУчДисц[[#This Row],[код]],BAZZS[id_РД],BAZLS[id_РД],MAZZS[id_РД],MAZLS[id_РД]),dbУчДисц[[#This Row],[№]],0))</f>
        <v>0</v>
      </c>
      <c r="AL83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3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3" s="1383" t="str">
        <f ca="1">T(INDEX(CHOOSE(dbУчДисц[[#This Row],[код]],BAZZS[Факултет1],BAZLS[Факултет1],MAZZS[Факултет1],MAZLS[Факултет1]),dbУчДисц[[#This Row],[№]],0))</f>
        <v/>
      </c>
      <c r="AO83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4" spans="5:41" ht="16.5" x14ac:dyDescent="0.3">
      <c r="E84" s="919" t="s">
        <v>682</v>
      </c>
      <c r="F84" s="921" t="s">
        <v>407</v>
      </c>
      <c r="G84" s="666">
        <f>4</f>
        <v>4</v>
      </c>
      <c r="H84" s="860">
        <f ca="1">IF(dbУчДисц[[#This Row],[Семестър]]=OFFSET(dbУчДисц[[#This Row],[Семестър]],-1,0),N(OFFSET(dbУчДисц[[#This Row],[№]],-1,0))+1,1)</f>
        <v>15</v>
      </c>
      <c r="I84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4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4" s="842" t="str">
        <f ca="1">T(INDEX(CHOOSE(dbУчДисц[[#This Row],[код]],BAZZS[Факултет],BAZLS[Факултет],MAZZS[Факултет],MAZLS[Факултет]),dbУчДисц[[#This Row],[№]],0))</f>
        <v/>
      </c>
      <c r="L84" s="265" t="str">
        <f ca="1">T(INDEX(CHOOSE(dbУчДисц[[#This Row],[код]],BAZZS[Вид],BAZLS[Вид],MAZZS[Вид],MAZLS[Вид]),dbУчДисц[[#This Row],[№]],0))</f>
        <v/>
      </c>
      <c r="M84" s="243" t="str">
        <f ca="1">T(INDEX(CHOOSE(dbУчДисц[[#This Row],[код]],BAZZS[Курс],BAZLS[Курс],MAZZS[Курс],MAZLS[Курс]),dbУчДисц[[#This Row],[№]],0))</f>
        <v/>
      </c>
      <c r="N84" s="243" t="str">
        <f ca="1">T(INDEX(CHOOSE(dbУчДисц[[#This Row],[код]],BAZZS[ФормаОб],BAZLS[ФормаОб],MAZZS[ФормаОб],MAZLS[ФормаОб]),dbУчДисц[[#This Row],[№]],0))</f>
        <v/>
      </c>
      <c r="O84" s="1253" cm="1">
        <f t="array" aca="1" ref="O84" ca="1">INDEX(CHOOSE(dbУчДисц[[#This Row],[код]],BAZZS[Студенти],BAZLS[Студенти],MAZZS[Студенти],MAZLS[Студенти]),dbУчДисц[[#This Row],[№]],0)</f>
        <v>0</v>
      </c>
      <c r="P84" s="1254" cm="1">
        <f t="array" aca="1" ref="P84" ca="1">INDEX(CHOOSE(dbУчДисц[[#This Row],[код]],BAZZS[Лекции],BAZLS[Лекции],MAZZS[Лекции],MAZLS[Лекции]),dbУчДисц[[#This Row],[№]],0)</f>
        <v>0</v>
      </c>
      <c r="Q84" s="1254" cm="1">
        <f t="array" aca="1" ref="Q84" ca="1">INDEX(CHOOSE(dbУчДисц[[#This Row],[код]],BAZZS[Упражнения],BAZLS[Упражнения],MAZZS[Упражнения],MAZLS[Упражнения]),dbУчДисц[[#This Row],[№]],0)</f>
        <v>0</v>
      </c>
      <c r="R84" s="892" t="str">
        <f ca="1">T(INDEX(CHOOSE(dbУчДисц[[#This Row],[код]],BAZZS[Език],BAZLS[Език],MAZZS[Език],MAZLS[Език]),dbУчДисц[[#This Row],[№]],0))</f>
        <v>БЕ</v>
      </c>
      <c r="S84" s="243" t="str">
        <f ca="1">T(INDEX(CHOOSE(dbУчДисц[[#This Row],[код]],BAZZS[ФормаОц],BAZLS[ФормаОц],MAZZS[ФормаОц],MAZLS[ФормаОц]),dbУчДисц[[#This Row],[№]],0))</f>
        <v/>
      </c>
      <c r="T84" s="244" t="str">
        <f ca="1">T(INDEX(CHOOSE(dbУчДисц[[#This Row],[код]],BAZZS[Изпитващ],BAZLS[Изпитващ],MAZZS[Изпитващ],MAZLS[Изпитващ]),dbУчДисц[[#This Row],[№]],0))</f>
        <v/>
      </c>
      <c r="U84" s="1254" cm="1">
        <f t="array" aca="1" ref="U84" ca="1">INDEX(CHOOSE(dbУчДисц[[#This Row],[код]],BAZZS[Изпитани],BAZLS[Изпитани],MAZZS[Изпитани],MAZLS[Изпитани]),dbУчДисц[[#This Row],[№]],0)</f>
        <v>0</v>
      </c>
      <c r="V84" s="1268" cm="1">
        <f t="array" aca="1" ref="V84" ca="1">INDEX(CHOOSE(dbУчДисц[[#This Row],[код]],BAZZS[ТО],BAZLS[ТО],MAZZS[ТО],MAZLS[ТО]),dbУчДисц[[#This Row],[№]],0)</f>
        <v>0</v>
      </c>
      <c r="W84" s="1268" cm="1">
        <f t="array" aca="1" ref="W84" ca="1">INDEX(CHOOSE(dbУчДисц[[#This Row],[код]],BAZZS[КР],BAZLS[КР],MAZZS[КР],MAZLS[КР]),dbУчДисц[[#This Row],[№]],0)</f>
        <v>0</v>
      </c>
      <c r="X84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4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4" s="1270">
        <f ca="1">IF(AND(dbУчДисц[[#This Row],[Изпитани]]&lt;&gt;0,dbУчДисц[[#This Row],[Изпитващ]]=0),1,0)</f>
        <v>0</v>
      </c>
      <c r="AA84" s="1271">
        <f ca="1">IFERROR(VLOOKUP(dbУчДисц[[#This Row],[Език]],Коефициент_Eзик[],2,0),0)</f>
        <v>1</v>
      </c>
      <c r="AB84" s="1272" cm="1">
        <f t="array" aca="1" ref="AB84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4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4" s="1273">
        <v>0.5</v>
      </c>
      <c r="AE84" s="1274">
        <v>5</v>
      </c>
      <c r="AF84" s="1271">
        <f ca="1">N(dbУчДисц[[#This Row],[Лекции]])*dbУчДисц[[#This Row],[кЕзик]]*dbУчДисц[[#This Row],[кСтуденти]]*кЛекции</f>
        <v>0</v>
      </c>
      <c r="AG84" s="1272">
        <f ca="1">N(dbУчДисц[[#This Row],[Упражнения]])*dbУчДисц[[#This Row],[кЕзик]]*dbУчДисц[[#This Row],[кСтуденти]]*кУпражнение</f>
        <v>0</v>
      </c>
      <c r="AH84" s="1272">
        <f ca="1">N(dbУчДисц[[#This Row],[Изпитани]])*dbУчДисц[[#This Row],[кИзпитващ]]</f>
        <v>0</v>
      </c>
      <c r="AI84" s="1273">
        <f ca="1">dbУчДисц[[#This Row],[ТО]]*dbУчДисц[[#This Row],[кTO]]</f>
        <v>0</v>
      </c>
      <c r="AJ84" s="1266">
        <f ca="1">dbУчДисц[[#This Row],[КР]]*dbУчДисц[[#This Row],[кКР]]</f>
        <v>0</v>
      </c>
      <c r="AK84" s="1275">
        <f ca="1">N(INDEX(CHOOSE(dbУчДисц[[#This Row],[код]],BAZZS[id_РД],BAZLS[id_РД],MAZZS[id_РД],MAZLS[id_РД]),dbУчДисц[[#This Row],[№]],0))</f>
        <v>0</v>
      </c>
      <c r="AL84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4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4" s="1383" t="str">
        <f ca="1">T(INDEX(CHOOSE(dbУчДисц[[#This Row],[код]],BAZZS[Факултет1],BAZLS[Факултет1],MAZZS[Факултет1],MAZLS[Факултет1]),dbУчДисц[[#This Row],[№]],0))</f>
        <v/>
      </c>
      <c r="AO84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5" spans="5:41" ht="16.5" x14ac:dyDescent="0.3">
      <c r="E85" s="919" t="s">
        <v>682</v>
      </c>
      <c r="F85" s="921" t="s">
        <v>407</v>
      </c>
      <c r="G85" s="666">
        <f>4</f>
        <v>4</v>
      </c>
      <c r="H85" s="860">
        <f ca="1">IF(dbУчДисц[[#This Row],[Семестър]]=OFFSET(dbУчДисц[[#This Row],[Семестър]],-1,0),N(OFFSET(dbУчДисц[[#This Row],[№]],-1,0))+1,1)</f>
        <v>16</v>
      </c>
      <c r="I85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5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5" s="842" t="str">
        <f ca="1">T(INDEX(CHOOSE(dbУчДисц[[#This Row],[код]],BAZZS[Факултет],BAZLS[Факултет],MAZZS[Факултет],MAZLS[Факултет]),dbУчДисц[[#This Row],[№]],0))</f>
        <v/>
      </c>
      <c r="L85" s="265" t="str">
        <f ca="1">T(INDEX(CHOOSE(dbУчДисц[[#This Row],[код]],BAZZS[Вид],BAZLS[Вид],MAZZS[Вид],MAZLS[Вид]),dbУчДисц[[#This Row],[№]],0))</f>
        <v/>
      </c>
      <c r="M85" s="243" t="str">
        <f ca="1">T(INDEX(CHOOSE(dbУчДисц[[#This Row],[код]],BAZZS[Курс],BAZLS[Курс],MAZZS[Курс],MAZLS[Курс]),dbУчДисц[[#This Row],[№]],0))</f>
        <v/>
      </c>
      <c r="N85" s="243" t="str">
        <f ca="1">T(INDEX(CHOOSE(dbУчДисц[[#This Row],[код]],BAZZS[ФормаОб],BAZLS[ФормаОб],MAZZS[ФормаОб],MAZLS[ФормаОб]),dbУчДисц[[#This Row],[№]],0))</f>
        <v/>
      </c>
      <c r="O85" s="1253" cm="1">
        <f t="array" aca="1" ref="O85" ca="1">INDEX(CHOOSE(dbУчДисц[[#This Row],[код]],BAZZS[Студенти],BAZLS[Студенти],MAZZS[Студенти],MAZLS[Студенти]),dbУчДисц[[#This Row],[№]],0)</f>
        <v>0</v>
      </c>
      <c r="P85" s="1254" cm="1">
        <f t="array" aca="1" ref="P85" ca="1">INDEX(CHOOSE(dbУчДисц[[#This Row],[код]],BAZZS[Лекции],BAZLS[Лекции],MAZZS[Лекции],MAZLS[Лекции]),dbУчДисц[[#This Row],[№]],0)</f>
        <v>0</v>
      </c>
      <c r="Q85" s="1254" cm="1">
        <f t="array" aca="1" ref="Q85" ca="1">INDEX(CHOOSE(dbУчДисц[[#This Row],[код]],BAZZS[Упражнения],BAZLS[Упражнения],MAZZS[Упражнения],MAZLS[Упражнения]),dbУчДисц[[#This Row],[№]],0)</f>
        <v>0</v>
      </c>
      <c r="R85" s="892" t="str">
        <f ca="1">T(INDEX(CHOOSE(dbУчДисц[[#This Row],[код]],BAZZS[Език],BAZLS[Език],MAZZS[Език],MAZLS[Език]),dbУчДисц[[#This Row],[№]],0))</f>
        <v>БЕ</v>
      </c>
      <c r="S85" s="243" t="str">
        <f ca="1">T(INDEX(CHOOSE(dbУчДисц[[#This Row],[код]],BAZZS[ФормаОц],BAZLS[ФормаОц],MAZZS[ФормаОц],MAZLS[ФормаОц]),dbУчДисц[[#This Row],[№]],0))</f>
        <v/>
      </c>
      <c r="T85" s="244" t="str">
        <f ca="1">T(INDEX(CHOOSE(dbУчДисц[[#This Row],[код]],BAZZS[Изпитващ],BAZLS[Изпитващ],MAZZS[Изпитващ],MAZLS[Изпитващ]),dbУчДисц[[#This Row],[№]],0))</f>
        <v/>
      </c>
      <c r="U85" s="1254" cm="1">
        <f t="array" aca="1" ref="U85" ca="1">INDEX(CHOOSE(dbУчДисц[[#This Row],[код]],BAZZS[Изпитани],BAZLS[Изпитани],MAZZS[Изпитани],MAZLS[Изпитани]),dbУчДисц[[#This Row],[№]],0)</f>
        <v>0</v>
      </c>
      <c r="V85" s="1268" cm="1">
        <f t="array" aca="1" ref="V85" ca="1">INDEX(CHOOSE(dbУчДисц[[#This Row],[код]],BAZZS[ТО],BAZLS[ТО],MAZZS[ТО],MAZLS[ТО]),dbУчДисц[[#This Row],[№]],0)</f>
        <v>0</v>
      </c>
      <c r="W85" s="1268" cm="1">
        <f t="array" aca="1" ref="W85" ca="1">INDEX(CHOOSE(dbУчДисц[[#This Row],[код]],BAZZS[КР],BAZLS[КР],MAZZS[КР],MAZLS[КР]),dbУчДисц[[#This Row],[№]],0)</f>
        <v>0</v>
      </c>
      <c r="X85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5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5" s="1270">
        <f ca="1">IF(AND(dbУчДисц[[#This Row],[Изпитани]]&lt;&gt;0,dbУчДисц[[#This Row],[Изпитващ]]=0),1,0)</f>
        <v>0</v>
      </c>
      <c r="AA85" s="1271">
        <f ca="1">IFERROR(VLOOKUP(dbУчДисц[[#This Row],[Език]],Коефициент_Eзик[],2,0),0)</f>
        <v>1</v>
      </c>
      <c r="AB85" s="1272" cm="1">
        <f t="array" aca="1" ref="AB85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5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5" s="1273">
        <v>0.5</v>
      </c>
      <c r="AE85" s="1274">
        <v>5</v>
      </c>
      <c r="AF85" s="1271">
        <f ca="1">N(dbУчДисц[[#This Row],[Лекции]])*dbУчДисц[[#This Row],[кЕзик]]*dbУчДисц[[#This Row],[кСтуденти]]*кЛекции</f>
        <v>0</v>
      </c>
      <c r="AG85" s="1272">
        <f ca="1">N(dbУчДисц[[#This Row],[Упражнения]])*dbУчДисц[[#This Row],[кЕзик]]*dbУчДисц[[#This Row],[кСтуденти]]*кУпражнение</f>
        <v>0</v>
      </c>
      <c r="AH85" s="1272">
        <f ca="1">N(dbУчДисц[[#This Row],[Изпитани]])*dbУчДисц[[#This Row],[кИзпитващ]]</f>
        <v>0</v>
      </c>
      <c r="AI85" s="1273">
        <f ca="1">dbУчДисц[[#This Row],[ТО]]*dbУчДисц[[#This Row],[кTO]]</f>
        <v>0</v>
      </c>
      <c r="AJ85" s="1266">
        <f ca="1">dbУчДисц[[#This Row],[КР]]*dbУчДисц[[#This Row],[кКР]]</f>
        <v>0</v>
      </c>
      <c r="AK85" s="1275">
        <f ca="1">N(INDEX(CHOOSE(dbУчДисц[[#This Row],[код]],BAZZS[id_РД],BAZLS[id_РД],MAZZS[id_РД],MAZLS[id_РД]),dbУчДисц[[#This Row],[№]],0))</f>
        <v>0</v>
      </c>
      <c r="AL85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5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5" s="1383" t="str">
        <f ca="1">T(INDEX(CHOOSE(dbУчДисц[[#This Row],[код]],BAZZS[Факултет1],BAZLS[Факултет1],MAZZS[Факултет1],MAZLS[Факултет1]),dbУчДисц[[#This Row],[№]],0))</f>
        <v/>
      </c>
      <c r="AO85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6" spans="5:41" ht="16.5" x14ac:dyDescent="0.3">
      <c r="E86" s="919" t="s">
        <v>682</v>
      </c>
      <c r="F86" s="921" t="s">
        <v>407</v>
      </c>
      <c r="G86" s="666">
        <f>4</f>
        <v>4</v>
      </c>
      <c r="H86" s="860">
        <f ca="1">IF(dbУчДисц[[#This Row],[Семестър]]=OFFSET(dbУчДисц[[#This Row],[Семестър]],-1,0),N(OFFSET(dbУчДисц[[#This Row],[№]],-1,0))+1,1)</f>
        <v>17</v>
      </c>
      <c r="I86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6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6" s="842" t="str">
        <f ca="1">T(INDEX(CHOOSE(dbУчДисц[[#This Row],[код]],BAZZS[Факултет],BAZLS[Факултет],MAZZS[Факултет],MAZLS[Факултет]),dbУчДисц[[#This Row],[№]],0))</f>
        <v/>
      </c>
      <c r="L86" s="265" t="str">
        <f ca="1">T(INDEX(CHOOSE(dbУчДисц[[#This Row],[код]],BAZZS[Вид],BAZLS[Вид],MAZZS[Вид],MAZLS[Вид]),dbУчДисц[[#This Row],[№]],0))</f>
        <v/>
      </c>
      <c r="M86" s="243" t="str">
        <f ca="1">T(INDEX(CHOOSE(dbУчДисц[[#This Row],[код]],BAZZS[Курс],BAZLS[Курс],MAZZS[Курс],MAZLS[Курс]),dbУчДисц[[#This Row],[№]],0))</f>
        <v/>
      </c>
      <c r="N86" s="243" t="str">
        <f ca="1">T(INDEX(CHOOSE(dbУчДисц[[#This Row],[код]],BAZZS[ФормаОб],BAZLS[ФормаОб],MAZZS[ФормаОб],MAZLS[ФормаОб]),dbУчДисц[[#This Row],[№]],0))</f>
        <v/>
      </c>
      <c r="O86" s="1253" cm="1">
        <f t="array" aca="1" ref="O86" ca="1">INDEX(CHOOSE(dbУчДисц[[#This Row],[код]],BAZZS[Студенти],BAZLS[Студенти],MAZZS[Студенти],MAZLS[Студенти]),dbУчДисц[[#This Row],[№]],0)</f>
        <v>0</v>
      </c>
      <c r="P86" s="1254" cm="1">
        <f t="array" aca="1" ref="P86" ca="1">INDEX(CHOOSE(dbУчДисц[[#This Row],[код]],BAZZS[Лекции],BAZLS[Лекции],MAZZS[Лекции],MAZLS[Лекции]),dbУчДисц[[#This Row],[№]],0)</f>
        <v>0</v>
      </c>
      <c r="Q86" s="1254" cm="1">
        <f t="array" aca="1" ref="Q86" ca="1">INDEX(CHOOSE(dbУчДисц[[#This Row],[код]],BAZZS[Упражнения],BAZLS[Упражнения],MAZZS[Упражнения],MAZLS[Упражнения]),dbУчДисц[[#This Row],[№]],0)</f>
        <v>0</v>
      </c>
      <c r="R86" s="892" t="str">
        <f ca="1">T(INDEX(CHOOSE(dbУчДисц[[#This Row],[код]],BAZZS[Език],BAZLS[Език],MAZZS[Език],MAZLS[Език]),dbУчДисц[[#This Row],[№]],0))</f>
        <v>БЕ</v>
      </c>
      <c r="S86" s="243" t="str">
        <f ca="1">T(INDEX(CHOOSE(dbУчДисц[[#This Row],[код]],BAZZS[ФормаОц],BAZLS[ФормаОц],MAZZS[ФормаОц],MAZLS[ФормаОц]),dbУчДисц[[#This Row],[№]],0))</f>
        <v/>
      </c>
      <c r="T86" s="244" t="str">
        <f ca="1">T(INDEX(CHOOSE(dbУчДисц[[#This Row],[код]],BAZZS[Изпитващ],BAZLS[Изпитващ],MAZZS[Изпитващ],MAZLS[Изпитващ]),dbУчДисц[[#This Row],[№]],0))</f>
        <v/>
      </c>
      <c r="U86" s="1254" cm="1">
        <f t="array" aca="1" ref="U86" ca="1">INDEX(CHOOSE(dbУчДисц[[#This Row],[код]],BAZZS[Изпитани],BAZLS[Изпитани],MAZZS[Изпитани],MAZLS[Изпитани]),dbУчДисц[[#This Row],[№]],0)</f>
        <v>0</v>
      </c>
      <c r="V86" s="1268" cm="1">
        <f t="array" aca="1" ref="V86" ca="1">INDEX(CHOOSE(dbУчДисц[[#This Row],[код]],BAZZS[ТО],BAZLS[ТО],MAZZS[ТО],MAZLS[ТО]),dbУчДисц[[#This Row],[№]],0)</f>
        <v>0</v>
      </c>
      <c r="W86" s="1268" cm="1">
        <f t="array" aca="1" ref="W86" ca="1">INDEX(CHOOSE(dbУчДисц[[#This Row],[код]],BAZZS[КР],BAZLS[КР],MAZZS[КР],MAZLS[КР]),dbУчДисц[[#This Row],[№]],0)</f>
        <v>0</v>
      </c>
      <c r="X86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6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6" s="1270">
        <f ca="1">IF(AND(dbУчДисц[[#This Row],[Изпитани]]&lt;&gt;0,dbУчДисц[[#This Row],[Изпитващ]]=0),1,0)</f>
        <v>0</v>
      </c>
      <c r="AA86" s="1271">
        <f ca="1">IFERROR(VLOOKUP(dbУчДисц[[#This Row],[Език]],Коефициент_Eзик[],2,0),0)</f>
        <v>1</v>
      </c>
      <c r="AB86" s="1272" cm="1">
        <f t="array" aca="1" ref="AB86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6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6" s="1273">
        <v>0.5</v>
      </c>
      <c r="AE86" s="1274">
        <v>5</v>
      </c>
      <c r="AF86" s="1271">
        <f ca="1">N(dbУчДисц[[#This Row],[Лекции]])*dbУчДисц[[#This Row],[кЕзик]]*dbУчДисц[[#This Row],[кСтуденти]]*кЛекции</f>
        <v>0</v>
      </c>
      <c r="AG86" s="1272">
        <f ca="1">N(dbУчДисц[[#This Row],[Упражнения]])*dbУчДисц[[#This Row],[кЕзик]]*dbУчДисц[[#This Row],[кСтуденти]]*кУпражнение</f>
        <v>0</v>
      </c>
      <c r="AH86" s="1272">
        <f ca="1">N(dbУчДисц[[#This Row],[Изпитани]])*dbУчДисц[[#This Row],[кИзпитващ]]</f>
        <v>0</v>
      </c>
      <c r="AI86" s="1273">
        <f ca="1">dbУчДисц[[#This Row],[ТО]]*dbУчДисц[[#This Row],[кTO]]</f>
        <v>0</v>
      </c>
      <c r="AJ86" s="1266">
        <f ca="1">dbУчДисц[[#This Row],[КР]]*dbУчДисц[[#This Row],[кКР]]</f>
        <v>0</v>
      </c>
      <c r="AK86" s="1275">
        <f ca="1">N(INDEX(CHOOSE(dbУчДисц[[#This Row],[код]],BAZZS[id_РД],BAZLS[id_РД],MAZZS[id_РД],MAZLS[id_РД]),dbУчДисц[[#This Row],[№]],0))</f>
        <v>0</v>
      </c>
      <c r="AL86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6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6" s="1383" t="str">
        <f ca="1">T(INDEX(CHOOSE(dbУчДисц[[#This Row],[код]],BAZZS[Факултет1],BAZLS[Факултет1],MAZZS[Факултет1],MAZLS[Факултет1]),dbУчДисц[[#This Row],[№]],0))</f>
        <v/>
      </c>
      <c r="AO86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7" spans="5:41" ht="16.5" x14ac:dyDescent="0.3">
      <c r="E87" s="919" t="s">
        <v>682</v>
      </c>
      <c r="F87" s="921" t="s">
        <v>407</v>
      </c>
      <c r="G87" s="666">
        <f>4</f>
        <v>4</v>
      </c>
      <c r="H87" s="860">
        <f ca="1">IF(dbУчДисц[[#This Row],[Семестър]]=OFFSET(dbУчДисц[[#This Row],[Семестър]],-1,0),N(OFFSET(dbУчДисц[[#This Row],[№]],-1,0))+1,1)</f>
        <v>18</v>
      </c>
      <c r="I87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7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7" s="842" t="str">
        <f ca="1">T(INDEX(CHOOSE(dbУчДисц[[#This Row],[код]],BAZZS[Факултет],BAZLS[Факултет],MAZZS[Факултет],MAZLS[Факултет]),dbУчДисц[[#This Row],[№]],0))</f>
        <v/>
      </c>
      <c r="L87" s="265" t="str">
        <f ca="1">T(INDEX(CHOOSE(dbУчДисц[[#This Row],[код]],BAZZS[Вид],BAZLS[Вид],MAZZS[Вид],MAZLS[Вид]),dbУчДисц[[#This Row],[№]],0))</f>
        <v/>
      </c>
      <c r="M87" s="243" t="str">
        <f ca="1">T(INDEX(CHOOSE(dbУчДисц[[#This Row],[код]],BAZZS[Курс],BAZLS[Курс],MAZZS[Курс],MAZLS[Курс]),dbУчДисц[[#This Row],[№]],0))</f>
        <v/>
      </c>
      <c r="N87" s="243" t="str">
        <f ca="1">T(INDEX(CHOOSE(dbУчДисц[[#This Row],[код]],BAZZS[ФормаОб],BAZLS[ФормаОб],MAZZS[ФормаОб],MAZLS[ФормаОб]),dbУчДисц[[#This Row],[№]],0))</f>
        <v/>
      </c>
      <c r="O87" s="1253" cm="1">
        <f t="array" aca="1" ref="O87" ca="1">INDEX(CHOOSE(dbУчДисц[[#This Row],[код]],BAZZS[Студенти],BAZLS[Студенти],MAZZS[Студенти],MAZLS[Студенти]),dbУчДисц[[#This Row],[№]],0)</f>
        <v>0</v>
      </c>
      <c r="P87" s="1254" cm="1">
        <f t="array" aca="1" ref="P87" ca="1">INDEX(CHOOSE(dbУчДисц[[#This Row],[код]],BAZZS[Лекции],BAZLS[Лекции],MAZZS[Лекции],MAZLS[Лекции]),dbУчДисц[[#This Row],[№]],0)</f>
        <v>0</v>
      </c>
      <c r="Q87" s="1254" cm="1">
        <f t="array" aca="1" ref="Q87" ca="1">INDEX(CHOOSE(dbУчДисц[[#This Row],[код]],BAZZS[Упражнения],BAZLS[Упражнения],MAZZS[Упражнения],MAZLS[Упражнения]),dbУчДисц[[#This Row],[№]],0)</f>
        <v>0</v>
      </c>
      <c r="R87" s="892" t="str">
        <f ca="1">T(INDEX(CHOOSE(dbУчДисц[[#This Row],[код]],BAZZS[Език],BAZLS[Език],MAZZS[Език],MAZLS[Език]),dbУчДисц[[#This Row],[№]],0))</f>
        <v>БЕ</v>
      </c>
      <c r="S87" s="243" t="str">
        <f ca="1">T(INDEX(CHOOSE(dbУчДисц[[#This Row],[код]],BAZZS[ФормаОц],BAZLS[ФормаОц],MAZZS[ФормаОц],MAZLS[ФормаОц]),dbУчДисц[[#This Row],[№]],0))</f>
        <v/>
      </c>
      <c r="T87" s="244" t="str">
        <f ca="1">T(INDEX(CHOOSE(dbУчДисц[[#This Row],[код]],BAZZS[Изпитващ],BAZLS[Изпитващ],MAZZS[Изпитващ],MAZLS[Изпитващ]),dbУчДисц[[#This Row],[№]],0))</f>
        <v/>
      </c>
      <c r="U87" s="1254" cm="1">
        <f t="array" aca="1" ref="U87" ca="1">INDEX(CHOOSE(dbУчДисц[[#This Row],[код]],BAZZS[Изпитани],BAZLS[Изпитани],MAZZS[Изпитани],MAZLS[Изпитани]),dbУчДисц[[#This Row],[№]],0)</f>
        <v>0</v>
      </c>
      <c r="V87" s="1268" cm="1">
        <f t="array" aca="1" ref="V87" ca="1">INDEX(CHOOSE(dbУчДисц[[#This Row],[код]],BAZZS[ТО],BAZLS[ТО],MAZZS[ТО],MAZLS[ТО]),dbУчДисц[[#This Row],[№]],0)</f>
        <v>0</v>
      </c>
      <c r="W87" s="1268" cm="1">
        <f t="array" aca="1" ref="W87" ca="1">INDEX(CHOOSE(dbУчДисц[[#This Row],[код]],BAZZS[КР],BAZLS[КР],MAZZS[КР],MAZLS[КР]),dbУчДисц[[#This Row],[№]],0)</f>
        <v>0</v>
      </c>
      <c r="X87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7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7" s="1270">
        <f ca="1">IF(AND(dbУчДисц[[#This Row],[Изпитани]]&lt;&gt;0,dbУчДисц[[#This Row],[Изпитващ]]=0),1,0)</f>
        <v>0</v>
      </c>
      <c r="AA87" s="1271">
        <f ca="1">IFERROR(VLOOKUP(dbУчДисц[[#This Row],[Език]],Коефициент_Eзик[],2,0),0)</f>
        <v>1</v>
      </c>
      <c r="AB87" s="1272" cm="1">
        <f t="array" aca="1" ref="AB87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7" s="1272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7" s="1273">
        <v>0.5</v>
      </c>
      <c r="AE87" s="1274">
        <v>5</v>
      </c>
      <c r="AF87" s="1271">
        <f ca="1">N(dbУчДисц[[#This Row],[Лекции]])*dbУчДисц[[#This Row],[кЕзик]]*dbУчДисц[[#This Row],[кСтуденти]]*кЛекции</f>
        <v>0</v>
      </c>
      <c r="AG87" s="1272">
        <f ca="1">N(dbУчДисц[[#This Row],[Упражнения]])*dbУчДисц[[#This Row],[кЕзик]]*dbУчДисц[[#This Row],[кСтуденти]]*кУпражнение</f>
        <v>0</v>
      </c>
      <c r="AH87" s="1272">
        <f ca="1">N(dbУчДисц[[#This Row],[Изпитани]])*dbУчДисц[[#This Row],[кИзпитващ]]</f>
        <v>0</v>
      </c>
      <c r="AI87" s="1273">
        <f ca="1">dbУчДисц[[#This Row],[ТО]]*dbУчДисц[[#This Row],[кTO]]</f>
        <v>0</v>
      </c>
      <c r="AJ87" s="1266">
        <f ca="1">dbУчДисц[[#This Row],[КР]]*dbУчДисц[[#This Row],[кКР]]</f>
        <v>0</v>
      </c>
      <c r="AK87" s="1275">
        <f ca="1">N(INDEX(CHOOSE(dbУчДисц[[#This Row],[код]],BAZZS[id_РД],BAZLS[id_РД],MAZZS[id_РД],MAZLS[id_РД]),dbУчДисц[[#This Row],[№]],0))</f>
        <v>0</v>
      </c>
      <c r="AL87" s="1383" t="str">
        <f ca="1">T(INDEX(CHOOSE(dbУчДисц[[#This Row],[код]],BAZZS[Дисциплина1],BAZLS[Дисциплина1],MAZZS[Дисциплина1],MAZLS[Дисциплина1]),dbУчДисц[[#This Row],[№]],0))</f>
        <v/>
      </c>
      <c r="AM87" s="1383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7" s="1383" t="str">
        <f ca="1">T(INDEX(CHOOSE(dbУчДисц[[#This Row],[код]],BAZZS[Факултет1],BAZLS[Факултет1],MAZZS[Факултет1],MAZLS[Факултет1]),dbУчДисц[[#This Row],[№]],0))</f>
        <v/>
      </c>
      <c r="AO87" s="1384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  <row r="88" spans="5:41" ht="17.25" thickBot="1" x14ac:dyDescent="0.35">
      <c r="E88" s="919" t="s">
        <v>682</v>
      </c>
      <c r="F88" s="925" t="s">
        <v>407</v>
      </c>
      <c r="G88" s="666">
        <f>4</f>
        <v>4</v>
      </c>
      <c r="H88" s="860">
        <f ca="1">IF(dbУчДисц[[#This Row],[Семестър]]=OFFSET(dbУчДисц[[#This Row],[Семестър]],-1,0),N(OFFSET(dbУчДисц[[#This Row],[№]],-1,0))+1,1)</f>
        <v>19</v>
      </c>
      <c r="I88" s="855" t="str">
        <f ca="1">T(INDEX(CHOOSE(dbУчДисц[[#This Row],[код]],BAZZS[Дисциплина],BAZLS[Дисциплина],MAZZS[Дисциплина],MAZLS[Дисциплина]),dbУчДисц[[#This Row],[№]],0))</f>
        <v/>
      </c>
      <c r="J88" s="856" t="str">
        <f ca="1">T(INDEX(CHOOSE(dbУчДисц[[#This Row],[код]],BAZZS[Специалност],BAZLS[Специалност],MAZZS[Магистърска програма],MAZLS[Магистърска програма]),dbУчДисц[[#This Row],[№]],0))</f>
        <v/>
      </c>
      <c r="K88" s="842" t="str">
        <f ca="1">T(INDEX(CHOOSE(dbУчДисц[[#This Row],[код]],BAZZS[Факултет],BAZLS[Факултет],MAZZS[Факултет],MAZLS[Факултет]),dbУчДисц[[#This Row],[№]],0))</f>
        <v/>
      </c>
      <c r="L88" s="265" t="str">
        <f ca="1">T(INDEX(CHOOSE(dbУчДисц[[#This Row],[код]],BAZZS[Вид],BAZLS[Вид],MAZZS[Вид],MAZLS[Вид]),dbУчДисц[[#This Row],[№]],0))</f>
        <v/>
      </c>
      <c r="M88" s="243" t="str">
        <f ca="1">T(INDEX(CHOOSE(dbУчДисц[[#This Row],[код]],BAZZS[Курс],BAZLS[Курс],MAZZS[Курс],MAZLS[Курс]),dbУчДисц[[#This Row],[№]],0))</f>
        <v/>
      </c>
      <c r="N88" s="243" t="str">
        <f ca="1">T(INDEX(CHOOSE(dbУчДисц[[#This Row],[код]],BAZZS[ФормаОб],BAZLS[ФормаОб],MAZZS[ФормаОб],MAZLS[ФормаОб]),dbУчДисц[[#This Row],[№]],0))</f>
        <v/>
      </c>
      <c r="O88" s="1253" cm="1">
        <f t="array" aca="1" ref="O88" ca="1">INDEX(CHOOSE(dbУчДисц[[#This Row],[код]],BAZZS[Студенти],BAZLS[Студенти],MAZZS[Студенти],MAZLS[Студенти]),dbУчДисц[[#This Row],[№]],0)</f>
        <v>0</v>
      </c>
      <c r="P88" s="1254" cm="1">
        <f t="array" aca="1" ref="P88" ca="1">INDEX(CHOOSE(dbУчДисц[[#This Row],[код]],BAZZS[Лекции],BAZLS[Лекции],MAZZS[Лекции],MAZLS[Лекции]),dbУчДисц[[#This Row],[№]],0)</f>
        <v>0</v>
      </c>
      <c r="Q88" s="1254" cm="1">
        <f t="array" aca="1" ref="Q88" ca="1">INDEX(CHOOSE(dbУчДисц[[#This Row],[код]],BAZZS[Упражнения],BAZLS[Упражнения],MAZZS[Упражнения],MAZLS[Упражнения]),dbУчДисц[[#This Row],[№]],0)</f>
        <v>0</v>
      </c>
      <c r="R88" s="892" t="str">
        <f ca="1">T(INDEX(CHOOSE(dbУчДисц[[#This Row],[код]],BAZZS[Език],BAZLS[Език],MAZZS[Език],MAZLS[Език]),dbУчДисц[[#This Row],[№]],0))</f>
        <v>БЕ</v>
      </c>
      <c r="S88" s="243" t="str">
        <f ca="1">T(INDEX(CHOOSE(dbУчДисц[[#This Row],[код]],BAZZS[ФормаОц],BAZLS[ФормаОц],MAZZS[ФормаОц],MAZLS[ФормаОц]),dbУчДисц[[#This Row],[№]],0))</f>
        <v/>
      </c>
      <c r="T88" s="244" t="str">
        <f ca="1">T(INDEX(CHOOSE(dbУчДисц[[#This Row],[код]],BAZZS[Изпитващ],BAZLS[Изпитващ],MAZZS[Изпитващ],MAZLS[Изпитващ]),dbУчДисц[[#This Row],[№]],0))</f>
        <v/>
      </c>
      <c r="U88" s="1254" cm="1">
        <f t="array" aca="1" ref="U88" ca="1">INDEX(CHOOSE(dbУчДисц[[#This Row],[код]],BAZZS[Изпитани],BAZLS[Изпитани],MAZZS[Изпитани],MAZLS[Изпитани]),dbУчДисц[[#This Row],[№]],0)</f>
        <v>0</v>
      </c>
      <c r="V88" s="1268" cm="1">
        <f t="array" aca="1" ref="V88" ca="1">INDEX(CHOOSE(dbУчДисц[[#This Row],[код]],BAZZS[ТО],BAZLS[ТО],MAZZS[ТО],MAZLS[ТО]),dbУчДисц[[#This Row],[№]],0)</f>
        <v>0</v>
      </c>
      <c r="W88" s="1268" cm="1">
        <f t="array" aca="1" ref="W88" ca="1">INDEX(CHOOSE(dbУчДисц[[#This Row],[код]],BAZZS[КР],BAZLS[КР],MAZZS[КР],MAZLS[КР]),dbУчДисц[[#This Row],[№]],0)</f>
        <v>0</v>
      </c>
      <c r="X88" s="1269">
        <f ca="1">AND(LEN(dbУчДисц[[#This Row],[Дисциплина]]&amp;dbУчДисц[[#This Row],[Специалност/МагПрогр]]&amp;dbУчДисц[[#This Row],[Факултет]])&gt;0,LEN(dbУчДисц[[#This Row],[Вид]])=0)*1</f>
        <v>0</v>
      </c>
      <c r="Y88" s="1270">
        <f ca="1">IF(AND(dbУчДисц[[#This Row],[Дисциплина]]&lt;&gt;0,OR(dbУчДисц[[#This Row],[Лекции]]&lt;&gt;0,dbУчДисц[[#This Row],[Упражнения]]&lt;&gt;0),dbУчДисц[[#This Row],[Студенти]]=0),1,0)</f>
        <v>0</v>
      </c>
      <c r="Z88" s="1270">
        <f ca="1">IF(AND(dbУчДисц[[#This Row],[Изпитани]]&lt;&gt;0,dbУчДисц[[#This Row],[Изпитващ]]=0),1,0)</f>
        <v>0</v>
      </c>
      <c r="AA88" s="1289">
        <f ca="1">IFERROR(VLOOKUP(dbУчДисц[[#This Row],[Език]],Коефициент_Eзик[],2,0),0)</f>
        <v>1</v>
      </c>
      <c r="AB88" s="1290" cm="1">
        <f t="array" aca="1" ref="AB88" ca="1">IFERROR(IF(AND(dbУчДисц[[#This Row],[Студенти]]&gt;0,OR(dbУчДисц[[#This Row],[Вид]]="З",dbУчДисц[[#This Row],[Студенти]]&gt;=6,SUMPRODUCT(COUNTIF(dbУчДисц[[#This Row],[Факултет]],"*"&amp;тЗащСпец[Факултет]&amp;"*"),COUNTIF(dbУчДисц[[#This Row],[Специалност/МагПрогр]],"*"&amp;тЗащСпец[аСпец]&amp;"*")))),1,VLOOKUP(dbУчДисц[[#This Row],[Студенти]],RdukciaChasove[],2,0)),0)</f>
        <v>0</v>
      </c>
      <c r="AC88" s="1290">
        <f ca="1">IFERROR(IF(T(dbУчДисц[[#This Row],[Изпитващ]])="",0,IF(AND('1. Планд'!$B$6=list!$A$11,dbУчДисц[[#This Row],[ФормаОц]]=list!$A$66),Coef!$B$8,VLOOKUP(dbУчДисц[[#This Row],[Изпитващ]],Koef.ocenqvane[],2,0))),0)</f>
        <v>0</v>
      </c>
      <c r="AD88" s="1291">
        <v>0.5</v>
      </c>
      <c r="AE88" s="1292">
        <v>5</v>
      </c>
      <c r="AF88" s="1289">
        <f ca="1">N(dbУчДисц[[#This Row],[Лекции]])*dbУчДисц[[#This Row],[кЕзик]]*dbУчДисц[[#This Row],[кСтуденти]]*кЛекции</f>
        <v>0</v>
      </c>
      <c r="AG88" s="1290">
        <f ca="1">N(dbУчДисц[[#This Row],[Упражнения]])*dbУчДисц[[#This Row],[кЕзик]]*dbУчДисц[[#This Row],[кСтуденти]]*кУпражнение</f>
        <v>0</v>
      </c>
      <c r="AH88" s="1290">
        <f ca="1">N(dbУчДисц[[#This Row],[Изпитани]])*dbУчДисц[[#This Row],[кИзпитващ]]</f>
        <v>0</v>
      </c>
      <c r="AI88" s="1291">
        <f ca="1">dbУчДисц[[#This Row],[ТО]]*dbУчДисц[[#This Row],[кTO]]</f>
        <v>0</v>
      </c>
      <c r="AJ88" s="1293">
        <f ca="1">dbУчДисц[[#This Row],[КР]]*dbУчДисц[[#This Row],[кКР]]</f>
        <v>0</v>
      </c>
      <c r="AK88" s="1294">
        <f ca="1">N(INDEX(CHOOSE(dbУчДисц[[#This Row],[код]],BAZZS[id_РД],BAZLS[id_РД],MAZZS[id_РД],MAZLS[id_РД]),dbУчДисц[[#This Row],[№]],0))</f>
        <v>0</v>
      </c>
      <c r="AL88" s="1387" t="str">
        <f ca="1">T(INDEX(CHOOSE(dbУчДисц[[#This Row],[код]],BAZZS[Дисциплина1],BAZLS[Дисциплина1],MAZZS[Дисциплина1],MAZLS[Дисциплина1]),dbУчДисц[[#This Row],[№]],0))</f>
        <v/>
      </c>
      <c r="AM88" s="1387" t="str">
        <f ca="1">T(INDEX(CHOOSE(dbУчДисц[[#This Row],[код]],BAZZS[тСпециалностиМП],BAZLS[тСпециалностиМП],MAZZS[тСпециалностиМП],MAZLS[тСпециалностиМП]),dbУчДисц[[#This Row],[№]],0))</f>
        <v/>
      </c>
      <c r="AN88" s="1387" t="str">
        <f ca="1">T(INDEX(CHOOSE(dbУчДисц[[#This Row],[код]],BAZZS[Факултет1],BAZLS[Факултет1],MAZZS[Факултет1],MAZLS[Факултет1]),dbУчДисц[[#This Row],[№]],0))</f>
        <v/>
      </c>
      <c r="AO88" s="1388" t="str">
        <f ca="1">T(INDEX(CHOOSE(dbУчДисц[[#This Row],[код]],BAZZS[нацид|монСпециалностМП],BAZLS[нацид|монСпециалностМП],MAZZS[нацид|монСпециалностМП],MAZLS[нацид|монСпециалностМП]),dbУчДисц[[#This Row],[№]],0))</f>
        <v/>
      </c>
    </row>
  </sheetData>
  <mergeCells count="63">
    <mergeCell ref="DO10:DP11"/>
    <mergeCell ref="DQ10:DR11"/>
    <mergeCell ref="CV10:CV11"/>
    <mergeCell ref="CW10:CW11"/>
    <mergeCell ref="CX10:CX11"/>
    <mergeCell ref="CY10:CY11"/>
    <mergeCell ref="CZ10:CZ11"/>
    <mergeCell ref="DA10:DA11"/>
    <mergeCell ref="DB10:DB11"/>
    <mergeCell ref="DC10:DC11"/>
    <mergeCell ref="DD10:DD11"/>
    <mergeCell ref="DE10:DF10"/>
    <mergeCell ref="DG10:DG11"/>
    <mergeCell ref="DH10:DN11"/>
    <mergeCell ref="ED10:ED11"/>
    <mergeCell ref="EE11:EJ11"/>
    <mergeCell ref="EL11:EM11"/>
    <mergeCell ref="EN11:EP11"/>
    <mergeCell ref="DV10:DV11"/>
    <mergeCell ref="DW10:DW11"/>
    <mergeCell ref="DX10:DX11"/>
    <mergeCell ref="DY10:DY11"/>
    <mergeCell ref="DZ10:EC10"/>
    <mergeCell ref="P10:Q10"/>
    <mergeCell ref="R10:R11"/>
    <mergeCell ref="S10:S11"/>
    <mergeCell ref="T10:T11"/>
    <mergeCell ref="U10:W10"/>
    <mergeCell ref="H10:H11"/>
    <mergeCell ref="G10:G11"/>
    <mergeCell ref="F10:F11"/>
    <mergeCell ref="E10:E11"/>
    <mergeCell ref="O10:O11"/>
    <mergeCell ref="I10:I11"/>
    <mergeCell ref="J10:J11"/>
    <mergeCell ref="K10:K11"/>
    <mergeCell ref="L10:L11"/>
    <mergeCell ref="M10:M11"/>
    <mergeCell ref="N10:N11"/>
    <mergeCell ref="BC10:BC11"/>
    <mergeCell ref="X10:Z11"/>
    <mergeCell ref="AA10:AE11"/>
    <mergeCell ref="AF10:AJ11"/>
    <mergeCell ref="AW10:AW11"/>
    <mergeCell ref="AX10:AX11"/>
    <mergeCell ref="AY10:AY11"/>
    <mergeCell ref="AZ10:AZ11"/>
    <mergeCell ref="BA10:BA11"/>
    <mergeCell ref="BB10:BB11"/>
    <mergeCell ref="AK10:AO11"/>
    <mergeCell ref="CP10:CR11"/>
    <mergeCell ref="CK10:CK11"/>
    <mergeCell ref="CL10:CL11"/>
    <mergeCell ref="CM10:CO10"/>
    <mergeCell ref="BD10:BF10"/>
    <mergeCell ref="BG10:BG11"/>
    <mergeCell ref="BH10:BH11"/>
    <mergeCell ref="BI10:BK10"/>
    <mergeCell ref="BY10:CC11"/>
    <mergeCell ref="BU10:BX11"/>
    <mergeCell ref="BR10:BT11"/>
    <mergeCell ref="BP10:BQ11"/>
    <mergeCell ref="BL10:BO11"/>
  </mergeCells>
  <phoneticPr fontId="129" type="noConversion"/>
  <conditionalFormatting sqref="CV13:CW23">
    <cfRule type="expression" dxfId="22" priority="2">
      <formula>DH13</formula>
    </cfRule>
  </conditionalFormatting>
  <conditionalFormatting sqref="CY13:CY23">
    <cfRule type="expression" dxfId="21" priority="3">
      <formula>DJ13</formula>
    </cfRule>
  </conditionalFormatting>
  <conditionalFormatting sqref="DC13:DC23">
    <cfRule type="expression" dxfId="20" priority="4">
      <formula>DK13</formula>
    </cfRule>
  </conditionalFormatting>
  <conditionalFormatting sqref="DD13:DD23">
    <cfRule type="containsBlanks" dxfId="19" priority="6">
      <formula>LEN(TRIM(DD13))=0</formula>
    </cfRule>
  </conditionalFormatting>
  <conditionalFormatting sqref="DE13:DF23">
    <cfRule type="expression" dxfId="18" priority="1">
      <formula>$S13</formula>
    </cfRule>
  </conditionalFormatting>
  <conditionalFormatting sqref="DG13:DG23">
    <cfRule type="expression" dxfId="17" priority="5">
      <formula>DL13</formula>
    </cfRule>
  </conditionalFormatting>
  <conditionalFormatting sqref="DV13:DX18">
    <cfRule type="notContainsBlanks" dxfId="16" priority="7">
      <formula>LEN(TRIM(DV13))&gt;0</formula>
    </cfRule>
    <cfRule type="expression" dxfId="15" priority="12">
      <formula>$L13</formula>
    </cfRule>
  </conditionalFormatting>
  <conditionalFormatting sqref="DY13:DY18">
    <cfRule type="containsBlanks" dxfId="14" priority="13">
      <formula>LEN(TRIM(DY13))=0</formula>
    </cfRule>
  </conditionalFormatting>
  <conditionalFormatting sqref="DZ13:DZ18">
    <cfRule type="expression" dxfId="13" priority="11">
      <formula>$M13</formula>
    </cfRule>
  </conditionalFormatting>
  <conditionalFormatting sqref="EA13:EB18">
    <cfRule type="expression" dxfId="12" priority="10">
      <formula>$N13</formula>
    </cfRule>
  </conditionalFormatting>
  <conditionalFormatting sqref="EC13:EC18">
    <cfRule type="expression" dxfId="11" priority="9">
      <formula>$O13</formula>
    </cfRule>
  </conditionalFormatting>
  <conditionalFormatting sqref="ED13:ED18">
    <cfRule type="expression" dxfId="10" priority="8">
      <formula>$P13</formula>
    </cfRule>
  </conditionalFormatting>
  <dataValidations disablePrompts="1" count="4">
    <dataValidation allowBlank="1" showInputMessage="1" showErrorMessage="1" promptTitle="Студенти бр." prompt="Брой студенти" sqref="BC10:BC11" xr:uid="{33CCC600-DB07-4DC3-A50A-AD023D43BA3F}"/>
    <dataValidation type="decimal" operator="greaterThanOrEqual" allowBlank="1" showInputMessage="1" showErrorMessage="1" error="Въведете коректна стойност!" sqref="DZ13:EC18" xr:uid="{67BD804D-4148-4901-BAB1-3AD102978BAF}">
      <formula1>0</formula1>
    </dataValidation>
    <dataValidation allowBlank="1" showInputMessage="1" showErrorMessage="1" error="Посочете език на преподаване!_x000a_БЕ - преподаване на български език_x000a_чужд - преподаване на чужд език" sqref="DX13:DX18" xr:uid="{26ADEEE5-598F-4A73-8A9D-637EEEFD0AD8}"/>
    <dataValidation type="decimal" operator="greaterThanOrEqual" allowBlank="1" showInputMessage="1" showErrorMessage="1" sqref="CW13:CW23 DE13:DF23" xr:uid="{CB2BC4E7-E637-4F7E-B134-4DF08CB4F2A0}">
      <formula1>0</formula1>
    </dataValidation>
  </dataValidations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error="За семестър въведете зимен или летен!" xr:uid="{F874B6F3-21CC-4A84-A54C-20BE03C80B1F}">
          <x14:formula1>
            <xm:f>INDIRECT(ПЕРИОД!$D$14)</xm:f>
          </x14:formula1>
          <xm:sqref>ED13:ED18</xm:sqref>
        </x14:dataValidation>
        <x14:dataValidation type="list" allowBlank="1" showInputMessage="1" showErrorMessage="1" error="Посочете език на преподаване!_x000a_БЕ - преподаване на български език_x000a_чужд - преподаване на чужд език" xr:uid="{9C4779EB-C76B-4DD7-AC83-48EC2275CF27}">
          <x14:formula1>
            <xm:f>list!$A$59:$A$60</xm:f>
          </x14:formula1>
          <xm:sqref>DY13:DY18</xm:sqref>
        </x14:dataValidation>
        <x14:dataValidation type="list" allowBlank="1" showInputMessage="1" showErrorMessage="1" xr:uid="{B6064CB0-1FD5-4196-A8E7-AE8489410D3E}">
          <x14:formula1>
            <xm:f>INDIRECT(ПЕРИОД!$D$14)</xm:f>
          </x14:formula1>
          <xm:sqref>DG13:DG23</xm:sqref>
        </x14:dataValidation>
        <x14:dataValidation type="list" allowBlank="1" showInputMessage="1" showErrorMessage="1" xr:uid="{0DBE3608-B619-40C7-B306-5FB963B6B831}">
          <x14:formula1>
            <xm:f>list!$A$24:$A$40</xm:f>
          </x14:formula1>
          <xm:sqref>DA13:DA23</xm:sqref>
        </x14:dataValidation>
        <x14:dataValidation type="list" allowBlank="1" showInputMessage="1" showErrorMessage="1" xr:uid="{6DC79ACF-4BB3-4039-8688-3AC8AEC485D7}">
          <x14:formula1>
            <xm:f>list!$B$53:$B$55</xm:f>
          </x14:formula1>
          <xm:sqref>DB13:DB23</xm:sqref>
        </x14:dataValidation>
        <x14:dataValidation type="list" allowBlank="1" showInputMessage="1" showErrorMessage="1" error="Въведете без интервали една от опциите:_x000a_р.об._x000a_з.об._x000a_д.об." xr:uid="{E3211B9C-A53E-40E3-B64C-E903565CFF5B}">
          <x14:formula1>
            <xm:f>list!$A$53:$A$55</xm:f>
          </x14:formula1>
          <xm:sqref>DC13:DC23</xm:sqref>
        </x14:dataValidation>
        <x14:dataValidation type="list" allowBlank="1" showInputMessage="1" showErrorMessage="1" error="Можете да въведете само едно от следните:_x000a_бакалавър_x000a_магистър_x000a_няколко" xr:uid="{FE7B82B8-4BC6-45DF-AEA5-EC391FA616A5}">
          <x14:formula1>
            <xm:f>list!$C$91:$C$93</xm:f>
          </x14:formula1>
          <xm:sqref>CY13:CY23</xm:sqref>
        </x14:dataValidation>
        <x14:dataValidation type="list" allowBlank="1" showInputMessage="1" showErrorMessage="1" xr:uid="{26EDD015-7588-4802-ABB9-0009A9F2650E}">
          <x14:formula1>
            <xm:f>list!$A$59:$A$61</xm:f>
          </x14:formula1>
          <xm:sqref>DD13:DD23</xm:sqref>
        </x14:dataValidation>
        <x14:dataValidation type="list" allowBlank="1" showInputMessage="1" showErrorMessage="1" error="Посочете дейността, която планирате:_x000a_нов курс_x000a_учебни ресурси_x000a_актуализация_x000a_" xr:uid="{0EF7CCC8-674B-44F7-B98E-5E8C6C61E31F}">
          <x14:formula1>
            <xm:f>list!$A$91:$A$93</xm:f>
          </x14:formula1>
          <xm:sqref>CV13:CV23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D7531-D095-4E73-91FE-24A88F35603D}">
  <sheetPr codeName="Sheet7">
    <tabColor rgb="FFFFFF00"/>
  </sheetPr>
  <dimension ref="B6:AA58"/>
  <sheetViews>
    <sheetView workbookViewId="0">
      <selection activeCell="H8" sqref="H8"/>
    </sheetView>
  </sheetViews>
  <sheetFormatPr defaultRowHeight="15" x14ac:dyDescent="0.25"/>
  <cols>
    <col min="2" max="2" width="10.5703125" bestFit="1" customWidth="1"/>
    <col min="3" max="3" width="12.28515625" bestFit="1" customWidth="1"/>
    <col min="4" max="4" width="21.42578125" bestFit="1" customWidth="1"/>
    <col min="5" max="5" width="26.85546875" bestFit="1" customWidth="1"/>
    <col min="6" max="6" width="26.5703125" bestFit="1" customWidth="1"/>
    <col min="7" max="7" width="5.5703125" bestFit="1" customWidth="1"/>
    <col min="8" max="8" width="6.85546875" bestFit="1" customWidth="1"/>
    <col min="9" max="9" width="6" bestFit="1" customWidth="1"/>
    <col min="10" max="10" width="6.5703125" bestFit="1" customWidth="1"/>
    <col min="11" max="11" width="6.28515625" bestFit="1" customWidth="1"/>
    <col min="12" max="12" width="6.7109375" bestFit="1" customWidth="1"/>
    <col min="13" max="13" width="6.85546875" bestFit="1" customWidth="1"/>
    <col min="14" max="14" width="9.5703125" bestFit="1" customWidth="1"/>
    <col min="15" max="15" width="7.28515625" bestFit="1" customWidth="1"/>
    <col min="16" max="16" width="8.85546875" bestFit="1" customWidth="1"/>
    <col min="17" max="17" width="8.140625" bestFit="1" customWidth="1"/>
    <col min="18" max="18" width="9" bestFit="1" customWidth="1"/>
    <col min="19" max="19" width="6.140625" bestFit="1" customWidth="1"/>
    <col min="20" max="20" width="8.7109375" bestFit="1" customWidth="1"/>
    <col min="21" max="21" width="6.42578125" bestFit="1" customWidth="1"/>
    <col min="22" max="22" width="7.5703125" bestFit="1" customWidth="1"/>
    <col min="23" max="23" width="6.85546875" bestFit="1" customWidth="1"/>
    <col min="24" max="24" width="5.85546875" bestFit="1" customWidth="1"/>
    <col min="25" max="25" width="8.42578125" bestFit="1" customWidth="1"/>
    <col min="26" max="26" width="7.140625" bestFit="1" customWidth="1"/>
    <col min="27" max="27" width="8.28515625" bestFit="1" customWidth="1"/>
  </cols>
  <sheetData>
    <row r="6" spans="2:27" x14ac:dyDescent="0.25">
      <c r="F6" s="1514" t="s">
        <v>13110</v>
      </c>
      <c r="G6" s="1935" t="str">
        <f>_xlfn.XLOOKUP(nФакултетОтчет,ТФакултет[Факултет],ТФакултет[аФакултет],"???")</f>
        <v>???</v>
      </c>
      <c r="H6" s="1934">
        <f ca="1">SUM(тФакЧасове[БсФ])</f>
        <v>0</v>
      </c>
      <c r="I6" s="1934">
        <f ca="1">SUM(тФакЧасове[БФ])</f>
        <v>0</v>
      </c>
      <c r="J6" s="1934">
        <f ca="1">SUM(тФакЧасове[ГГФ])</f>
        <v>0</v>
      </c>
      <c r="K6" s="1934">
        <f ca="1">SUM(тФакЧасове[ИФ])</f>
        <v>0</v>
      </c>
      <c r="L6" s="1934">
        <f ca="1">SUM(тФакЧасове[МФ])</f>
        <v>0</v>
      </c>
      <c r="M6" s="1934">
        <f ca="1">SUM(тФакЧасове[СтФ])</f>
        <v>0</v>
      </c>
      <c r="N6" s="1934">
        <f ca="1">SUM(тФакЧасове[ФЖМК])</f>
        <v>0</v>
      </c>
      <c r="O6" s="1934">
        <f ca="1">SUM(тФакЧасове[ФзФ])</f>
        <v>0</v>
      </c>
      <c r="P6" s="1934">
        <f ca="1">SUM(тФакЧасове[ФКНФ])</f>
        <v>0</v>
      </c>
      <c r="Q6" s="1934">
        <f ca="1">SUM(тФакЧасове[ФМИ])</f>
        <v>0</v>
      </c>
      <c r="R6" s="1934">
        <f ca="1">SUM(тФакЧасове[ФНОИ])</f>
        <v>0</v>
      </c>
      <c r="S6" s="1934">
        <f ca="1">SUM(тФакЧасове[ФП])</f>
        <v>0</v>
      </c>
      <c r="T6" s="1934">
        <f ca="1">SUM(тФакЧасове[ФСлФ])</f>
        <v>0</v>
      </c>
      <c r="U6" s="1934">
        <f ca="1">SUM(тФакЧасове[ФФ])</f>
        <v>0</v>
      </c>
      <c r="V6" s="1934">
        <f ca="1">SUM(тФакЧасове[ФХФ])</f>
        <v>0</v>
      </c>
      <c r="W6" s="1934">
        <f ca="1">SUM(тФакЧасове[ЮФ])</f>
        <v>0</v>
      </c>
      <c r="X6" s="1934">
        <f ca="1">SUM(тФакЧасове[ДС])</f>
        <v>0</v>
      </c>
      <c r="Y6" s="1934">
        <f ca="1">SUM(тФакЧасове[ДИУУ])</f>
        <v>0</v>
      </c>
      <c r="Z6" s="1934">
        <f ca="1">SUM(тФакЧасове[ДЕО])</f>
        <v>0</v>
      </c>
      <c r="AA6" s="1934">
        <f ca="1">SUM(тФакЧасове[ЦСВП])</f>
        <v>0</v>
      </c>
    </row>
    <row r="7" spans="2:27" x14ac:dyDescent="0.25">
      <c r="B7" t="s">
        <v>133</v>
      </c>
      <c r="C7" t="s">
        <v>135</v>
      </c>
      <c r="D7" t="s">
        <v>2837</v>
      </c>
      <c r="E7" t="s">
        <v>2838</v>
      </c>
      <c r="F7" t="s">
        <v>2839</v>
      </c>
      <c r="G7" t="s">
        <v>573</v>
      </c>
      <c r="H7" s="1516" t="s">
        <v>2788</v>
      </c>
      <c r="I7" s="1516" t="s">
        <v>31</v>
      </c>
      <c r="J7" s="1516" t="s">
        <v>50</v>
      </c>
      <c r="K7" s="1516" t="s">
        <v>48</v>
      </c>
      <c r="L7" s="1516" t="s">
        <v>46</v>
      </c>
      <c r="M7" s="1516" t="s">
        <v>626</v>
      </c>
      <c r="N7" s="1516" t="s">
        <v>42</v>
      </c>
      <c r="O7" s="1516" t="s">
        <v>628</v>
      </c>
      <c r="P7" s="1516" t="s">
        <v>33</v>
      </c>
      <c r="Q7" s="1516" t="s">
        <v>26</v>
      </c>
      <c r="R7" s="1516" t="s">
        <v>296</v>
      </c>
      <c r="S7" s="1516" t="s">
        <v>39</v>
      </c>
      <c r="T7" s="1516" t="s">
        <v>647</v>
      </c>
      <c r="U7" s="1516" t="s">
        <v>35</v>
      </c>
      <c r="V7" s="1516" t="s">
        <v>29</v>
      </c>
      <c r="W7" s="1516" t="s">
        <v>44</v>
      </c>
      <c r="X7" s="1516" t="s">
        <v>627</v>
      </c>
      <c r="Y7" s="1516" t="s">
        <v>52</v>
      </c>
      <c r="Z7" s="1516" t="s">
        <v>54</v>
      </c>
      <c r="AA7" s="1517" t="s">
        <v>56</v>
      </c>
    </row>
    <row r="8" spans="2:27" x14ac:dyDescent="0.25">
      <c r="B8" t="s">
        <v>681</v>
      </c>
      <c r="C8" t="s">
        <v>406</v>
      </c>
      <c r="D8" t="s">
        <v>2858</v>
      </c>
      <c r="E8" t="s">
        <v>2833</v>
      </c>
      <c r="F8" t="s">
        <v>2832</v>
      </c>
      <c r="G8" s="15">
        <f ca="1">IF(OFFSET(тФакЧасове[[#This Row],[полеФакултет]],-1,0)=тФакЧасове[[#This Row],[полеФакултет]],N(OFFSET(тФакЧасове[[#This Row],[№]],-1,0))+1,1)</f>
        <v>1</v>
      </c>
      <c r="H8" s="1932">
        <f t="shared" ref="H8:W8" ca="1" si="0">SUMIF(INDIRECT($E8),H$7,INDIRECT($F8))</f>
        <v>0</v>
      </c>
      <c r="I8" s="1932">
        <f t="shared" ca="1" si="0"/>
        <v>0</v>
      </c>
      <c r="J8" s="1932">
        <f t="shared" ca="1" si="0"/>
        <v>0</v>
      </c>
      <c r="K8" s="1932">
        <f t="shared" ca="1" si="0"/>
        <v>0</v>
      </c>
      <c r="L8" s="1932">
        <f t="shared" ca="1" si="0"/>
        <v>0</v>
      </c>
      <c r="M8" s="1932">
        <f t="shared" ca="1" si="0"/>
        <v>0</v>
      </c>
      <c r="N8" s="1932">
        <f t="shared" ca="1" si="0"/>
        <v>0</v>
      </c>
      <c r="O8" s="1932">
        <f t="shared" ca="1" si="0"/>
        <v>0</v>
      </c>
      <c r="P8" s="1932">
        <f t="shared" ca="1" si="0"/>
        <v>0</v>
      </c>
      <c r="Q8" s="1932">
        <f t="shared" ca="1" si="0"/>
        <v>0</v>
      </c>
      <c r="R8" s="1932">
        <f t="shared" ca="1" si="0"/>
        <v>0</v>
      </c>
      <c r="S8" s="1932">
        <f t="shared" ca="1" si="0"/>
        <v>0</v>
      </c>
      <c r="T8" s="1932">
        <f t="shared" ca="1" si="0"/>
        <v>0</v>
      </c>
      <c r="U8" s="1932">
        <f t="shared" ca="1" si="0"/>
        <v>0</v>
      </c>
      <c r="V8" s="1932">
        <f t="shared" ca="1" si="0"/>
        <v>0</v>
      </c>
      <c r="W8" s="1932">
        <f t="shared" ca="1" si="0"/>
        <v>0</v>
      </c>
      <c r="X8" s="1932">
        <f t="shared" ref="I8:AA11" ca="1" si="1">SUMIF(INDIRECT($E8),X$7,INDIRECT($F8))</f>
        <v>0</v>
      </c>
      <c r="Y8" s="1932">
        <f t="shared" ca="1" si="1"/>
        <v>0</v>
      </c>
      <c r="Z8" s="1932">
        <f t="shared" ca="1" si="1"/>
        <v>0</v>
      </c>
      <c r="AA8" s="1932">
        <f t="shared" ca="1" si="1"/>
        <v>0</v>
      </c>
    </row>
    <row r="9" spans="2:27" x14ac:dyDescent="0.25">
      <c r="B9" t="s">
        <v>681</v>
      </c>
      <c r="C9" t="s">
        <v>406</v>
      </c>
      <c r="D9" t="s">
        <v>2858</v>
      </c>
      <c r="E9" t="s">
        <v>2833</v>
      </c>
      <c r="F9" t="s">
        <v>2831</v>
      </c>
      <c r="G9" s="15">
        <f ca="1">IF(OFFSET(тФакЧасове[[#This Row],[полеФакултет]],-1,0)=тФакЧасове[[#This Row],[полеФакултет]],N(OFFSET(тФакЧасове[[#This Row],[№]],-1,0))+1,1)</f>
        <v>2</v>
      </c>
      <c r="H9" s="1932">
        <f ca="1">SUMIF(INDIRECT($E9),H$7,INDIRECT($F9))</f>
        <v>0</v>
      </c>
      <c r="I9" s="1932">
        <f t="shared" ca="1" si="1"/>
        <v>0</v>
      </c>
      <c r="J9" s="1932">
        <f t="shared" ca="1" si="1"/>
        <v>0</v>
      </c>
      <c r="K9" s="1932">
        <f t="shared" ca="1" si="1"/>
        <v>0</v>
      </c>
      <c r="L9" s="1932">
        <f t="shared" ca="1" si="1"/>
        <v>0</v>
      </c>
      <c r="M9" s="1932">
        <f t="shared" ca="1" si="1"/>
        <v>0</v>
      </c>
      <c r="N9" s="1932">
        <f t="shared" ca="1" si="1"/>
        <v>0</v>
      </c>
      <c r="O9" s="1932">
        <f t="shared" ca="1" si="1"/>
        <v>0</v>
      </c>
      <c r="P9" s="1932">
        <f t="shared" ca="1" si="1"/>
        <v>0</v>
      </c>
      <c r="Q9" s="1932">
        <f t="shared" ca="1" si="1"/>
        <v>0</v>
      </c>
      <c r="R9" s="1932">
        <f t="shared" ca="1" si="1"/>
        <v>0</v>
      </c>
      <c r="S9" s="1932">
        <f t="shared" ca="1" si="1"/>
        <v>0</v>
      </c>
      <c r="T9" s="1932">
        <f t="shared" ca="1" si="1"/>
        <v>0</v>
      </c>
      <c r="U9" s="1932">
        <f t="shared" ca="1" si="1"/>
        <v>0</v>
      </c>
      <c r="V9" s="1932">
        <f t="shared" ca="1" si="1"/>
        <v>0</v>
      </c>
      <c r="W9" s="1932">
        <f t="shared" ca="1" si="1"/>
        <v>0</v>
      </c>
      <c r="X9" s="1932">
        <f t="shared" ca="1" si="1"/>
        <v>0</v>
      </c>
      <c r="Y9" s="1932">
        <f t="shared" ca="1" si="1"/>
        <v>0</v>
      </c>
      <c r="Z9" s="1932">
        <f t="shared" ca="1" si="1"/>
        <v>0</v>
      </c>
      <c r="AA9" s="1932">
        <f t="shared" ca="1" si="1"/>
        <v>0</v>
      </c>
    </row>
    <row r="10" spans="2:27" x14ac:dyDescent="0.25">
      <c r="B10" t="s">
        <v>681</v>
      </c>
      <c r="C10" t="s">
        <v>406</v>
      </c>
      <c r="D10" t="s">
        <v>2858</v>
      </c>
      <c r="E10" t="s">
        <v>2833</v>
      </c>
      <c r="F10" s="1515" t="s">
        <v>2835</v>
      </c>
      <c r="G10" s="1521">
        <f ca="1">IF(OFFSET(тФакЧасове[[#This Row],[полеФакултет]],-1,0)=тФакЧасове[[#This Row],[полеФакултет]],N(OFFSET(тФакЧасове[[#This Row],[№]],-1,0))+1,1)</f>
        <v>3</v>
      </c>
      <c r="H10" s="1932">
        <f ca="1">SUMIF(INDIRECT($E10),H$7,INDIRECT($F10))</f>
        <v>0</v>
      </c>
      <c r="I10" s="1932">
        <f t="shared" ca="1" si="1"/>
        <v>0</v>
      </c>
      <c r="J10" s="1932">
        <f t="shared" ca="1" si="1"/>
        <v>0</v>
      </c>
      <c r="K10" s="1932">
        <f t="shared" ca="1" si="1"/>
        <v>0</v>
      </c>
      <c r="L10" s="1932">
        <f t="shared" ca="1" si="1"/>
        <v>0</v>
      </c>
      <c r="M10" s="1932">
        <f t="shared" ca="1" si="1"/>
        <v>0</v>
      </c>
      <c r="N10" s="1932">
        <f t="shared" ca="1" si="1"/>
        <v>0</v>
      </c>
      <c r="O10" s="1932">
        <f t="shared" ca="1" si="1"/>
        <v>0</v>
      </c>
      <c r="P10" s="1932">
        <f t="shared" ca="1" si="1"/>
        <v>0</v>
      </c>
      <c r="Q10" s="1932">
        <f t="shared" ca="1" si="1"/>
        <v>0</v>
      </c>
      <c r="R10" s="1932">
        <f t="shared" ca="1" si="1"/>
        <v>0</v>
      </c>
      <c r="S10" s="1932">
        <f t="shared" ca="1" si="1"/>
        <v>0</v>
      </c>
      <c r="T10" s="1932">
        <f t="shared" ca="1" si="1"/>
        <v>0</v>
      </c>
      <c r="U10" s="1932">
        <f t="shared" ca="1" si="1"/>
        <v>0</v>
      </c>
      <c r="V10" s="1932">
        <f t="shared" ca="1" si="1"/>
        <v>0</v>
      </c>
      <c r="W10" s="1932">
        <f t="shared" ca="1" si="1"/>
        <v>0</v>
      </c>
      <c r="X10" s="1932">
        <f t="shared" ca="1" si="1"/>
        <v>0</v>
      </c>
      <c r="Y10" s="1932">
        <f t="shared" ca="1" si="1"/>
        <v>0</v>
      </c>
      <c r="Z10" s="1932">
        <f t="shared" ca="1" si="1"/>
        <v>0</v>
      </c>
      <c r="AA10" s="1932">
        <f t="shared" ca="1" si="1"/>
        <v>0</v>
      </c>
    </row>
    <row r="11" spans="2:27" x14ac:dyDescent="0.25">
      <c r="B11" t="s">
        <v>681</v>
      </c>
      <c r="C11" t="s">
        <v>406</v>
      </c>
      <c r="D11" t="s">
        <v>2858</v>
      </c>
      <c r="E11" t="s">
        <v>2833</v>
      </c>
      <c r="F11" s="1515" t="s">
        <v>2836</v>
      </c>
      <c r="G11" s="1521">
        <f ca="1">IF(OFFSET(тФакЧасове[[#This Row],[полеФакултет]],-1,0)=тФакЧасове[[#This Row],[полеФакултет]],N(OFFSET(тФакЧасове[[#This Row],[№]],-1,0))+1,1)</f>
        <v>4</v>
      </c>
      <c r="H11" s="1932">
        <f ca="1">SUMIF(INDIRECT($E11),H$7,INDIRECT($F11))</f>
        <v>0</v>
      </c>
      <c r="I11" s="1932">
        <f t="shared" ca="1" si="1"/>
        <v>0</v>
      </c>
      <c r="J11" s="1932">
        <f t="shared" ca="1" si="1"/>
        <v>0</v>
      </c>
      <c r="K11" s="1932">
        <f t="shared" ca="1" si="1"/>
        <v>0</v>
      </c>
      <c r="L11" s="1932">
        <f t="shared" ca="1" si="1"/>
        <v>0</v>
      </c>
      <c r="M11" s="1932">
        <f t="shared" ca="1" si="1"/>
        <v>0</v>
      </c>
      <c r="N11" s="1932">
        <f t="shared" ca="1" si="1"/>
        <v>0</v>
      </c>
      <c r="O11" s="1932">
        <f t="shared" ca="1" si="1"/>
        <v>0</v>
      </c>
      <c r="P11" s="1932">
        <f t="shared" ca="1" si="1"/>
        <v>0</v>
      </c>
      <c r="Q11" s="1932">
        <f t="shared" ca="1" si="1"/>
        <v>0</v>
      </c>
      <c r="R11" s="1932">
        <f t="shared" ca="1" si="1"/>
        <v>0</v>
      </c>
      <c r="S11" s="1932">
        <f t="shared" ca="1" si="1"/>
        <v>0</v>
      </c>
      <c r="T11" s="1932">
        <f t="shared" ca="1" si="1"/>
        <v>0</v>
      </c>
      <c r="U11" s="1932">
        <f t="shared" ca="1" si="1"/>
        <v>0</v>
      </c>
      <c r="V11" s="1932">
        <f t="shared" ca="1" si="1"/>
        <v>0</v>
      </c>
      <c r="W11" s="1932">
        <f t="shared" ca="1" si="1"/>
        <v>0</v>
      </c>
      <c r="X11" s="1932">
        <f t="shared" ca="1" si="1"/>
        <v>0</v>
      </c>
      <c r="Y11" s="1932">
        <f t="shared" ca="1" si="1"/>
        <v>0</v>
      </c>
      <c r="Z11" s="1932">
        <f t="shared" ca="1" si="1"/>
        <v>0</v>
      </c>
      <c r="AA11" s="1932">
        <f t="shared" ca="1" si="1"/>
        <v>0</v>
      </c>
    </row>
    <row r="12" spans="2:27" x14ac:dyDescent="0.25">
      <c r="B12" t="s">
        <v>681</v>
      </c>
      <c r="C12" t="s">
        <v>406</v>
      </c>
      <c r="D12" t="s">
        <v>2858</v>
      </c>
      <c r="E12" t="s">
        <v>2833</v>
      </c>
      <c r="F12" s="1515" t="s">
        <v>2834</v>
      </c>
      <c r="G12" s="1521">
        <f ca="1">IF(OFFSET(тФакЧасове[[#This Row],[полеФакултет]],-1,0)=тФакЧасове[[#This Row],[полеФакултет]],N(OFFSET(тФакЧасове[[#This Row],[№]],-1,0))+1,1)</f>
        <v>5</v>
      </c>
      <c r="H12" s="1932">
        <f ca="1">SUMIF(INDIRECT($E12),H$7,INDIRECT($F12))*5</f>
        <v>0</v>
      </c>
      <c r="I12" s="1932">
        <f t="shared" ref="I12:AA12" ca="1" si="2">SUMIF(INDIRECT($E12),I$7,INDIRECT($F12))*5</f>
        <v>0</v>
      </c>
      <c r="J12" s="1932">
        <f t="shared" ca="1" si="2"/>
        <v>0</v>
      </c>
      <c r="K12" s="1932">
        <f t="shared" ca="1" si="2"/>
        <v>0</v>
      </c>
      <c r="L12" s="1932">
        <f t="shared" ca="1" si="2"/>
        <v>0</v>
      </c>
      <c r="M12" s="1932">
        <f t="shared" ca="1" si="2"/>
        <v>0</v>
      </c>
      <c r="N12" s="1932">
        <f t="shared" ca="1" si="2"/>
        <v>0</v>
      </c>
      <c r="O12" s="1932">
        <f t="shared" ca="1" si="2"/>
        <v>0</v>
      </c>
      <c r="P12" s="1932">
        <f t="shared" ca="1" si="2"/>
        <v>0</v>
      </c>
      <c r="Q12" s="1932">
        <f t="shared" ca="1" si="2"/>
        <v>0</v>
      </c>
      <c r="R12" s="1932">
        <f t="shared" ca="1" si="2"/>
        <v>0</v>
      </c>
      <c r="S12" s="1932">
        <f t="shared" ca="1" si="2"/>
        <v>0</v>
      </c>
      <c r="T12" s="1932">
        <f t="shared" ca="1" si="2"/>
        <v>0</v>
      </c>
      <c r="U12" s="1932">
        <f t="shared" ca="1" si="2"/>
        <v>0</v>
      </c>
      <c r="V12" s="1932">
        <f t="shared" ca="1" si="2"/>
        <v>0</v>
      </c>
      <c r="W12" s="1932">
        <f t="shared" ca="1" si="2"/>
        <v>0</v>
      </c>
      <c r="X12" s="1932">
        <f t="shared" ca="1" si="2"/>
        <v>0</v>
      </c>
      <c r="Y12" s="1932">
        <f t="shared" ca="1" si="2"/>
        <v>0</v>
      </c>
      <c r="Z12" s="1932">
        <f t="shared" ca="1" si="2"/>
        <v>0</v>
      </c>
      <c r="AA12" s="1932">
        <f t="shared" ca="1" si="2"/>
        <v>0</v>
      </c>
    </row>
    <row r="13" spans="2:27" x14ac:dyDescent="0.25">
      <c r="B13" s="1518" t="s">
        <v>681</v>
      </c>
      <c r="C13" s="1518" t="s">
        <v>407</v>
      </c>
      <c r="D13" s="1518" t="s">
        <v>2858</v>
      </c>
      <c r="E13" s="1518" t="s">
        <v>2840</v>
      </c>
      <c r="F13" s="1519" t="s">
        <v>2841</v>
      </c>
      <c r="G13" s="1520">
        <f ca="1">IF(OFFSET(тФакЧасове[[#This Row],[полеФакултет]],-1,0)=тФакЧасове[[#This Row],[полеФакултет]],N(OFFSET(тФакЧасове[[#This Row],[№]],-1,0))+1,1)</f>
        <v>1</v>
      </c>
      <c r="H13" s="1933">
        <f t="shared" ref="H13:W17" ca="1" si="3">SUMIF(INDIRECT($E13),H$7,INDIRECT($F13))</f>
        <v>0</v>
      </c>
      <c r="I13" s="1933">
        <f t="shared" ca="1" si="3"/>
        <v>0</v>
      </c>
      <c r="J13" s="1933">
        <f t="shared" ca="1" si="3"/>
        <v>0</v>
      </c>
      <c r="K13" s="1933">
        <f t="shared" ca="1" si="3"/>
        <v>0</v>
      </c>
      <c r="L13" s="1933">
        <f t="shared" ca="1" si="3"/>
        <v>0</v>
      </c>
      <c r="M13" s="1933">
        <f t="shared" ca="1" si="3"/>
        <v>0</v>
      </c>
      <c r="N13" s="1933">
        <f t="shared" ca="1" si="3"/>
        <v>0</v>
      </c>
      <c r="O13" s="1933">
        <f t="shared" ca="1" si="3"/>
        <v>0</v>
      </c>
      <c r="P13" s="1933">
        <f t="shared" ca="1" si="3"/>
        <v>0</v>
      </c>
      <c r="Q13" s="1933">
        <f t="shared" ca="1" si="3"/>
        <v>0</v>
      </c>
      <c r="R13" s="1933">
        <f t="shared" ca="1" si="3"/>
        <v>0</v>
      </c>
      <c r="S13" s="1933">
        <f t="shared" ca="1" si="3"/>
        <v>0</v>
      </c>
      <c r="T13" s="1933">
        <f t="shared" ca="1" si="3"/>
        <v>0</v>
      </c>
      <c r="U13" s="1933">
        <f t="shared" ca="1" si="3"/>
        <v>0</v>
      </c>
      <c r="V13" s="1933">
        <f t="shared" ca="1" si="3"/>
        <v>0</v>
      </c>
      <c r="W13" s="1933">
        <f t="shared" ca="1" si="3"/>
        <v>0</v>
      </c>
      <c r="X13" s="1933">
        <f t="shared" ref="X13:AA21" ca="1" si="4">SUMIF(INDIRECT($E13),X$7,INDIRECT($F13))</f>
        <v>0</v>
      </c>
      <c r="Y13" s="1933">
        <f t="shared" ca="1" si="4"/>
        <v>0</v>
      </c>
      <c r="Z13" s="1933">
        <f t="shared" ca="1" si="4"/>
        <v>0</v>
      </c>
      <c r="AA13" s="1933">
        <f t="shared" ca="1" si="4"/>
        <v>0</v>
      </c>
    </row>
    <row r="14" spans="2:27" x14ac:dyDescent="0.25">
      <c r="B14" s="1518" t="s">
        <v>681</v>
      </c>
      <c r="C14" s="1518" t="s">
        <v>407</v>
      </c>
      <c r="D14" s="1518" t="s">
        <v>2858</v>
      </c>
      <c r="E14" s="1518" t="s">
        <v>2840</v>
      </c>
      <c r="F14" s="1519" t="s">
        <v>2842</v>
      </c>
      <c r="G14" s="1520">
        <f ca="1">IF(OFFSET(тФакЧасове[[#This Row],[полеФакултет]],-1,0)=тФакЧасове[[#This Row],[полеФакултет]],N(OFFSET(тФакЧасове[[#This Row],[№]],-1,0))+1,1)</f>
        <v>2</v>
      </c>
      <c r="H14" s="1933">
        <f t="shared" ca="1" si="3"/>
        <v>0</v>
      </c>
      <c r="I14" s="1933">
        <f t="shared" ref="I14:W21" ca="1" si="5">SUMIF(INDIRECT($E14),I$7,INDIRECT($F14))</f>
        <v>0</v>
      </c>
      <c r="J14" s="1933">
        <f t="shared" ca="1" si="5"/>
        <v>0</v>
      </c>
      <c r="K14" s="1933">
        <f t="shared" ca="1" si="5"/>
        <v>0</v>
      </c>
      <c r="L14" s="1933">
        <f t="shared" ca="1" si="5"/>
        <v>0</v>
      </c>
      <c r="M14" s="1933">
        <f t="shared" ca="1" si="5"/>
        <v>0</v>
      </c>
      <c r="N14" s="1933">
        <f t="shared" ca="1" si="5"/>
        <v>0</v>
      </c>
      <c r="O14" s="1933">
        <f t="shared" ca="1" si="5"/>
        <v>0</v>
      </c>
      <c r="P14" s="1933">
        <f t="shared" ca="1" si="5"/>
        <v>0</v>
      </c>
      <c r="Q14" s="1933">
        <f t="shared" ca="1" si="5"/>
        <v>0</v>
      </c>
      <c r="R14" s="1933">
        <f t="shared" ca="1" si="5"/>
        <v>0</v>
      </c>
      <c r="S14" s="1933">
        <f t="shared" ca="1" si="5"/>
        <v>0</v>
      </c>
      <c r="T14" s="1933">
        <f t="shared" ca="1" si="5"/>
        <v>0</v>
      </c>
      <c r="U14" s="1933">
        <f t="shared" ca="1" si="5"/>
        <v>0</v>
      </c>
      <c r="V14" s="1933">
        <f t="shared" ca="1" si="5"/>
        <v>0</v>
      </c>
      <c r="W14" s="1933">
        <f t="shared" ca="1" si="5"/>
        <v>0</v>
      </c>
      <c r="X14" s="1933">
        <f t="shared" ca="1" si="4"/>
        <v>0</v>
      </c>
      <c r="Y14" s="1933">
        <f t="shared" ca="1" si="4"/>
        <v>0</v>
      </c>
      <c r="Z14" s="1933">
        <f t="shared" ca="1" si="4"/>
        <v>0</v>
      </c>
      <c r="AA14" s="1933">
        <f t="shared" ca="1" si="4"/>
        <v>0</v>
      </c>
    </row>
    <row r="15" spans="2:27" x14ac:dyDescent="0.25">
      <c r="B15" s="1518" t="s">
        <v>681</v>
      </c>
      <c r="C15" s="1518" t="s">
        <v>407</v>
      </c>
      <c r="D15" s="1518" t="s">
        <v>2858</v>
      </c>
      <c r="E15" s="1518" t="s">
        <v>2840</v>
      </c>
      <c r="F15" s="1519" t="s">
        <v>2843</v>
      </c>
      <c r="G15" s="1522">
        <f ca="1">IF(OFFSET(тФакЧасове[[#This Row],[полеФакултет]],-1,0)=тФакЧасове[[#This Row],[полеФакултет]],N(OFFSET(тФакЧасове[[#This Row],[№]],-1,0))+1,1)</f>
        <v>3</v>
      </c>
      <c r="H15" s="1933">
        <f t="shared" ca="1" si="3"/>
        <v>0</v>
      </c>
      <c r="I15" s="1933">
        <f t="shared" ca="1" si="5"/>
        <v>0</v>
      </c>
      <c r="J15" s="1933">
        <f t="shared" ca="1" si="5"/>
        <v>0</v>
      </c>
      <c r="K15" s="1933">
        <f t="shared" ca="1" si="5"/>
        <v>0</v>
      </c>
      <c r="L15" s="1933">
        <f t="shared" ca="1" si="5"/>
        <v>0</v>
      </c>
      <c r="M15" s="1933">
        <f t="shared" ca="1" si="5"/>
        <v>0</v>
      </c>
      <c r="N15" s="1933">
        <f t="shared" ca="1" si="5"/>
        <v>0</v>
      </c>
      <c r="O15" s="1933">
        <f t="shared" ca="1" si="5"/>
        <v>0</v>
      </c>
      <c r="P15" s="1933">
        <f t="shared" ca="1" si="5"/>
        <v>0</v>
      </c>
      <c r="Q15" s="1933">
        <f t="shared" ca="1" si="5"/>
        <v>0</v>
      </c>
      <c r="R15" s="1933">
        <f t="shared" ca="1" si="5"/>
        <v>0</v>
      </c>
      <c r="S15" s="1933">
        <f t="shared" ca="1" si="5"/>
        <v>0</v>
      </c>
      <c r="T15" s="1933">
        <f t="shared" ca="1" si="5"/>
        <v>0</v>
      </c>
      <c r="U15" s="1933">
        <f t="shared" ca="1" si="5"/>
        <v>0</v>
      </c>
      <c r="V15" s="1933">
        <f t="shared" ca="1" si="5"/>
        <v>0</v>
      </c>
      <c r="W15" s="1933">
        <f t="shared" ca="1" si="5"/>
        <v>0</v>
      </c>
      <c r="X15" s="1933">
        <f t="shared" ca="1" si="4"/>
        <v>0</v>
      </c>
      <c r="Y15" s="1933">
        <f t="shared" ca="1" si="4"/>
        <v>0</v>
      </c>
      <c r="Z15" s="1933">
        <f t="shared" ca="1" si="4"/>
        <v>0</v>
      </c>
      <c r="AA15" s="1933">
        <f t="shared" ca="1" si="4"/>
        <v>0</v>
      </c>
    </row>
    <row r="16" spans="2:27" x14ac:dyDescent="0.25">
      <c r="B16" s="1518" t="s">
        <v>681</v>
      </c>
      <c r="C16" s="1518" t="s">
        <v>407</v>
      </c>
      <c r="D16" s="1518" t="s">
        <v>2858</v>
      </c>
      <c r="E16" s="1518" t="s">
        <v>2840</v>
      </c>
      <c r="F16" s="1519" t="s">
        <v>2844</v>
      </c>
      <c r="G16" s="1522">
        <f ca="1">IF(OFFSET(тФакЧасове[[#This Row],[полеФакултет]],-1,0)=тФакЧасове[[#This Row],[полеФакултет]],N(OFFSET(тФакЧасове[[#This Row],[№]],-1,0))+1,1)</f>
        <v>4</v>
      </c>
      <c r="H16" s="1933">
        <f t="shared" ca="1" si="3"/>
        <v>0</v>
      </c>
      <c r="I16" s="1933">
        <f t="shared" ca="1" si="5"/>
        <v>0</v>
      </c>
      <c r="J16" s="1933">
        <f t="shared" ca="1" si="5"/>
        <v>0</v>
      </c>
      <c r="K16" s="1933">
        <f t="shared" ca="1" si="5"/>
        <v>0</v>
      </c>
      <c r="L16" s="1933">
        <f t="shared" ca="1" si="5"/>
        <v>0</v>
      </c>
      <c r="M16" s="1933">
        <f t="shared" ca="1" si="5"/>
        <v>0</v>
      </c>
      <c r="N16" s="1933">
        <f t="shared" ca="1" si="5"/>
        <v>0</v>
      </c>
      <c r="O16" s="1933">
        <f t="shared" ca="1" si="5"/>
        <v>0</v>
      </c>
      <c r="P16" s="1933">
        <f t="shared" ca="1" si="5"/>
        <v>0</v>
      </c>
      <c r="Q16" s="1933">
        <f t="shared" ca="1" si="5"/>
        <v>0</v>
      </c>
      <c r="R16" s="1933">
        <f t="shared" ca="1" si="5"/>
        <v>0</v>
      </c>
      <c r="S16" s="1933">
        <f t="shared" ca="1" si="5"/>
        <v>0</v>
      </c>
      <c r="T16" s="1933">
        <f t="shared" ca="1" si="5"/>
        <v>0</v>
      </c>
      <c r="U16" s="1933">
        <f t="shared" ca="1" si="5"/>
        <v>0</v>
      </c>
      <c r="V16" s="1933">
        <f t="shared" ca="1" si="5"/>
        <v>0</v>
      </c>
      <c r="W16" s="1933">
        <f t="shared" ca="1" si="5"/>
        <v>0</v>
      </c>
      <c r="X16" s="1933">
        <f t="shared" ca="1" si="4"/>
        <v>0</v>
      </c>
      <c r="Y16" s="1933">
        <f t="shared" ca="1" si="4"/>
        <v>0</v>
      </c>
      <c r="Z16" s="1933">
        <f t="shared" ca="1" si="4"/>
        <v>0</v>
      </c>
      <c r="AA16" s="1933">
        <f t="shared" ca="1" si="4"/>
        <v>0</v>
      </c>
    </row>
    <row r="17" spans="2:27" x14ac:dyDescent="0.25">
      <c r="B17" s="1518" t="s">
        <v>681</v>
      </c>
      <c r="C17" s="1518" t="s">
        <v>407</v>
      </c>
      <c r="D17" s="1518" t="s">
        <v>2858</v>
      </c>
      <c r="E17" s="1518" t="s">
        <v>2840</v>
      </c>
      <c r="F17" s="1519" t="s">
        <v>2845</v>
      </c>
      <c r="G17" s="1522">
        <f ca="1">IF(OFFSET(тФакЧасове[[#This Row],[полеФакултет]],-1,0)=тФакЧасове[[#This Row],[полеФакултет]],N(OFFSET(тФакЧасове[[#This Row],[№]],-1,0))+1,1)</f>
        <v>5</v>
      </c>
      <c r="H17" s="1933">
        <f t="shared" ca="1" si="3"/>
        <v>0</v>
      </c>
      <c r="I17" s="1933">
        <f t="shared" ca="1" si="5"/>
        <v>0</v>
      </c>
      <c r="J17" s="1933">
        <f t="shared" ca="1" si="5"/>
        <v>0</v>
      </c>
      <c r="K17" s="1933">
        <f t="shared" ca="1" si="5"/>
        <v>0</v>
      </c>
      <c r="L17" s="1933">
        <f t="shared" ca="1" si="5"/>
        <v>0</v>
      </c>
      <c r="M17" s="1933">
        <f t="shared" ca="1" si="5"/>
        <v>0</v>
      </c>
      <c r="N17" s="1933">
        <f t="shared" ca="1" si="5"/>
        <v>0</v>
      </c>
      <c r="O17" s="1933">
        <f t="shared" ca="1" si="5"/>
        <v>0</v>
      </c>
      <c r="P17" s="1933">
        <f t="shared" ca="1" si="5"/>
        <v>0</v>
      </c>
      <c r="Q17" s="1933">
        <f t="shared" ca="1" si="5"/>
        <v>0</v>
      </c>
      <c r="R17" s="1933">
        <f t="shared" ca="1" si="5"/>
        <v>0</v>
      </c>
      <c r="S17" s="1933">
        <f t="shared" ca="1" si="5"/>
        <v>0</v>
      </c>
      <c r="T17" s="1933">
        <f t="shared" ca="1" si="5"/>
        <v>0</v>
      </c>
      <c r="U17" s="1933">
        <f t="shared" ca="1" si="5"/>
        <v>0</v>
      </c>
      <c r="V17" s="1933">
        <f t="shared" ca="1" si="5"/>
        <v>0</v>
      </c>
      <c r="W17" s="1933">
        <f t="shared" ca="1" si="5"/>
        <v>0</v>
      </c>
      <c r="X17" s="1933">
        <f t="shared" ca="1" si="4"/>
        <v>0</v>
      </c>
      <c r="Y17" s="1933">
        <f t="shared" ca="1" si="4"/>
        <v>0</v>
      </c>
      <c r="Z17" s="1933">
        <f t="shared" ca="1" si="4"/>
        <v>0</v>
      </c>
      <c r="AA17" s="1933">
        <f t="shared" ca="1" si="4"/>
        <v>0</v>
      </c>
    </row>
    <row r="18" spans="2:27" x14ac:dyDescent="0.25">
      <c r="B18" t="s">
        <v>682</v>
      </c>
      <c r="C18" t="s">
        <v>406</v>
      </c>
      <c r="D18" t="s">
        <v>2858</v>
      </c>
      <c r="E18" t="s">
        <v>2846</v>
      </c>
      <c r="F18" t="s">
        <v>2847</v>
      </c>
      <c r="G18" s="15">
        <f ca="1">IF(OFFSET(тФакЧасове[[#This Row],[полеФакултет]],-1,0)=тФакЧасове[[#This Row],[полеФакултет]],N(OFFSET(тФакЧасове[[#This Row],[№]],-1,0))+1,1)</f>
        <v>1</v>
      </c>
      <c r="H18" s="1932">
        <f ca="1">SUMIF(INDIRECT($E18),H$7,INDIRECT($F18))</f>
        <v>0</v>
      </c>
      <c r="I18" s="1932">
        <f t="shared" ca="1" si="5"/>
        <v>0</v>
      </c>
      <c r="J18" s="1932">
        <f t="shared" ca="1" si="5"/>
        <v>0</v>
      </c>
      <c r="K18" s="1932">
        <f t="shared" ca="1" si="5"/>
        <v>0</v>
      </c>
      <c r="L18" s="1932">
        <f t="shared" ca="1" si="5"/>
        <v>0</v>
      </c>
      <c r="M18" s="1932">
        <f t="shared" ca="1" si="5"/>
        <v>0</v>
      </c>
      <c r="N18" s="1932">
        <f t="shared" ca="1" si="5"/>
        <v>0</v>
      </c>
      <c r="O18" s="1932">
        <f t="shared" ca="1" si="5"/>
        <v>0</v>
      </c>
      <c r="P18" s="1932">
        <f t="shared" ca="1" si="5"/>
        <v>0</v>
      </c>
      <c r="Q18" s="1932">
        <f t="shared" ca="1" si="5"/>
        <v>0</v>
      </c>
      <c r="R18" s="1932">
        <f t="shared" ca="1" si="5"/>
        <v>0</v>
      </c>
      <c r="S18" s="1932">
        <f t="shared" ca="1" si="5"/>
        <v>0</v>
      </c>
      <c r="T18" s="1932">
        <f t="shared" ca="1" si="5"/>
        <v>0</v>
      </c>
      <c r="U18" s="1932">
        <f t="shared" ca="1" si="5"/>
        <v>0</v>
      </c>
      <c r="V18" s="1932">
        <f t="shared" ca="1" si="5"/>
        <v>0</v>
      </c>
      <c r="W18" s="1932">
        <f t="shared" ca="1" si="5"/>
        <v>0</v>
      </c>
      <c r="X18" s="1932">
        <f t="shared" ca="1" si="4"/>
        <v>0</v>
      </c>
      <c r="Y18" s="1932">
        <f t="shared" ca="1" si="4"/>
        <v>0</v>
      </c>
      <c r="Z18" s="1932">
        <f t="shared" ca="1" si="4"/>
        <v>0</v>
      </c>
      <c r="AA18" s="1932">
        <f t="shared" ca="1" si="4"/>
        <v>0</v>
      </c>
    </row>
    <row r="19" spans="2:27" x14ac:dyDescent="0.25">
      <c r="B19" t="s">
        <v>682</v>
      </c>
      <c r="C19" t="s">
        <v>406</v>
      </c>
      <c r="D19" t="s">
        <v>2858</v>
      </c>
      <c r="E19" t="s">
        <v>2846</v>
      </c>
      <c r="F19" t="s">
        <v>2848</v>
      </c>
      <c r="G19" s="15">
        <f ca="1">IF(OFFSET(тФакЧасове[[#This Row],[полеФакултет]],-1,0)=тФакЧасове[[#This Row],[полеФакултет]],N(OFFSET(тФакЧасове[[#This Row],[№]],-1,0))+1,1)</f>
        <v>2</v>
      </c>
      <c r="H19" s="1932">
        <f ca="1">SUMIF(INDIRECT($E19),H$7,INDIRECT($F19))</f>
        <v>0</v>
      </c>
      <c r="I19" s="1932">
        <f t="shared" ca="1" si="5"/>
        <v>0</v>
      </c>
      <c r="J19" s="1932">
        <f t="shared" ca="1" si="5"/>
        <v>0</v>
      </c>
      <c r="K19" s="1932">
        <f t="shared" ca="1" si="5"/>
        <v>0</v>
      </c>
      <c r="L19" s="1932">
        <f t="shared" ca="1" si="5"/>
        <v>0</v>
      </c>
      <c r="M19" s="1932">
        <f t="shared" ca="1" si="5"/>
        <v>0</v>
      </c>
      <c r="N19" s="1932">
        <f t="shared" ca="1" si="5"/>
        <v>0</v>
      </c>
      <c r="O19" s="1932">
        <f t="shared" ca="1" si="5"/>
        <v>0</v>
      </c>
      <c r="P19" s="1932">
        <f t="shared" ca="1" si="5"/>
        <v>0</v>
      </c>
      <c r="Q19" s="1932">
        <f t="shared" ca="1" si="5"/>
        <v>0</v>
      </c>
      <c r="R19" s="1932">
        <f t="shared" ca="1" si="5"/>
        <v>0</v>
      </c>
      <c r="S19" s="1932">
        <f t="shared" ca="1" si="5"/>
        <v>0</v>
      </c>
      <c r="T19" s="1932">
        <f t="shared" ca="1" si="5"/>
        <v>0</v>
      </c>
      <c r="U19" s="1932">
        <f t="shared" ca="1" si="5"/>
        <v>0</v>
      </c>
      <c r="V19" s="1932">
        <f t="shared" ca="1" si="5"/>
        <v>0</v>
      </c>
      <c r="W19" s="1932">
        <f t="shared" ca="1" si="5"/>
        <v>0</v>
      </c>
      <c r="X19" s="1932">
        <f t="shared" ca="1" si="4"/>
        <v>0</v>
      </c>
      <c r="Y19" s="1932">
        <f t="shared" ca="1" si="4"/>
        <v>0</v>
      </c>
      <c r="Z19" s="1932">
        <f t="shared" ca="1" si="4"/>
        <v>0</v>
      </c>
      <c r="AA19" s="1932">
        <f t="shared" ca="1" si="4"/>
        <v>0</v>
      </c>
    </row>
    <row r="20" spans="2:27" x14ac:dyDescent="0.25">
      <c r="B20" t="s">
        <v>682</v>
      </c>
      <c r="C20" t="s">
        <v>406</v>
      </c>
      <c r="D20" t="s">
        <v>2858</v>
      </c>
      <c r="E20" t="s">
        <v>2846</v>
      </c>
      <c r="F20" s="1515" t="s">
        <v>2849</v>
      </c>
      <c r="G20" s="1521">
        <f ca="1">IF(OFFSET(тФакЧасове[[#This Row],[полеФакултет]],-1,0)=тФакЧасове[[#This Row],[полеФакултет]],N(OFFSET(тФакЧасове[[#This Row],[№]],-1,0))+1,1)</f>
        <v>3</v>
      </c>
      <c r="H20" s="1932">
        <f ca="1">SUMIF(INDIRECT($E20),H$7,INDIRECT($F20))</f>
        <v>0</v>
      </c>
      <c r="I20" s="1932">
        <f t="shared" ca="1" si="5"/>
        <v>0</v>
      </c>
      <c r="J20" s="1932">
        <f t="shared" ca="1" si="5"/>
        <v>0</v>
      </c>
      <c r="K20" s="1932">
        <f t="shared" ca="1" si="5"/>
        <v>0</v>
      </c>
      <c r="L20" s="1932">
        <f t="shared" ca="1" si="5"/>
        <v>0</v>
      </c>
      <c r="M20" s="1932">
        <f t="shared" ca="1" si="5"/>
        <v>0</v>
      </c>
      <c r="N20" s="1932">
        <f t="shared" ca="1" si="5"/>
        <v>0</v>
      </c>
      <c r="O20" s="1932">
        <f t="shared" ca="1" si="5"/>
        <v>0</v>
      </c>
      <c r="P20" s="1932">
        <f t="shared" ca="1" si="5"/>
        <v>0</v>
      </c>
      <c r="Q20" s="1932">
        <f t="shared" ca="1" si="5"/>
        <v>0</v>
      </c>
      <c r="R20" s="1932">
        <f t="shared" ca="1" si="5"/>
        <v>0</v>
      </c>
      <c r="S20" s="1932">
        <f t="shared" ca="1" si="5"/>
        <v>0</v>
      </c>
      <c r="T20" s="1932">
        <f t="shared" ca="1" si="5"/>
        <v>0</v>
      </c>
      <c r="U20" s="1932">
        <f t="shared" ca="1" si="5"/>
        <v>0</v>
      </c>
      <c r="V20" s="1932">
        <f t="shared" ca="1" si="5"/>
        <v>0</v>
      </c>
      <c r="W20" s="1932">
        <f t="shared" ca="1" si="5"/>
        <v>0</v>
      </c>
      <c r="X20" s="1932">
        <f t="shared" ca="1" si="4"/>
        <v>0</v>
      </c>
      <c r="Y20" s="1932">
        <f t="shared" ca="1" si="4"/>
        <v>0</v>
      </c>
      <c r="Z20" s="1932">
        <f t="shared" ca="1" si="4"/>
        <v>0</v>
      </c>
      <c r="AA20" s="1932">
        <f t="shared" ca="1" si="4"/>
        <v>0</v>
      </c>
    </row>
    <row r="21" spans="2:27" x14ac:dyDescent="0.25">
      <c r="B21" t="s">
        <v>682</v>
      </c>
      <c r="C21" t="s">
        <v>406</v>
      </c>
      <c r="D21" t="s">
        <v>2858</v>
      </c>
      <c r="E21" t="s">
        <v>2846</v>
      </c>
      <c r="F21" s="1515" t="s">
        <v>2850</v>
      </c>
      <c r="G21" s="1521">
        <f ca="1">IF(OFFSET(тФакЧасове[[#This Row],[полеФакултет]],-1,0)=тФакЧасове[[#This Row],[полеФакултет]],N(OFFSET(тФакЧасове[[#This Row],[№]],-1,0))+1,1)</f>
        <v>4</v>
      </c>
      <c r="H21" s="1932">
        <f ca="1">SUMIF(INDIRECT($E21),H$7,INDIRECT($F21))</f>
        <v>0</v>
      </c>
      <c r="I21" s="1932">
        <f t="shared" ca="1" si="5"/>
        <v>0</v>
      </c>
      <c r="J21" s="1932">
        <f t="shared" ca="1" si="5"/>
        <v>0</v>
      </c>
      <c r="K21" s="1932">
        <f t="shared" ca="1" si="5"/>
        <v>0</v>
      </c>
      <c r="L21" s="1932">
        <f t="shared" ca="1" si="5"/>
        <v>0</v>
      </c>
      <c r="M21" s="1932">
        <f t="shared" ca="1" si="5"/>
        <v>0</v>
      </c>
      <c r="N21" s="1932">
        <f t="shared" ca="1" si="5"/>
        <v>0</v>
      </c>
      <c r="O21" s="1932">
        <f t="shared" ca="1" si="5"/>
        <v>0</v>
      </c>
      <c r="P21" s="1932">
        <f t="shared" ca="1" si="5"/>
        <v>0</v>
      </c>
      <c r="Q21" s="1932">
        <f t="shared" ca="1" si="5"/>
        <v>0</v>
      </c>
      <c r="R21" s="1932">
        <f t="shared" ca="1" si="5"/>
        <v>0</v>
      </c>
      <c r="S21" s="1932">
        <f t="shared" ca="1" si="5"/>
        <v>0</v>
      </c>
      <c r="T21" s="1932">
        <f t="shared" ca="1" si="5"/>
        <v>0</v>
      </c>
      <c r="U21" s="1932">
        <f t="shared" ca="1" si="5"/>
        <v>0</v>
      </c>
      <c r="V21" s="1932">
        <f t="shared" ca="1" si="5"/>
        <v>0</v>
      </c>
      <c r="W21" s="1932">
        <f t="shared" ca="1" si="5"/>
        <v>0</v>
      </c>
      <c r="X21" s="1932">
        <f t="shared" ca="1" si="4"/>
        <v>0</v>
      </c>
      <c r="Y21" s="1932">
        <f t="shared" ca="1" si="4"/>
        <v>0</v>
      </c>
      <c r="Z21" s="1932">
        <f t="shared" ca="1" si="4"/>
        <v>0</v>
      </c>
      <c r="AA21" s="1932">
        <f t="shared" ca="1" si="4"/>
        <v>0</v>
      </c>
    </row>
    <row r="22" spans="2:27" x14ac:dyDescent="0.25">
      <c r="B22" t="s">
        <v>682</v>
      </c>
      <c r="C22" t="s">
        <v>406</v>
      </c>
      <c r="D22" t="s">
        <v>2858</v>
      </c>
      <c r="E22" t="s">
        <v>2846</v>
      </c>
      <c r="F22" s="1515" t="s">
        <v>2851</v>
      </c>
      <c r="G22" s="1521">
        <f ca="1">IF(OFFSET(тФакЧасове[[#This Row],[полеФакултет]],-1,0)=тФакЧасове[[#This Row],[полеФакултет]],N(OFFSET(тФакЧасове[[#This Row],[№]],-1,0))+1,1)</f>
        <v>5</v>
      </c>
      <c r="H22" s="1932">
        <f ca="1">SUMIF(INDIRECT($E22),H$7,INDIRECT($F22))*5</f>
        <v>0</v>
      </c>
      <c r="I22" s="1932">
        <f t="shared" ref="I22:AA22" ca="1" si="6">SUMIF(INDIRECT($E22),I$7,INDIRECT($F22))*5</f>
        <v>0</v>
      </c>
      <c r="J22" s="1932">
        <f t="shared" ca="1" si="6"/>
        <v>0</v>
      </c>
      <c r="K22" s="1932">
        <f t="shared" ca="1" si="6"/>
        <v>0</v>
      </c>
      <c r="L22" s="1932">
        <f t="shared" ca="1" si="6"/>
        <v>0</v>
      </c>
      <c r="M22" s="1932">
        <f t="shared" ca="1" si="6"/>
        <v>0</v>
      </c>
      <c r="N22" s="1932">
        <f t="shared" ca="1" si="6"/>
        <v>0</v>
      </c>
      <c r="O22" s="1932">
        <f t="shared" ca="1" si="6"/>
        <v>0</v>
      </c>
      <c r="P22" s="1932">
        <f t="shared" ca="1" si="6"/>
        <v>0</v>
      </c>
      <c r="Q22" s="1932">
        <f t="shared" ca="1" si="6"/>
        <v>0</v>
      </c>
      <c r="R22" s="1932">
        <f t="shared" ca="1" si="6"/>
        <v>0</v>
      </c>
      <c r="S22" s="1932">
        <f t="shared" ca="1" si="6"/>
        <v>0</v>
      </c>
      <c r="T22" s="1932">
        <f t="shared" ca="1" si="6"/>
        <v>0</v>
      </c>
      <c r="U22" s="1932">
        <f t="shared" ca="1" si="6"/>
        <v>0</v>
      </c>
      <c r="V22" s="1932">
        <f t="shared" ca="1" si="6"/>
        <v>0</v>
      </c>
      <c r="W22" s="1932">
        <f t="shared" ca="1" si="6"/>
        <v>0</v>
      </c>
      <c r="X22" s="1932">
        <f t="shared" ca="1" si="6"/>
        <v>0</v>
      </c>
      <c r="Y22" s="1932">
        <f t="shared" ca="1" si="6"/>
        <v>0</v>
      </c>
      <c r="Z22" s="1932">
        <f t="shared" ca="1" si="6"/>
        <v>0</v>
      </c>
      <c r="AA22" s="1932">
        <f t="shared" ca="1" si="6"/>
        <v>0</v>
      </c>
    </row>
    <row r="23" spans="2:27" x14ac:dyDescent="0.25">
      <c r="B23" s="1518" t="s">
        <v>682</v>
      </c>
      <c r="C23" s="1518" t="s">
        <v>407</v>
      </c>
      <c r="D23" s="1518" t="s">
        <v>2858</v>
      </c>
      <c r="E23" s="1518" t="s">
        <v>2852</v>
      </c>
      <c r="F23" s="1519" t="s">
        <v>2853</v>
      </c>
      <c r="G23" s="1520">
        <f ca="1">IF(OFFSET(тФакЧасове[[#This Row],[полеФакултет]],-1,0)=тФакЧасове[[#This Row],[полеФакултет]],N(OFFSET(тФакЧасове[[#This Row],[№]],-1,0))+1,1)</f>
        <v>1</v>
      </c>
      <c r="H23" s="1933">
        <f t="shared" ref="H23:W27" ca="1" si="7">SUMIF(INDIRECT($E23),H$7,INDIRECT($F23))</f>
        <v>0</v>
      </c>
      <c r="I23" s="1933">
        <f t="shared" ca="1" si="7"/>
        <v>0</v>
      </c>
      <c r="J23" s="1933">
        <f t="shared" ca="1" si="7"/>
        <v>0</v>
      </c>
      <c r="K23" s="1933">
        <f t="shared" ca="1" si="7"/>
        <v>0</v>
      </c>
      <c r="L23" s="1933">
        <f t="shared" ca="1" si="7"/>
        <v>0</v>
      </c>
      <c r="M23" s="1933">
        <f t="shared" ca="1" si="7"/>
        <v>0</v>
      </c>
      <c r="N23" s="1933">
        <f t="shared" ca="1" si="7"/>
        <v>0</v>
      </c>
      <c r="O23" s="1933">
        <f t="shared" ca="1" si="7"/>
        <v>0</v>
      </c>
      <c r="P23" s="1933">
        <f t="shared" ca="1" si="7"/>
        <v>0</v>
      </c>
      <c r="Q23" s="1933">
        <f t="shared" ca="1" si="7"/>
        <v>0</v>
      </c>
      <c r="R23" s="1933">
        <f t="shared" ca="1" si="7"/>
        <v>0</v>
      </c>
      <c r="S23" s="1933">
        <f t="shared" ca="1" si="7"/>
        <v>0</v>
      </c>
      <c r="T23" s="1933">
        <f t="shared" ca="1" si="7"/>
        <v>0</v>
      </c>
      <c r="U23" s="1933">
        <f t="shared" ca="1" si="7"/>
        <v>0</v>
      </c>
      <c r="V23" s="1933">
        <f t="shared" ca="1" si="7"/>
        <v>0</v>
      </c>
      <c r="W23" s="1933">
        <f t="shared" ca="1" si="7"/>
        <v>0</v>
      </c>
      <c r="X23" s="1933">
        <f t="shared" ref="X23:AA27" ca="1" si="8">SUMIF(INDIRECT($E23),X$7,INDIRECT($F23))</f>
        <v>0</v>
      </c>
      <c r="Y23" s="1933">
        <f t="shared" ca="1" si="8"/>
        <v>0</v>
      </c>
      <c r="Z23" s="1933">
        <f t="shared" ca="1" si="8"/>
        <v>0</v>
      </c>
      <c r="AA23" s="1933">
        <f t="shared" ca="1" si="8"/>
        <v>0</v>
      </c>
    </row>
    <row r="24" spans="2:27" x14ac:dyDescent="0.25">
      <c r="B24" s="1518" t="s">
        <v>682</v>
      </c>
      <c r="C24" s="1518" t="s">
        <v>407</v>
      </c>
      <c r="D24" s="1518" t="s">
        <v>2858</v>
      </c>
      <c r="E24" s="1518" t="s">
        <v>2852</v>
      </c>
      <c r="F24" s="1519" t="s">
        <v>2854</v>
      </c>
      <c r="G24" s="1520">
        <f ca="1">IF(OFFSET(тФакЧасове[[#This Row],[полеФакултет]],-1,0)=тФакЧасове[[#This Row],[полеФакултет]],N(OFFSET(тФакЧасове[[#This Row],[№]],-1,0))+1,1)</f>
        <v>2</v>
      </c>
      <c r="H24" s="1933">
        <f t="shared" ca="1" si="7"/>
        <v>0</v>
      </c>
      <c r="I24" s="1933">
        <f t="shared" ref="I24:W27" ca="1" si="9">SUMIF(INDIRECT($E24),I$7,INDIRECT($F24))</f>
        <v>0</v>
      </c>
      <c r="J24" s="1933">
        <f t="shared" ca="1" si="9"/>
        <v>0</v>
      </c>
      <c r="K24" s="1933">
        <f t="shared" ca="1" si="9"/>
        <v>0</v>
      </c>
      <c r="L24" s="1933">
        <f t="shared" ca="1" si="9"/>
        <v>0</v>
      </c>
      <c r="M24" s="1933">
        <f t="shared" ca="1" si="9"/>
        <v>0</v>
      </c>
      <c r="N24" s="1933">
        <f t="shared" ca="1" si="9"/>
        <v>0</v>
      </c>
      <c r="O24" s="1933">
        <f t="shared" ca="1" si="9"/>
        <v>0</v>
      </c>
      <c r="P24" s="1933">
        <f t="shared" ca="1" si="9"/>
        <v>0</v>
      </c>
      <c r="Q24" s="1933">
        <f t="shared" ca="1" si="9"/>
        <v>0</v>
      </c>
      <c r="R24" s="1933">
        <f t="shared" ca="1" si="9"/>
        <v>0</v>
      </c>
      <c r="S24" s="1933">
        <f t="shared" ca="1" si="9"/>
        <v>0</v>
      </c>
      <c r="T24" s="1933">
        <f t="shared" ca="1" si="9"/>
        <v>0</v>
      </c>
      <c r="U24" s="1933">
        <f t="shared" ca="1" si="9"/>
        <v>0</v>
      </c>
      <c r="V24" s="1933">
        <f t="shared" ca="1" si="9"/>
        <v>0</v>
      </c>
      <c r="W24" s="1933">
        <f t="shared" ca="1" si="9"/>
        <v>0</v>
      </c>
      <c r="X24" s="1933">
        <f t="shared" ca="1" si="8"/>
        <v>0</v>
      </c>
      <c r="Y24" s="1933">
        <f t="shared" ca="1" si="8"/>
        <v>0</v>
      </c>
      <c r="Z24" s="1933">
        <f t="shared" ca="1" si="8"/>
        <v>0</v>
      </c>
      <c r="AA24" s="1933">
        <f t="shared" ca="1" si="8"/>
        <v>0</v>
      </c>
    </row>
    <row r="25" spans="2:27" x14ac:dyDescent="0.25">
      <c r="B25" s="1518" t="s">
        <v>682</v>
      </c>
      <c r="C25" s="1518" t="s">
        <v>407</v>
      </c>
      <c r="D25" s="1518" t="s">
        <v>2858</v>
      </c>
      <c r="E25" s="1518" t="s">
        <v>2852</v>
      </c>
      <c r="F25" s="1519" t="s">
        <v>2855</v>
      </c>
      <c r="G25" s="1522">
        <f ca="1">IF(OFFSET(тФакЧасове[[#This Row],[полеФакултет]],-1,0)=тФакЧасове[[#This Row],[полеФакултет]],N(OFFSET(тФакЧасове[[#This Row],[№]],-1,0))+1,1)</f>
        <v>3</v>
      </c>
      <c r="H25" s="1933">
        <f t="shared" ca="1" si="7"/>
        <v>0</v>
      </c>
      <c r="I25" s="1933">
        <f t="shared" ca="1" si="9"/>
        <v>0</v>
      </c>
      <c r="J25" s="1933">
        <f t="shared" ca="1" si="9"/>
        <v>0</v>
      </c>
      <c r="K25" s="1933">
        <f t="shared" ca="1" si="9"/>
        <v>0</v>
      </c>
      <c r="L25" s="1933">
        <f t="shared" ca="1" si="9"/>
        <v>0</v>
      </c>
      <c r="M25" s="1933">
        <f t="shared" ca="1" si="9"/>
        <v>0</v>
      </c>
      <c r="N25" s="1933">
        <f t="shared" ca="1" si="9"/>
        <v>0</v>
      </c>
      <c r="O25" s="1933">
        <f t="shared" ca="1" si="9"/>
        <v>0</v>
      </c>
      <c r="P25" s="1933">
        <f t="shared" ca="1" si="9"/>
        <v>0</v>
      </c>
      <c r="Q25" s="1933">
        <f t="shared" ca="1" si="9"/>
        <v>0</v>
      </c>
      <c r="R25" s="1933">
        <f t="shared" ca="1" si="9"/>
        <v>0</v>
      </c>
      <c r="S25" s="1933">
        <f t="shared" ca="1" si="9"/>
        <v>0</v>
      </c>
      <c r="T25" s="1933">
        <f t="shared" ca="1" si="9"/>
        <v>0</v>
      </c>
      <c r="U25" s="1933">
        <f t="shared" ca="1" si="9"/>
        <v>0</v>
      </c>
      <c r="V25" s="1933">
        <f t="shared" ca="1" si="9"/>
        <v>0</v>
      </c>
      <c r="W25" s="1933">
        <f t="shared" ca="1" si="9"/>
        <v>0</v>
      </c>
      <c r="X25" s="1933">
        <f t="shared" ca="1" si="8"/>
        <v>0</v>
      </c>
      <c r="Y25" s="1933">
        <f t="shared" ca="1" si="8"/>
        <v>0</v>
      </c>
      <c r="Z25" s="1933">
        <f t="shared" ca="1" si="8"/>
        <v>0</v>
      </c>
      <c r="AA25" s="1933">
        <f t="shared" ca="1" si="8"/>
        <v>0</v>
      </c>
    </row>
    <row r="26" spans="2:27" x14ac:dyDescent="0.25">
      <c r="B26" s="1518" t="s">
        <v>682</v>
      </c>
      <c r="C26" s="1518" t="s">
        <v>407</v>
      </c>
      <c r="D26" s="1518" t="s">
        <v>2858</v>
      </c>
      <c r="E26" s="1518" t="s">
        <v>2852</v>
      </c>
      <c r="F26" s="1519" t="s">
        <v>2856</v>
      </c>
      <c r="G26" s="1522">
        <f ca="1">IF(OFFSET(тФакЧасове[[#This Row],[полеФакултет]],-1,0)=тФакЧасове[[#This Row],[полеФакултет]],N(OFFSET(тФакЧасове[[#This Row],[№]],-1,0))+1,1)</f>
        <v>4</v>
      </c>
      <c r="H26" s="1933">
        <f t="shared" ca="1" si="7"/>
        <v>0</v>
      </c>
      <c r="I26" s="1933">
        <f t="shared" ca="1" si="9"/>
        <v>0</v>
      </c>
      <c r="J26" s="1933">
        <f t="shared" ca="1" si="9"/>
        <v>0</v>
      </c>
      <c r="K26" s="1933">
        <f t="shared" ca="1" si="9"/>
        <v>0</v>
      </c>
      <c r="L26" s="1933">
        <f t="shared" ca="1" si="9"/>
        <v>0</v>
      </c>
      <c r="M26" s="1933">
        <f t="shared" ca="1" si="9"/>
        <v>0</v>
      </c>
      <c r="N26" s="1933">
        <f t="shared" ca="1" si="9"/>
        <v>0</v>
      </c>
      <c r="O26" s="1933">
        <f t="shared" ca="1" si="9"/>
        <v>0</v>
      </c>
      <c r="P26" s="1933">
        <f t="shared" ca="1" si="9"/>
        <v>0</v>
      </c>
      <c r="Q26" s="1933">
        <f t="shared" ca="1" si="9"/>
        <v>0</v>
      </c>
      <c r="R26" s="1933">
        <f t="shared" ca="1" si="9"/>
        <v>0</v>
      </c>
      <c r="S26" s="1933">
        <f t="shared" ca="1" si="9"/>
        <v>0</v>
      </c>
      <c r="T26" s="1933">
        <f t="shared" ca="1" si="9"/>
        <v>0</v>
      </c>
      <c r="U26" s="1933">
        <f t="shared" ca="1" si="9"/>
        <v>0</v>
      </c>
      <c r="V26" s="1933">
        <f t="shared" ca="1" si="9"/>
        <v>0</v>
      </c>
      <c r="W26" s="1933">
        <f t="shared" ca="1" si="9"/>
        <v>0</v>
      </c>
      <c r="X26" s="1933">
        <f t="shared" ca="1" si="8"/>
        <v>0</v>
      </c>
      <c r="Y26" s="1933">
        <f t="shared" ca="1" si="8"/>
        <v>0</v>
      </c>
      <c r="Z26" s="1933">
        <f t="shared" ca="1" si="8"/>
        <v>0</v>
      </c>
      <c r="AA26" s="1933">
        <f t="shared" ca="1" si="8"/>
        <v>0</v>
      </c>
    </row>
    <row r="27" spans="2:27" x14ac:dyDescent="0.25">
      <c r="B27" s="1518" t="s">
        <v>682</v>
      </c>
      <c r="C27" s="1518" t="s">
        <v>407</v>
      </c>
      <c r="D27" s="1518" t="s">
        <v>2858</v>
      </c>
      <c r="E27" s="1518" t="s">
        <v>2852</v>
      </c>
      <c r="F27" s="1519" t="s">
        <v>2857</v>
      </c>
      <c r="G27" s="1522">
        <f ca="1">IF(OFFSET(тФакЧасове[[#This Row],[полеФакултет]],-1,0)=тФакЧасове[[#This Row],[полеФакултет]],N(OFFSET(тФакЧасове[[#This Row],[№]],-1,0))+1,1)</f>
        <v>5</v>
      </c>
      <c r="H27" s="1933">
        <f t="shared" ca="1" si="7"/>
        <v>0</v>
      </c>
      <c r="I27" s="1933">
        <f t="shared" ca="1" si="9"/>
        <v>0</v>
      </c>
      <c r="J27" s="1933">
        <f t="shared" ca="1" si="9"/>
        <v>0</v>
      </c>
      <c r="K27" s="1933">
        <f t="shared" ca="1" si="9"/>
        <v>0</v>
      </c>
      <c r="L27" s="1933">
        <f t="shared" ca="1" si="9"/>
        <v>0</v>
      </c>
      <c r="M27" s="1933">
        <f t="shared" ca="1" si="9"/>
        <v>0</v>
      </c>
      <c r="N27" s="1933">
        <f t="shared" ca="1" si="9"/>
        <v>0</v>
      </c>
      <c r="O27" s="1933">
        <f t="shared" ca="1" si="9"/>
        <v>0</v>
      </c>
      <c r="P27" s="1933">
        <f t="shared" ca="1" si="9"/>
        <v>0</v>
      </c>
      <c r="Q27" s="1933">
        <f t="shared" ca="1" si="9"/>
        <v>0</v>
      </c>
      <c r="R27" s="1933">
        <f t="shared" ca="1" si="9"/>
        <v>0</v>
      </c>
      <c r="S27" s="1933">
        <f t="shared" ca="1" si="9"/>
        <v>0</v>
      </c>
      <c r="T27" s="1933">
        <f t="shared" ca="1" si="9"/>
        <v>0</v>
      </c>
      <c r="U27" s="1933">
        <f t="shared" ca="1" si="9"/>
        <v>0</v>
      </c>
      <c r="V27" s="1933">
        <f t="shared" ca="1" si="9"/>
        <v>0</v>
      </c>
      <c r="W27" s="1933">
        <f t="shared" ca="1" si="9"/>
        <v>0</v>
      </c>
      <c r="X27" s="1933">
        <f t="shared" ca="1" si="8"/>
        <v>0</v>
      </c>
      <c r="Y27" s="1933">
        <f t="shared" ca="1" si="8"/>
        <v>0</v>
      </c>
      <c r="Z27" s="1933">
        <f t="shared" ca="1" si="8"/>
        <v>0</v>
      </c>
      <c r="AA27" s="1933">
        <f t="shared" ca="1" si="8"/>
        <v>0</v>
      </c>
    </row>
    <row r="28" spans="2:27" x14ac:dyDescent="0.25">
      <c r="B28" t="s">
        <v>681</v>
      </c>
      <c r="C28" t="s">
        <v>406</v>
      </c>
      <c r="D28" t="s">
        <v>2859</v>
      </c>
      <c r="E28" t="s">
        <v>2860</v>
      </c>
      <c r="F28" s="1515" t="s">
        <v>2861</v>
      </c>
      <c r="G28" s="1521">
        <f ca="1">IF(OFFSET(тФакЧасове[[#This Row],[полеФакултет]],-1,0)=тФакЧасове[[#This Row],[полеФакултет]],N(OFFSET(тФакЧасове[[#This Row],[№]],-1,0))+1,1)</f>
        <v>1</v>
      </c>
      <c r="H28" s="1932">
        <f ca="1">SUMIF(INDIRECT($E28),H$7,INDIRECT($F28))</f>
        <v>0</v>
      </c>
      <c r="I28" s="1932">
        <f t="shared" ref="I28:AA30" ca="1" si="10">SUMIF(INDIRECT($E28),I$7,INDIRECT($F28))</f>
        <v>0</v>
      </c>
      <c r="J28" s="1932">
        <f t="shared" ca="1" si="10"/>
        <v>0</v>
      </c>
      <c r="K28" s="1932">
        <f t="shared" ca="1" si="10"/>
        <v>0</v>
      </c>
      <c r="L28" s="1932">
        <f t="shared" ca="1" si="10"/>
        <v>0</v>
      </c>
      <c r="M28" s="1932">
        <f t="shared" ca="1" si="10"/>
        <v>0</v>
      </c>
      <c r="N28" s="1932">
        <f t="shared" ca="1" si="10"/>
        <v>0</v>
      </c>
      <c r="O28" s="1932">
        <f t="shared" ca="1" si="10"/>
        <v>0</v>
      </c>
      <c r="P28" s="1932">
        <f t="shared" ca="1" si="10"/>
        <v>0</v>
      </c>
      <c r="Q28" s="1932">
        <f t="shared" ca="1" si="10"/>
        <v>0</v>
      </c>
      <c r="R28" s="1932">
        <f t="shared" ca="1" si="10"/>
        <v>0</v>
      </c>
      <c r="S28" s="1932">
        <f t="shared" ca="1" si="10"/>
        <v>0</v>
      </c>
      <c r="T28" s="1932">
        <f t="shared" ca="1" si="10"/>
        <v>0</v>
      </c>
      <c r="U28" s="1932">
        <f t="shared" ca="1" si="10"/>
        <v>0</v>
      </c>
      <c r="V28" s="1932">
        <f t="shared" ca="1" si="10"/>
        <v>0</v>
      </c>
      <c r="W28" s="1932">
        <f t="shared" ca="1" si="10"/>
        <v>0</v>
      </c>
      <c r="X28" s="1932">
        <f t="shared" ca="1" si="10"/>
        <v>0</v>
      </c>
      <c r="Y28" s="1932">
        <f t="shared" ca="1" si="10"/>
        <v>0</v>
      </c>
      <c r="Z28" s="1932">
        <f t="shared" ca="1" si="10"/>
        <v>0</v>
      </c>
      <c r="AA28" s="1932">
        <f t="shared" ca="1" si="10"/>
        <v>0</v>
      </c>
    </row>
    <row r="29" spans="2:27" x14ac:dyDescent="0.25">
      <c r="B29" t="s">
        <v>681</v>
      </c>
      <c r="C29" t="s">
        <v>406</v>
      </c>
      <c r="D29" t="s">
        <v>2859</v>
      </c>
      <c r="E29" t="s">
        <v>2860</v>
      </c>
      <c r="F29" s="1515" t="s">
        <v>2862</v>
      </c>
      <c r="G29" s="1521">
        <f ca="1">IF(OFFSET(тФакЧасове[[#This Row],[полеФакултет]],-1,0)=тФакЧасове[[#This Row],[полеФакултет]],N(OFFSET(тФакЧасове[[#This Row],[№]],-1,0))+1,1)</f>
        <v>2</v>
      </c>
      <c r="H29" s="1932">
        <f ca="1">SUMIF(INDIRECT($E29),H$7,INDIRECT($F29))</f>
        <v>0</v>
      </c>
      <c r="I29" s="1932">
        <f t="shared" ca="1" si="10"/>
        <v>0</v>
      </c>
      <c r="J29" s="1932">
        <f t="shared" ca="1" si="10"/>
        <v>0</v>
      </c>
      <c r="K29" s="1932">
        <f t="shared" ca="1" si="10"/>
        <v>0</v>
      </c>
      <c r="L29" s="1932">
        <f t="shared" ca="1" si="10"/>
        <v>0</v>
      </c>
      <c r="M29" s="1932">
        <f t="shared" ca="1" si="10"/>
        <v>0</v>
      </c>
      <c r="N29" s="1932">
        <f t="shared" ca="1" si="10"/>
        <v>0</v>
      </c>
      <c r="O29" s="1932">
        <f t="shared" ca="1" si="10"/>
        <v>0</v>
      </c>
      <c r="P29" s="1932">
        <f t="shared" ca="1" si="10"/>
        <v>0</v>
      </c>
      <c r="Q29" s="1932">
        <f t="shared" ca="1" si="10"/>
        <v>0</v>
      </c>
      <c r="R29" s="1932">
        <f t="shared" ca="1" si="10"/>
        <v>0</v>
      </c>
      <c r="S29" s="1932">
        <f t="shared" ca="1" si="10"/>
        <v>0</v>
      </c>
      <c r="T29" s="1932">
        <f t="shared" ca="1" si="10"/>
        <v>0</v>
      </c>
      <c r="U29" s="1932">
        <f t="shared" ca="1" si="10"/>
        <v>0</v>
      </c>
      <c r="V29" s="1932">
        <f t="shared" ca="1" si="10"/>
        <v>0</v>
      </c>
      <c r="W29" s="1932">
        <f t="shared" ca="1" si="10"/>
        <v>0</v>
      </c>
      <c r="X29" s="1932">
        <f t="shared" ca="1" si="10"/>
        <v>0</v>
      </c>
      <c r="Y29" s="1932">
        <f t="shared" ca="1" si="10"/>
        <v>0</v>
      </c>
      <c r="Z29" s="1932">
        <f t="shared" ca="1" si="10"/>
        <v>0</v>
      </c>
      <c r="AA29" s="1932">
        <f t="shared" ca="1" si="10"/>
        <v>0</v>
      </c>
    </row>
    <row r="30" spans="2:27" x14ac:dyDescent="0.25">
      <c r="B30" t="s">
        <v>681</v>
      </c>
      <c r="C30" t="s">
        <v>406</v>
      </c>
      <c r="D30" t="s">
        <v>2859</v>
      </c>
      <c r="E30" t="s">
        <v>2860</v>
      </c>
      <c r="F30" s="1515" t="s">
        <v>2863</v>
      </c>
      <c r="G30" s="1521">
        <f ca="1">IF(OFFSET(тФакЧасове[[#This Row],[полеФакултет]],-1,0)=тФакЧасове[[#This Row],[полеФакултет]],N(OFFSET(тФакЧасове[[#This Row],[№]],-1,0))+1,1)</f>
        <v>3</v>
      </c>
      <c r="H30" s="1932">
        <f ca="1">SUMIF(INDIRECT($E30),H$7,INDIRECT($F30))</f>
        <v>0</v>
      </c>
      <c r="I30" s="1932">
        <f t="shared" ca="1" si="10"/>
        <v>0</v>
      </c>
      <c r="J30" s="1932">
        <f t="shared" ca="1" si="10"/>
        <v>0</v>
      </c>
      <c r="K30" s="1932">
        <f t="shared" ca="1" si="10"/>
        <v>0</v>
      </c>
      <c r="L30" s="1932">
        <f t="shared" ca="1" si="10"/>
        <v>0</v>
      </c>
      <c r="M30" s="1932">
        <f t="shared" ca="1" si="10"/>
        <v>0</v>
      </c>
      <c r="N30" s="1932">
        <f t="shared" ca="1" si="10"/>
        <v>0</v>
      </c>
      <c r="O30" s="1932">
        <f t="shared" ca="1" si="10"/>
        <v>0</v>
      </c>
      <c r="P30" s="1932">
        <f t="shared" ca="1" si="10"/>
        <v>0</v>
      </c>
      <c r="Q30" s="1932">
        <f t="shared" ca="1" si="10"/>
        <v>0</v>
      </c>
      <c r="R30" s="1932">
        <f t="shared" ca="1" si="10"/>
        <v>0</v>
      </c>
      <c r="S30" s="1932">
        <f t="shared" ca="1" si="10"/>
        <v>0</v>
      </c>
      <c r="T30" s="1932">
        <f t="shared" ca="1" si="10"/>
        <v>0</v>
      </c>
      <c r="U30" s="1932">
        <f t="shared" ca="1" si="10"/>
        <v>0</v>
      </c>
      <c r="V30" s="1932">
        <f t="shared" ca="1" si="10"/>
        <v>0</v>
      </c>
      <c r="W30" s="1932">
        <f t="shared" ca="1" si="10"/>
        <v>0</v>
      </c>
      <c r="X30" s="1932">
        <f t="shared" ca="1" si="10"/>
        <v>0</v>
      </c>
      <c r="Y30" s="1932">
        <f t="shared" ca="1" si="10"/>
        <v>0</v>
      </c>
      <c r="Z30" s="1932">
        <f t="shared" ca="1" si="10"/>
        <v>0</v>
      </c>
      <c r="AA30" s="1932">
        <f t="shared" ca="1" si="10"/>
        <v>0</v>
      </c>
    </row>
    <row r="31" spans="2:27" x14ac:dyDescent="0.25">
      <c r="B31" t="s">
        <v>681</v>
      </c>
      <c r="C31" t="s">
        <v>406</v>
      </c>
      <c r="D31" t="s">
        <v>2859</v>
      </c>
      <c r="E31" t="s">
        <v>2860</v>
      </c>
      <c r="F31" s="1515" t="s">
        <v>2864</v>
      </c>
      <c r="G31" s="1521">
        <f ca="1">IF(OFFSET(тФакЧасове[[#This Row],[полеФакултет]],-1,0)=тФакЧасове[[#This Row],[полеФакултет]],N(OFFSET(тФакЧасове[[#This Row],[№]],-1,0))+1,1)</f>
        <v>4</v>
      </c>
      <c r="H31" s="1932">
        <f ca="1">SUMIF(INDIRECT($E31),H$7,INDIRECT($F31))*5</f>
        <v>0</v>
      </c>
      <c r="I31" s="1932">
        <f t="shared" ref="I31:AA31" ca="1" si="11">SUMIF(INDIRECT($E31),I$7,INDIRECT($F31))*5</f>
        <v>0</v>
      </c>
      <c r="J31" s="1932">
        <f t="shared" ca="1" si="11"/>
        <v>0</v>
      </c>
      <c r="K31" s="1932">
        <f t="shared" ca="1" si="11"/>
        <v>0</v>
      </c>
      <c r="L31" s="1932">
        <f t="shared" ca="1" si="11"/>
        <v>0</v>
      </c>
      <c r="M31" s="1932">
        <f t="shared" ca="1" si="11"/>
        <v>0</v>
      </c>
      <c r="N31" s="1932">
        <f t="shared" ca="1" si="11"/>
        <v>0</v>
      </c>
      <c r="O31" s="1932">
        <f t="shared" ca="1" si="11"/>
        <v>0</v>
      </c>
      <c r="P31" s="1932">
        <f t="shared" ca="1" si="11"/>
        <v>0</v>
      </c>
      <c r="Q31" s="1932">
        <f t="shared" ca="1" si="11"/>
        <v>0</v>
      </c>
      <c r="R31" s="1932">
        <f t="shared" ca="1" si="11"/>
        <v>0</v>
      </c>
      <c r="S31" s="1932">
        <f t="shared" ca="1" si="11"/>
        <v>0</v>
      </c>
      <c r="T31" s="1932">
        <f t="shared" ca="1" si="11"/>
        <v>0</v>
      </c>
      <c r="U31" s="1932">
        <f t="shared" ca="1" si="11"/>
        <v>0</v>
      </c>
      <c r="V31" s="1932">
        <f t="shared" ca="1" si="11"/>
        <v>0</v>
      </c>
      <c r="W31" s="1932">
        <f t="shared" ca="1" si="11"/>
        <v>0</v>
      </c>
      <c r="X31" s="1932">
        <f t="shared" ca="1" si="11"/>
        <v>0</v>
      </c>
      <c r="Y31" s="1932">
        <f t="shared" ca="1" si="11"/>
        <v>0</v>
      </c>
      <c r="Z31" s="1932">
        <f t="shared" ca="1" si="11"/>
        <v>0</v>
      </c>
      <c r="AA31" s="1932">
        <f t="shared" ca="1" si="11"/>
        <v>0</v>
      </c>
    </row>
    <row r="32" spans="2:27" x14ac:dyDescent="0.25">
      <c r="B32" s="1518" t="s">
        <v>681</v>
      </c>
      <c r="C32" s="1518" t="s">
        <v>407</v>
      </c>
      <c r="D32" s="1518" t="s">
        <v>2859</v>
      </c>
      <c r="E32" s="1518" t="s">
        <v>2865</v>
      </c>
      <c r="F32" s="1519" t="s">
        <v>2877</v>
      </c>
      <c r="G32" s="1522">
        <f ca="1">IF(OFFSET(тФакЧасове[[#This Row],[полеФакултет]],-1,0)=тФакЧасове[[#This Row],[полеФакултет]],N(OFFSET(тФакЧасове[[#This Row],[№]],-1,0))+1,1)</f>
        <v>1</v>
      </c>
      <c r="H32" s="1933">
        <f t="shared" ref="H32:Q38" ca="1" si="12">SUMIF(INDIRECT($E32),H$7,INDIRECT($F32))</f>
        <v>0</v>
      </c>
      <c r="I32" s="1933">
        <f t="shared" ca="1" si="12"/>
        <v>0</v>
      </c>
      <c r="J32" s="1933">
        <f t="shared" ca="1" si="12"/>
        <v>0</v>
      </c>
      <c r="K32" s="1933">
        <f t="shared" ca="1" si="12"/>
        <v>0</v>
      </c>
      <c r="L32" s="1933">
        <f t="shared" ca="1" si="12"/>
        <v>0</v>
      </c>
      <c r="M32" s="1933">
        <f t="shared" ca="1" si="12"/>
        <v>0</v>
      </c>
      <c r="N32" s="1933">
        <f t="shared" ca="1" si="12"/>
        <v>0</v>
      </c>
      <c r="O32" s="1933">
        <f t="shared" ca="1" si="12"/>
        <v>0</v>
      </c>
      <c r="P32" s="1933">
        <f t="shared" ca="1" si="12"/>
        <v>0</v>
      </c>
      <c r="Q32" s="1933">
        <f t="shared" ca="1" si="12"/>
        <v>0</v>
      </c>
      <c r="R32" s="1933">
        <f t="shared" ref="R32:AA38" ca="1" si="13">SUMIF(INDIRECT($E32),R$7,INDIRECT($F32))</f>
        <v>0</v>
      </c>
      <c r="S32" s="1933">
        <f t="shared" ca="1" si="13"/>
        <v>0</v>
      </c>
      <c r="T32" s="1933">
        <f t="shared" ca="1" si="13"/>
        <v>0</v>
      </c>
      <c r="U32" s="1933">
        <f t="shared" ca="1" si="13"/>
        <v>0</v>
      </c>
      <c r="V32" s="1933">
        <f t="shared" ca="1" si="13"/>
        <v>0</v>
      </c>
      <c r="W32" s="1933">
        <f t="shared" ca="1" si="13"/>
        <v>0</v>
      </c>
      <c r="X32" s="1933">
        <f t="shared" ca="1" si="13"/>
        <v>0</v>
      </c>
      <c r="Y32" s="1933">
        <f t="shared" ca="1" si="13"/>
        <v>0</v>
      </c>
      <c r="Z32" s="1933">
        <f t="shared" ca="1" si="13"/>
        <v>0</v>
      </c>
      <c r="AA32" s="1933">
        <f t="shared" ca="1" si="13"/>
        <v>0</v>
      </c>
    </row>
    <row r="33" spans="2:27" x14ac:dyDescent="0.25">
      <c r="B33" s="1518" t="s">
        <v>681</v>
      </c>
      <c r="C33" s="1518" t="s">
        <v>407</v>
      </c>
      <c r="D33" s="1518" t="s">
        <v>2859</v>
      </c>
      <c r="E33" s="1518" t="s">
        <v>2865</v>
      </c>
      <c r="F33" s="1519" t="s">
        <v>2866</v>
      </c>
      <c r="G33" s="1522">
        <f ca="1">IF(OFFSET(тФакЧасове[[#This Row],[полеФакултет]],-1,0)=тФакЧасове[[#This Row],[полеФакултет]],N(OFFSET(тФакЧасове[[#This Row],[№]],-1,0))+1,1)</f>
        <v>2</v>
      </c>
      <c r="H33" s="1933">
        <f t="shared" ca="1" si="12"/>
        <v>0</v>
      </c>
      <c r="I33" s="1933">
        <f t="shared" ca="1" si="12"/>
        <v>0</v>
      </c>
      <c r="J33" s="1933">
        <f t="shared" ca="1" si="12"/>
        <v>0</v>
      </c>
      <c r="K33" s="1933">
        <f t="shared" ca="1" si="12"/>
        <v>0</v>
      </c>
      <c r="L33" s="1933">
        <f t="shared" ca="1" si="12"/>
        <v>0</v>
      </c>
      <c r="M33" s="1933">
        <f t="shared" ca="1" si="12"/>
        <v>0</v>
      </c>
      <c r="N33" s="1933">
        <f t="shared" ca="1" si="12"/>
        <v>0</v>
      </c>
      <c r="O33" s="1933">
        <f t="shared" ca="1" si="12"/>
        <v>0</v>
      </c>
      <c r="P33" s="1933">
        <f t="shared" ca="1" si="12"/>
        <v>0</v>
      </c>
      <c r="Q33" s="1933">
        <f t="shared" ca="1" si="12"/>
        <v>0</v>
      </c>
      <c r="R33" s="1933">
        <f t="shared" ca="1" si="13"/>
        <v>0</v>
      </c>
      <c r="S33" s="1933">
        <f t="shared" ca="1" si="13"/>
        <v>0</v>
      </c>
      <c r="T33" s="1933">
        <f t="shared" ca="1" si="13"/>
        <v>0</v>
      </c>
      <c r="U33" s="1933">
        <f t="shared" ca="1" si="13"/>
        <v>0</v>
      </c>
      <c r="V33" s="1933">
        <f t="shared" ca="1" si="13"/>
        <v>0</v>
      </c>
      <c r="W33" s="1933">
        <f t="shared" ca="1" si="13"/>
        <v>0</v>
      </c>
      <c r="X33" s="1933">
        <f t="shared" ca="1" si="13"/>
        <v>0</v>
      </c>
      <c r="Y33" s="1933">
        <f t="shared" ca="1" si="13"/>
        <v>0</v>
      </c>
      <c r="Z33" s="1933">
        <f t="shared" ca="1" si="13"/>
        <v>0</v>
      </c>
      <c r="AA33" s="1933">
        <f t="shared" ca="1" si="13"/>
        <v>0</v>
      </c>
    </row>
    <row r="34" spans="2:27" x14ac:dyDescent="0.25">
      <c r="B34" s="1518" t="s">
        <v>681</v>
      </c>
      <c r="C34" s="1518" t="s">
        <v>407</v>
      </c>
      <c r="D34" s="1518" t="s">
        <v>2859</v>
      </c>
      <c r="E34" s="1518" t="s">
        <v>2865</v>
      </c>
      <c r="F34" s="1519" t="s">
        <v>2867</v>
      </c>
      <c r="G34" s="1522">
        <f ca="1">IF(OFFSET(тФакЧасове[[#This Row],[полеФакултет]],-1,0)=тФакЧасове[[#This Row],[полеФакултет]],N(OFFSET(тФакЧасове[[#This Row],[№]],-1,0))+1,1)</f>
        <v>3</v>
      </c>
      <c r="H34" s="1933">
        <f t="shared" ca="1" si="12"/>
        <v>0</v>
      </c>
      <c r="I34" s="1933">
        <f t="shared" ca="1" si="12"/>
        <v>0</v>
      </c>
      <c r="J34" s="1933">
        <f t="shared" ca="1" si="12"/>
        <v>0</v>
      </c>
      <c r="K34" s="1933">
        <f t="shared" ca="1" si="12"/>
        <v>0</v>
      </c>
      <c r="L34" s="1933">
        <f t="shared" ca="1" si="12"/>
        <v>0</v>
      </c>
      <c r="M34" s="1933">
        <f t="shared" ca="1" si="12"/>
        <v>0</v>
      </c>
      <c r="N34" s="1933">
        <f t="shared" ca="1" si="12"/>
        <v>0</v>
      </c>
      <c r="O34" s="1933">
        <f t="shared" ca="1" si="12"/>
        <v>0</v>
      </c>
      <c r="P34" s="1933">
        <f t="shared" ca="1" si="12"/>
        <v>0</v>
      </c>
      <c r="Q34" s="1933">
        <f t="shared" ca="1" si="12"/>
        <v>0</v>
      </c>
      <c r="R34" s="1933">
        <f t="shared" ca="1" si="13"/>
        <v>0</v>
      </c>
      <c r="S34" s="1933">
        <f t="shared" ca="1" si="13"/>
        <v>0</v>
      </c>
      <c r="T34" s="1933">
        <f t="shared" ca="1" si="13"/>
        <v>0</v>
      </c>
      <c r="U34" s="1933">
        <f t="shared" ca="1" si="13"/>
        <v>0</v>
      </c>
      <c r="V34" s="1933">
        <f t="shared" ca="1" si="13"/>
        <v>0</v>
      </c>
      <c r="W34" s="1933">
        <f t="shared" ca="1" si="13"/>
        <v>0</v>
      </c>
      <c r="X34" s="1933">
        <f t="shared" ca="1" si="13"/>
        <v>0</v>
      </c>
      <c r="Y34" s="1933">
        <f t="shared" ca="1" si="13"/>
        <v>0</v>
      </c>
      <c r="Z34" s="1933">
        <f t="shared" ca="1" si="13"/>
        <v>0</v>
      </c>
      <c r="AA34" s="1933">
        <f t="shared" ca="1" si="13"/>
        <v>0</v>
      </c>
    </row>
    <row r="35" spans="2:27" x14ac:dyDescent="0.25">
      <c r="B35" s="1518" t="s">
        <v>681</v>
      </c>
      <c r="C35" s="1518" t="s">
        <v>407</v>
      </c>
      <c r="D35" s="1518" t="s">
        <v>2859</v>
      </c>
      <c r="E35" s="1518" t="s">
        <v>2865</v>
      </c>
      <c r="F35" s="1519" t="s">
        <v>2868</v>
      </c>
      <c r="G35" s="1522">
        <f ca="1">IF(OFFSET(тФакЧасове[[#This Row],[полеФакултет]],-1,0)=тФакЧасове[[#This Row],[полеФакултет]],N(OFFSET(тФакЧасове[[#This Row],[№]],-1,0))+1,1)</f>
        <v>4</v>
      </c>
      <c r="H35" s="1933">
        <f t="shared" ca="1" si="12"/>
        <v>0</v>
      </c>
      <c r="I35" s="1933">
        <f t="shared" ca="1" si="12"/>
        <v>0</v>
      </c>
      <c r="J35" s="1933">
        <f t="shared" ca="1" si="12"/>
        <v>0</v>
      </c>
      <c r="K35" s="1933">
        <f t="shared" ca="1" si="12"/>
        <v>0</v>
      </c>
      <c r="L35" s="1933">
        <f t="shared" ca="1" si="12"/>
        <v>0</v>
      </c>
      <c r="M35" s="1933">
        <f t="shared" ca="1" si="12"/>
        <v>0</v>
      </c>
      <c r="N35" s="1933">
        <f t="shared" ca="1" si="12"/>
        <v>0</v>
      </c>
      <c r="O35" s="1933">
        <f t="shared" ca="1" si="12"/>
        <v>0</v>
      </c>
      <c r="P35" s="1933">
        <f t="shared" ca="1" si="12"/>
        <v>0</v>
      </c>
      <c r="Q35" s="1933">
        <f t="shared" ca="1" si="12"/>
        <v>0</v>
      </c>
      <c r="R35" s="1933">
        <f t="shared" ca="1" si="13"/>
        <v>0</v>
      </c>
      <c r="S35" s="1933">
        <f t="shared" ca="1" si="13"/>
        <v>0</v>
      </c>
      <c r="T35" s="1933">
        <f t="shared" ca="1" si="13"/>
        <v>0</v>
      </c>
      <c r="U35" s="1933">
        <f t="shared" ca="1" si="13"/>
        <v>0</v>
      </c>
      <c r="V35" s="1933">
        <f t="shared" ca="1" si="13"/>
        <v>0</v>
      </c>
      <c r="W35" s="1933">
        <f t="shared" ca="1" si="13"/>
        <v>0</v>
      </c>
      <c r="X35" s="1933">
        <f t="shared" ca="1" si="13"/>
        <v>0</v>
      </c>
      <c r="Y35" s="1933">
        <f t="shared" ca="1" si="13"/>
        <v>0</v>
      </c>
      <c r="Z35" s="1933">
        <f t="shared" ca="1" si="13"/>
        <v>0</v>
      </c>
      <c r="AA35" s="1933">
        <f t="shared" ca="1" si="13"/>
        <v>0</v>
      </c>
    </row>
    <row r="36" spans="2:27" x14ac:dyDescent="0.25">
      <c r="B36" t="s">
        <v>682</v>
      </c>
      <c r="C36" t="s">
        <v>406</v>
      </c>
      <c r="D36" t="s">
        <v>2859</v>
      </c>
      <c r="E36" t="s">
        <v>2869</v>
      </c>
      <c r="F36" s="1515" t="s">
        <v>2878</v>
      </c>
      <c r="G36" s="1521">
        <f ca="1">IF(OFFSET(тФакЧасове[[#This Row],[полеФакултет]],-1,0)=тФакЧасове[[#This Row],[полеФакултет]],N(OFFSET(тФакЧасове[[#This Row],[№]],-1,0))+1,1)</f>
        <v>1</v>
      </c>
      <c r="H36" s="1932">
        <f t="shared" ca="1" si="12"/>
        <v>0</v>
      </c>
      <c r="I36" s="1932">
        <f t="shared" ca="1" si="12"/>
        <v>0</v>
      </c>
      <c r="J36" s="1932">
        <f t="shared" ca="1" si="12"/>
        <v>0</v>
      </c>
      <c r="K36" s="1932">
        <f t="shared" ca="1" si="12"/>
        <v>0</v>
      </c>
      <c r="L36" s="1932">
        <f t="shared" ca="1" si="12"/>
        <v>0</v>
      </c>
      <c r="M36" s="1932">
        <f t="shared" ca="1" si="12"/>
        <v>0</v>
      </c>
      <c r="N36" s="1932">
        <f t="shared" ca="1" si="12"/>
        <v>0</v>
      </c>
      <c r="O36" s="1932">
        <f t="shared" ca="1" si="12"/>
        <v>0</v>
      </c>
      <c r="P36" s="1932">
        <f t="shared" ca="1" si="12"/>
        <v>0</v>
      </c>
      <c r="Q36" s="1932">
        <f t="shared" ca="1" si="12"/>
        <v>0</v>
      </c>
      <c r="R36" s="1932">
        <f t="shared" ca="1" si="13"/>
        <v>0</v>
      </c>
      <c r="S36" s="1932">
        <f t="shared" ca="1" si="13"/>
        <v>0</v>
      </c>
      <c r="T36" s="1932">
        <f t="shared" ca="1" si="13"/>
        <v>0</v>
      </c>
      <c r="U36" s="1932">
        <f t="shared" ca="1" si="13"/>
        <v>0</v>
      </c>
      <c r="V36" s="1932">
        <f t="shared" ca="1" si="13"/>
        <v>0</v>
      </c>
      <c r="W36" s="1932">
        <f t="shared" ca="1" si="13"/>
        <v>0</v>
      </c>
      <c r="X36" s="1932">
        <f t="shared" ca="1" si="13"/>
        <v>0</v>
      </c>
      <c r="Y36" s="1932">
        <f t="shared" ca="1" si="13"/>
        <v>0</v>
      </c>
      <c r="Z36" s="1932">
        <f t="shared" ca="1" si="13"/>
        <v>0</v>
      </c>
      <c r="AA36" s="1932">
        <f t="shared" ca="1" si="13"/>
        <v>0</v>
      </c>
    </row>
    <row r="37" spans="2:27" x14ac:dyDescent="0.25">
      <c r="B37" t="s">
        <v>682</v>
      </c>
      <c r="C37" t="s">
        <v>406</v>
      </c>
      <c r="D37" t="s">
        <v>2859</v>
      </c>
      <c r="E37" t="s">
        <v>2869</v>
      </c>
      <c r="F37" s="1515" t="s">
        <v>2870</v>
      </c>
      <c r="G37" s="1521">
        <f ca="1">IF(OFFSET(тФакЧасове[[#This Row],[полеФакултет]],-1,0)=тФакЧасове[[#This Row],[полеФакултет]],N(OFFSET(тФакЧасове[[#This Row],[№]],-1,0))+1,1)</f>
        <v>2</v>
      </c>
      <c r="H37" s="1932">
        <f t="shared" ca="1" si="12"/>
        <v>0</v>
      </c>
      <c r="I37" s="1932">
        <f t="shared" ca="1" si="12"/>
        <v>0</v>
      </c>
      <c r="J37" s="1932">
        <f t="shared" ca="1" si="12"/>
        <v>0</v>
      </c>
      <c r="K37" s="1932">
        <f t="shared" ca="1" si="12"/>
        <v>0</v>
      </c>
      <c r="L37" s="1932">
        <f t="shared" ca="1" si="12"/>
        <v>0</v>
      </c>
      <c r="M37" s="1932">
        <f t="shared" ca="1" si="12"/>
        <v>0</v>
      </c>
      <c r="N37" s="1932">
        <f t="shared" ca="1" si="12"/>
        <v>0</v>
      </c>
      <c r="O37" s="1932">
        <f t="shared" ca="1" si="12"/>
        <v>0</v>
      </c>
      <c r="P37" s="1932">
        <f t="shared" ca="1" si="12"/>
        <v>0</v>
      </c>
      <c r="Q37" s="1932">
        <f t="shared" ca="1" si="12"/>
        <v>0</v>
      </c>
      <c r="R37" s="1932">
        <f t="shared" ca="1" si="13"/>
        <v>0</v>
      </c>
      <c r="S37" s="1932">
        <f t="shared" ca="1" si="13"/>
        <v>0</v>
      </c>
      <c r="T37" s="1932">
        <f t="shared" ca="1" si="13"/>
        <v>0</v>
      </c>
      <c r="U37" s="1932">
        <f t="shared" ca="1" si="13"/>
        <v>0</v>
      </c>
      <c r="V37" s="1932">
        <f t="shared" ca="1" si="13"/>
        <v>0</v>
      </c>
      <c r="W37" s="1932">
        <f t="shared" ca="1" si="13"/>
        <v>0</v>
      </c>
      <c r="X37" s="1932">
        <f t="shared" ca="1" si="13"/>
        <v>0</v>
      </c>
      <c r="Y37" s="1932">
        <f t="shared" ca="1" si="13"/>
        <v>0</v>
      </c>
      <c r="Z37" s="1932">
        <f t="shared" ca="1" si="13"/>
        <v>0</v>
      </c>
      <c r="AA37" s="1932">
        <f t="shared" ca="1" si="13"/>
        <v>0</v>
      </c>
    </row>
    <row r="38" spans="2:27" x14ac:dyDescent="0.25">
      <c r="B38" t="s">
        <v>682</v>
      </c>
      <c r="C38" t="s">
        <v>406</v>
      </c>
      <c r="D38" t="s">
        <v>2859</v>
      </c>
      <c r="E38" t="s">
        <v>2869</v>
      </c>
      <c r="F38" s="1515" t="s">
        <v>2871</v>
      </c>
      <c r="G38" s="1521">
        <f ca="1">IF(OFFSET(тФакЧасове[[#This Row],[полеФакултет]],-1,0)=тФакЧасове[[#This Row],[полеФакултет]],N(OFFSET(тФакЧасове[[#This Row],[№]],-1,0))+1,1)</f>
        <v>3</v>
      </c>
      <c r="H38" s="1932">
        <f t="shared" ca="1" si="12"/>
        <v>0</v>
      </c>
      <c r="I38" s="1932">
        <f t="shared" ca="1" si="12"/>
        <v>0</v>
      </c>
      <c r="J38" s="1932">
        <f t="shared" ca="1" si="12"/>
        <v>0</v>
      </c>
      <c r="K38" s="1932">
        <f t="shared" ca="1" si="12"/>
        <v>0</v>
      </c>
      <c r="L38" s="1932">
        <f t="shared" ca="1" si="12"/>
        <v>0</v>
      </c>
      <c r="M38" s="1932">
        <f t="shared" ca="1" si="12"/>
        <v>0</v>
      </c>
      <c r="N38" s="1932">
        <f t="shared" ca="1" si="12"/>
        <v>0</v>
      </c>
      <c r="O38" s="1932">
        <f t="shared" ca="1" si="12"/>
        <v>0</v>
      </c>
      <c r="P38" s="1932">
        <f t="shared" ca="1" si="12"/>
        <v>0</v>
      </c>
      <c r="Q38" s="1932">
        <f t="shared" ca="1" si="12"/>
        <v>0</v>
      </c>
      <c r="R38" s="1932">
        <f t="shared" ca="1" si="13"/>
        <v>0</v>
      </c>
      <c r="S38" s="1932">
        <f t="shared" ca="1" si="13"/>
        <v>0</v>
      </c>
      <c r="T38" s="1932">
        <f t="shared" ca="1" si="13"/>
        <v>0</v>
      </c>
      <c r="U38" s="1932">
        <f t="shared" ca="1" si="13"/>
        <v>0</v>
      </c>
      <c r="V38" s="1932">
        <f t="shared" ca="1" si="13"/>
        <v>0</v>
      </c>
      <c r="W38" s="1932">
        <f t="shared" ca="1" si="13"/>
        <v>0</v>
      </c>
      <c r="X38" s="1932">
        <f t="shared" ca="1" si="13"/>
        <v>0</v>
      </c>
      <c r="Y38" s="1932">
        <f t="shared" ca="1" si="13"/>
        <v>0</v>
      </c>
      <c r="Z38" s="1932">
        <f t="shared" ca="1" si="13"/>
        <v>0</v>
      </c>
      <c r="AA38" s="1932">
        <f t="shared" ca="1" si="13"/>
        <v>0</v>
      </c>
    </row>
    <row r="39" spans="2:27" x14ac:dyDescent="0.25">
      <c r="B39" t="s">
        <v>682</v>
      </c>
      <c r="C39" t="s">
        <v>406</v>
      </c>
      <c r="D39" t="s">
        <v>2859</v>
      </c>
      <c r="E39" t="s">
        <v>2869</v>
      </c>
      <c r="F39" s="1515" t="s">
        <v>2872</v>
      </c>
      <c r="G39" s="1521">
        <f ca="1">IF(OFFSET(тФакЧасове[[#This Row],[полеФакултет]],-1,0)=тФакЧасове[[#This Row],[полеФакултет]],N(OFFSET(тФакЧасове[[#This Row],[№]],-1,0))+1,1)</f>
        <v>4</v>
      </c>
      <c r="H39" s="1932">
        <f ca="1">SUMIF(INDIRECT($E39),H$7,INDIRECT($F39))*5</f>
        <v>0</v>
      </c>
      <c r="I39" s="1932">
        <f t="shared" ref="I39:AA39" ca="1" si="14">SUMIF(INDIRECT($E39),I$7,INDIRECT($F39))*5</f>
        <v>0</v>
      </c>
      <c r="J39" s="1932">
        <f t="shared" ca="1" si="14"/>
        <v>0</v>
      </c>
      <c r="K39" s="1932">
        <f t="shared" ca="1" si="14"/>
        <v>0</v>
      </c>
      <c r="L39" s="1932">
        <f t="shared" ca="1" si="14"/>
        <v>0</v>
      </c>
      <c r="M39" s="1932">
        <f t="shared" ca="1" si="14"/>
        <v>0</v>
      </c>
      <c r="N39" s="1932">
        <f t="shared" ca="1" si="14"/>
        <v>0</v>
      </c>
      <c r="O39" s="1932">
        <f t="shared" ca="1" si="14"/>
        <v>0</v>
      </c>
      <c r="P39" s="1932">
        <f t="shared" ca="1" si="14"/>
        <v>0</v>
      </c>
      <c r="Q39" s="1932">
        <f t="shared" ca="1" si="14"/>
        <v>0</v>
      </c>
      <c r="R39" s="1932">
        <f t="shared" ca="1" si="14"/>
        <v>0</v>
      </c>
      <c r="S39" s="1932">
        <f t="shared" ca="1" si="14"/>
        <v>0</v>
      </c>
      <c r="T39" s="1932">
        <f t="shared" ca="1" si="14"/>
        <v>0</v>
      </c>
      <c r="U39" s="1932">
        <f t="shared" ca="1" si="14"/>
        <v>0</v>
      </c>
      <c r="V39" s="1932">
        <f t="shared" ca="1" si="14"/>
        <v>0</v>
      </c>
      <c r="W39" s="1932">
        <f t="shared" ca="1" si="14"/>
        <v>0</v>
      </c>
      <c r="X39" s="1932">
        <f t="shared" ca="1" si="14"/>
        <v>0</v>
      </c>
      <c r="Y39" s="1932">
        <f t="shared" ca="1" si="14"/>
        <v>0</v>
      </c>
      <c r="Z39" s="1932">
        <f t="shared" ca="1" si="14"/>
        <v>0</v>
      </c>
      <c r="AA39" s="1932">
        <f t="shared" ca="1" si="14"/>
        <v>0</v>
      </c>
    </row>
    <row r="40" spans="2:27" x14ac:dyDescent="0.25">
      <c r="B40" s="1518" t="s">
        <v>682</v>
      </c>
      <c r="C40" s="1518" t="s">
        <v>407</v>
      </c>
      <c r="D40" s="1518" t="s">
        <v>2859</v>
      </c>
      <c r="E40" s="1518" t="s">
        <v>2873</v>
      </c>
      <c r="F40" s="1519" t="s">
        <v>2879</v>
      </c>
      <c r="G40" s="1522">
        <f ca="1">IF(OFFSET(тФакЧасове[[#This Row],[полеФакултет]],-1,0)=тФакЧасове[[#This Row],[полеФакултет]],N(OFFSET(тФакЧасове[[#This Row],[№]],-1,0))+1,1)</f>
        <v>1</v>
      </c>
      <c r="H40" s="1933">
        <f t="shared" ref="H40:Q49" ca="1" si="15">SUMIF(INDIRECT($E40),H$7,INDIRECT($F40))</f>
        <v>0</v>
      </c>
      <c r="I40" s="1933">
        <f t="shared" ca="1" si="15"/>
        <v>0</v>
      </c>
      <c r="J40" s="1933">
        <f t="shared" ca="1" si="15"/>
        <v>0</v>
      </c>
      <c r="K40" s="1933">
        <f t="shared" ca="1" si="15"/>
        <v>0</v>
      </c>
      <c r="L40" s="1933">
        <f t="shared" ca="1" si="15"/>
        <v>0</v>
      </c>
      <c r="M40" s="1933">
        <f t="shared" ca="1" si="15"/>
        <v>0</v>
      </c>
      <c r="N40" s="1933">
        <f t="shared" ca="1" si="15"/>
        <v>0</v>
      </c>
      <c r="O40" s="1933">
        <f t="shared" ca="1" si="15"/>
        <v>0</v>
      </c>
      <c r="P40" s="1933">
        <f t="shared" ca="1" si="15"/>
        <v>0</v>
      </c>
      <c r="Q40" s="1933">
        <f t="shared" ca="1" si="15"/>
        <v>0</v>
      </c>
      <c r="R40" s="1933">
        <f t="shared" ref="R40:AA49" ca="1" si="16">SUMIF(INDIRECT($E40),R$7,INDIRECT($F40))</f>
        <v>0</v>
      </c>
      <c r="S40" s="1933">
        <f t="shared" ca="1" si="16"/>
        <v>0</v>
      </c>
      <c r="T40" s="1933">
        <f t="shared" ca="1" si="16"/>
        <v>0</v>
      </c>
      <c r="U40" s="1933">
        <f t="shared" ca="1" si="16"/>
        <v>0</v>
      </c>
      <c r="V40" s="1933">
        <f t="shared" ca="1" si="16"/>
        <v>0</v>
      </c>
      <c r="W40" s="1933">
        <f t="shared" ca="1" si="16"/>
        <v>0</v>
      </c>
      <c r="X40" s="1933">
        <f t="shared" ca="1" si="16"/>
        <v>0</v>
      </c>
      <c r="Y40" s="1933">
        <f t="shared" ca="1" si="16"/>
        <v>0</v>
      </c>
      <c r="Z40" s="1933">
        <f t="shared" ca="1" si="16"/>
        <v>0</v>
      </c>
      <c r="AA40" s="1933">
        <f t="shared" ca="1" si="16"/>
        <v>0</v>
      </c>
    </row>
    <row r="41" spans="2:27" x14ac:dyDescent="0.25">
      <c r="B41" s="1518" t="s">
        <v>682</v>
      </c>
      <c r="C41" s="1518" t="s">
        <v>407</v>
      </c>
      <c r="D41" s="1518" t="s">
        <v>2859</v>
      </c>
      <c r="E41" s="1518" t="s">
        <v>2873</v>
      </c>
      <c r="F41" s="1519" t="s">
        <v>2874</v>
      </c>
      <c r="G41" s="1522">
        <f ca="1">IF(OFFSET(тФакЧасове[[#This Row],[полеФакултет]],-1,0)=тФакЧасове[[#This Row],[полеФакултет]],N(OFFSET(тФакЧасове[[#This Row],[№]],-1,0))+1,1)</f>
        <v>2</v>
      </c>
      <c r="H41" s="1933">
        <f t="shared" ca="1" si="15"/>
        <v>0</v>
      </c>
      <c r="I41" s="1933">
        <f t="shared" ca="1" si="15"/>
        <v>0</v>
      </c>
      <c r="J41" s="1933">
        <f t="shared" ca="1" si="15"/>
        <v>0</v>
      </c>
      <c r="K41" s="1933">
        <f t="shared" ca="1" si="15"/>
        <v>0</v>
      </c>
      <c r="L41" s="1933">
        <f t="shared" ca="1" si="15"/>
        <v>0</v>
      </c>
      <c r="M41" s="1933">
        <f t="shared" ca="1" si="15"/>
        <v>0</v>
      </c>
      <c r="N41" s="1933">
        <f t="shared" ca="1" si="15"/>
        <v>0</v>
      </c>
      <c r="O41" s="1933">
        <f t="shared" ca="1" si="15"/>
        <v>0</v>
      </c>
      <c r="P41" s="1933">
        <f t="shared" ca="1" si="15"/>
        <v>0</v>
      </c>
      <c r="Q41" s="1933">
        <f t="shared" ca="1" si="15"/>
        <v>0</v>
      </c>
      <c r="R41" s="1933">
        <f t="shared" ca="1" si="16"/>
        <v>0</v>
      </c>
      <c r="S41" s="1933">
        <f t="shared" ca="1" si="16"/>
        <v>0</v>
      </c>
      <c r="T41" s="1933">
        <f t="shared" ca="1" si="16"/>
        <v>0</v>
      </c>
      <c r="U41" s="1933">
        <f t="shared" ca="1" si="16"/>
        <v>0</v>
      </c>
      <c r="V41" s="1933">
        <f t="shared" ca="1" si="16"/>
        <v>0</v>
      </c>
      <c r="W41" s="1933">
        <f t="shared" ca="1" si="16"/>
        <v>0</v>
      </c>
      <c r="X41" s="1933">
        <f t="shared" ca="1" si="16"/>
        <v>0</v>
      </c>
      <c r="Y41" s="1933">
        <f t="shared" ca="1" si="16"/>
        <v>0</v>
      </c>
      <c r="Z41" s="1933">
        <f t="shared" ca="1" si="16"/>
        <v>0</v>
      </c>
      <c r="AA41" s="1933">
        <f t="shared" ca="1" si="16"/>
        <v>0</v>
      </c>
    </row>
    <row r="42" spans="2:27" x14ac:dyDescent="0.25">
      <c r="B42" s="1518" t="s">
        <v>682</v>
      </c>
      <c r="C42" s="1518" t="s">
        <v>407</v>
      </c>
      <c r="D42" s="1518" t="s">
        <v>2859</v>
      </c>
      <c r="E42" s="1518" t="s">
        <v>2873</v>
      </c>
      <c r="F42" s="1519" t="s">
        <v>2875</v>
      </c>
      <c r="G42" s="1522">
        <f ca="1">IF(OFFSET(тФакЧасове[[#This Row],[полеФакултет]],-1,0)=тФакЧасове[[#This Row],[полеФакултет]],N(OFFSET(тФакЧасове[[#This Row],[№]],-1,0))+1,1)</f>
        <v>3</v>
      </c>
      <c r="H42" s="1933">
        <f t="shared" ca="1" si="15"/>
        <v>0</v>
      </c>
      <c r="I42" s="1933">
        <f t="shared" ca="1" si="15"/>
        <v>0</v>
      </c>
      <c r="J42" s="1933">
        <f t="shared" ca="1" si="15"/>
        <v>0</v>
      </c>
      <c r="K42" s="1933">
        <f t="shared" ca="1" si="15"/>
        <v>0</v>
      </c>
      <c r="L42" s="1933">
        <f t="shared" ca="1" si="15"/>
        <v>0</v>
      </c>
      <c r="M42" s="1933">
        <f t="shared" ca="1" si="15"/>
        <v>0</v>
      </c>
      <c r="N42" s="1933">
        <f t="shared" ca="1" si="15"/>
        <v>0</v>
      </c>
      <c r="O42" s="1933">
        <f t="shared" ca="1" si="15"/>
        <v>0</v>
      </c>
      <c r="P42" s="1933">
        <f t="shared" ca="1" si="15"/>
        <v>0</v>
      </c>
      <c r="Q42" s="1933">
        <f t="shared" ca="1" si="15"/>
        <v>0</v>
      </c>
      <c r="R42" s="1933">
        <f t="shared" ca="1" si="16"/>
        <v>0</v>
      </c>
      <c r="S42" s="1933">
        <f t="shared" ca="1" si="16"/>
        <v>0</v>
      </c>
      <c r="T42" s="1933">
        <f t="shared" ca="1" si="16"/>
        <v>0</v>
      </c>
      <c r="U42" s="1933">
        <f t="shared" ca="1" si="16"/>
        <v>0</v>
      </c>
      <c r="V42" s="1933">
        <f t="shared" ca="1" si="16"/>
        <v>0</v>
      </c>
      <c r="W42" s="1933">
        <f t="shared" ca="1" si="16"/>
        <v>0</v>
      </c>
      <c r="X42" s="1933">
        <f t="shared" ca="1" si="16"/>
        <v>0</v>
      </c>
      <c r="Y42" s="1933">
        <f t="shared" ca="1" si="16"/>
        <v>0</v>
      </c>
      <c r="Z42" s="1933">
        <f t="shared" ca="1" si="16"/>
        <v>0</v>
      </c>
      <c r="AA42" s="1933">
        <f t="shared" ca="1" si="16"/>
        <v>0</v>
      </c>
    </row>
    <row r="43" spans="2:27" x14ac:dyDescent="0.25">
      <c r="B43" s="1518" t="s">
        <v>682</v>
      </c>
      <c r="C43" s="1518" t="s">
        <v>407</v>
      </c>
      <c r="D43" s="1518" t="s">
        <v>2859</v>
      </c>
      <c r="E43" s="1518" t="s">
        <v>2873</v>
      </c>
      <c r="F43" s="1519" t="s">
        <v>2876</v>
      </c>
      <c r="G43" s="1522">
        <f ca="1">IF(OFFSET(тФакЧасове[[#This Row],[полеФакултет]],-1,0)=тФакЧасове[[#This Row],[полеФакултет]],N(OFFSET(тФакЧасове[[#This Row],[№]],-1,0))+1,1)</f>
        <v>4</v>
      </c>
      <c r="H43" s="1933">
        <f t="shared" ca="1" si="15"/>
        <v>0</v>
      </c>
      <c r="I43" s="1933">
        <f t="shared" ca="1" si="15"/>
        <v>0</v>
      </c>
      <c r="J43" s="1933">
        <f t="shared" ca="1" si="15"/>
        <v>0</v>
      </c>
      <c r="K43" s="1933">
        <f t="shared" ca="1" si="15"/>
        <v>0</v>
      </c>
      <c r="L43" s="1933">
        <f t="shared" ca="1" si="15"/>
        <v>0</v>
      </c>
      <c r="M43" s="1933">
        <f t="shared" ca="1" si="15"/>
        <v>0</v>
      </c>
      <c r="N43" s="1933">
        <f t="shared" ca="1" si="15"/>
        <v>0</v>
      </c>
      <c r="O43" s="1933">
        <f t="shared" ca="1" si="15"/>
        <v>0</v>
      </c>
      <c r="P43" s="1933">
        <f t="shared" ca="1" si="15"/>
        <v>0</v>
      </c>
      <c r="Q43" s="1933">
        <f t="shared" ca="1" si="15"/>
        <v>0</v>
      </c>
      <c r="R43" s="1933">
        <f t="shared" ca="1" si="16"/>
        <v>0</v>
      </c>
      <c r="S43" s="1933">
        <f t="shared" ca="1" si="16"/>
        <v>0</v>
      </c>
      <c r="T43" s="1933">
        <f t="shared" ca="1" si="16"/>
        <v>0</v>
      </c>
      <c r="U43" s="1933">
        <f t="shared" ca="1" si="16"/>
        <v>0</v>
      </c>
      <c r="V43" s="1933">
        <f t="shared" ca="1" si="16"/>
        <v>0</v>
      </c>
      <c r="W43" s="1933">
        <f t="shared" ca="1" si="16"/>
        <v>0</v>
      </c>
      <c r="X43" s="1933">
        <f t="shared" ca="1" si="16"/>
        <v>0</v>
      </c>
      <c r="Y43" s="1933">
        <f t="shared" ca="1" si="16"/>
        <v>0</v>
      </c>
      <c r="Z43" s="1933">
        <f t="shared" ca="1" si="16"/>
        <v>0</v>
      </c>
      <c r="AA43" s="1933">
        <f t="shared" ca="1" si="16"/>
        <v>0</v>
      </c>
    </row>
    <row r="44" spans="2:27" x14ac:dyDescent="0.25">
      <c r="B44" t="s">
        <v>681</v>
      </c>
      <c r="C44" t="s">
        <v>406</v>
      </c>
      <c r="D44" t="s">
        <v>2880</v>
      </c>
      <c r="E44" t="s">
        <v>2881</v>
      </c>
      <c r="F44" t="s">
        <v>2882</v>
      </c>
      <c r="G44" s="1521">
        <f ca="1">IF(OFFSET(тФакЧасове[[#This Row],[полеФакултет]],-1,0)=тФакЧасове[[#This Row],[полеФакултет]],N(OFFSET(тФакЧасове[[#This Row],[№]],-1,0))+1,1)</f>
        <v>1</v>
      </c>
      <c r="H44" s="1932">
        <f t="shared" ca="1" si="15"/>
        <v>0</v>
      </c>
      <c r="I44" s="1932">
        <f t="shared" ca="1" si="15"/>
        <v>0</v>
      </c>
      <c r="J44" s="1932">
        <f t="shared" ca="1" si="15"/>
        <v>0</v>
      </c>
      <c r="K44" s="1932">
        <f t="shared" ca="1" si="15"/>
        <v>0</v>
      </c>
      <c r="L44" s="1932">
        <f t="shared" ca="1" si="15"/>
        <v>0</v>
      </c>
      <c r="M44" s="1932">
        <f t="shared" ca="1" si="15"/>
        <v>0</v>
      </c>
      <c r="N44" s="1932">
        <f t="shared" ca="1" si="15"/>
        <v>0</v>
      </c>
      <c r="O44" s="1932">
        <f t="shared" ca="1" si="15"/>
        <v>0</v>
      </c>
      <c r="P44" s="1932">
        <f t="shared" ca="1" si="15"/>
        <v>0</v>
      </c>
      <c r="Q44" s="1932">
        <f t="shared" ca="1" si="15"/>
        <v>0</v>
      </c>
      <c r="R44" s="1932">
        <f t="shared" ca="1" si="16"/>
        <v>0</v>
      </c>
      <c r="S44" s="1932">
        <f t="shared" ca="1" si="16"/>
        <v>0</v>
      </c>
      <c r="T44" s="1932">
        <f t="shared" ca="1" si="16"/>
        <v>0</v>
      </c>
      <c r="U44" s="1932">
        <f t="shared" ca="1" si="16"/>
        <v>0</v>
      </c>
      <c r="V44" s="1932">
        <f t="shared" ca="1" si="16"/>
        <v>0</v>
      </c>
      <c r="W44" s="1932">
        <f t="shared" ca="1" si="16"/>
        <v>0</v>
      </c>
      <c r="X44" s="1932">
        <f t="shared" ca="1" si="16"/>
        <v>0</v>
      </c>
      <c r="Y44" s="1932">
        <f t="shared" ca="1" si="16"/>
        <v>0</v>
      </c>
      <c r="Z44" s="1932">
        <f t="shared" ca="1" si="16"/>
        <v>0</v>
      </c>
      <c r="AA44" s="1932">
        <f t="shared" ca="1" si="16"/>
        <v>0</v>
      </c>
    </row>
    <row r="45" spans="2:27" x14ac:dyDescent="0.25">
      <c r="B45" t="s">
        <v>681</v>
      </c>
      <c r="C45" t="s">
        <v>406</v>
      </c>
      <c r="D45" t="s">
        <v>2880</v>
      </c>
      <c r="E45" t="s">
        <v>2881</v>
      </c>
      <c r="F45" t="s">
        <v>2883</v>
      </c>
      <c r="G45" s="1521">
        <f ca="1">IF(OFFSET(тФакЧасове[[#This Row],[полеФакултет]],-1,0)=тФакЧасове[[#This Row],[полеФакултет]],N(OFFSET(тФакЧасове[[#This Row],[№]],-1,0))+1,1)</f>
        <v>2</v>
      </c>
      <c r="H45" s="1932">
        <f t="shared" ca="1" si="15"/>
        <v>0</v>
      </c>
      <c r="I45" s="1932">
        <f t="shared" ca="1" si="15"/>
        <v>0</v>
      </c>
      <c r="J45" s="1932">
        <f t="shared" ca="1" si="15"/>
        <v>0</v>
      </c>
      <c r="K45" s="1932">
        <f t="shared" ca="1" si="15"/>
        <v>0</v>
      </c>
      <c r="L45" s="1932">
        <f t="shared" ca="1" si="15"/>
        <v>0</v>
      </c>
      <c r="M45" s="1932">
        <f t="shared" ca="1" si="15"/>
        <v>0</v>
      </c>
      <c r="N45" s="1932">
        <f t="shared" ca="1" si="15"/>
        <v>0</v>
      </c>
      <c r="O45" s="1932">
        <f t="shared" ca="1" si="15"/>
        <v>0</v>
      </c>
      <c r="P45" s="1932">
        <f t="shared" ca="1" si="15"/>
        <v>0</v>
      </c>
      <c r="Q45" s="1932">
        <f t="shared" ca="1" si="15"/>
        <v>0</v>
      </c>
      <c r="R45" s="1932">
        <f t="shared" ca="1" si="16"/>
        <v>0</v>
      </c>
      <c r="S45" s="1932">
        <f t="shared" ca="1" si="16"/>
        <v>0</v>
      </c>
      <c r="T45" s="1932">
        <f t="shared" ca="1" si="16"/>
        <v>0</v>
      </c>
      <c r="U45" s="1932">
        <f t="shared" ca="1" si="16"/>
        <v>0</v>
      </c>
      <c r="V45" s="1932">
        <f t="shared" ca="1" si="16"/>
        <v>0</v>
      </c>
      <c r="W45" s="1932">
        <f t="shared" ca="1" si="16"/>
        <v>0</v>
      </c>
      <c r="X45" s="1932">
        <f t="shared" ca="1" si="16"/>
        <v>0</v>
      </c>
      <c r="Y45" s="1932">
        <f t="shared" ca="1" si="16"/>
        <v>0</v>
      </c>
      <c r="Z45" s="1932">
        <f t="shared" ca="1" si="16"/>
        <v>0</v>
      </c>
      <c r="AA45" s="1932">
        <f t="shared" ca="1" si="16"/>
        <v>0</v>
      </c>
    </row>
    <row r="46" spans="2:27" x14ac:dyDescent="0.25">
      <c r="B46" t="s">
        <v>681</v>
      </c>
      <c r="C46" t="s">
        <v>406</v>
      </c>
      <c r="D46" t="s">
        <v>2880</v>
      </c>
      <c r="E46" t="s">
        <v>2881</v>
      </c>
      <c r="F46" t="s">
        <v>2884</v>
      </c>
      <c r="G46" s="1521">
        <f ca="1">IF(OFFSET(тФакЧасове[[#This Row],[полеФакултет]],-1,0)=тФакЧасове[[#This Row],[полеФакултет]],N(OFFSET(тФакЧасове[[#This Row],[№]],-1,0))+1,1)</f>
        <v>3</v>
      </c>
      <c r="H46" s="1932">
        <f t="shared" ca="1" si="15"/>
        <v>0</v>
      </c>
      <c r="I46" s="1932">
        <f t="shared" ca="1" si="15"/>
        <v>0</v>
      </c>
      <c r="J46" s="1932">
        <f t="shared" ca="1" si="15"/>
        <v>0</v>
      </c>
      <c r="K46" s="1932">
        <f t="shared" ca="1" si="15"/>
        <v>0</v>
      </c>
      <c r="L46" s="1932">
        <f t="shared" ca="1" si="15"/>
        <v>0</v>
      </c>
      <c r="M46" s="1932">
        <f t="shared" ca="1" si="15"/>
        <v>0</v>
      </c>
      <c r="N46" s="1932">
        <f t="shared" ca="1" si="15"/>
        <v>0</v>
      </c>
      <c r="O46" s="1932">
        <f t="shared" ca="1" si="15"/>
        <v>0</v>
      </c>
      <c r="P46" s="1932">
        <f t="shared" ca="1" si="15"/>
        <v>0</v>
      </c>
      <c r="Q46" s="1932">
        <f t="shared" ca="1" si="15"/>
        <v>0</v>
      </c>
      <c r="R46" s="1932">
        <f t="shared" ca="1" si="16"/>
        <v>0</v>
      </c>
      <c r="S46" s="1932">
        <f t="shared" ca="1" si="16"/>
        <v>0</v>
      </c>
      <c r="T46" s="1932">
        <f t="shared" ca="1" si="16"/>
        <v>0</v>
      </c>
      <c r="U46" s="1932">
        <f t="shared" ca="1" si="16"/>
        <v>0</v>
      </c>
      <c r="V46" s="1932">
        <f t="shared" ca="1" si="16"/>
        <v>0</v>
      </c>
      <c r="W46" s="1932">
        <f t="shared" ca="1" si="16"/>
        <v>0</v>
      </c>
      <c r="X46" s="1932">
        <f t="shared" ca="1" si="16"/>
        <v>0</v>
      </c>
      <c r="Y46" s="1932">
        <f t="shared" ca="1" si="16"/>
        <v>0</v>
      </c>
      <c r="Z46" s="1932">
        <f t="shared" ca="1" si="16"/>
        <v>0</v>
      </c>
      <c r="AA46" s="1932">
        <f t="shared" ca="1" si="16"/>
        <v>0</v>
      </c>
    </row>
    <row r="47" spans="2:27" x14ac:dyDescent="0.25">
      <c r="B47" s="1518" t="s">
        <v>681</v>
      </c>
      <c r="C47" s="1518" t="s">
        <v>407</v>
      </c>
      <c r="D47" s="1518" t="s">
        <v>2880</v>
      </c>
      <c r="E47" s="1518" t="s">
        <v>2885</v>
      </c>
      <c r="F47" s="1519" t="s">
        <v>2886</v>
      </c>
      <c r="G47" s="1522">
        <f ca="1">IF(OFFSET(тФакЧасове[[#This Row],[полеФакултет]],-1,0)=тФакЧасове[[#This Row],[полеФакултет]],N(OFFSET(тФакЧасове[[#This Row],[№]],-1,0))+1,1)</f>
        <v>1</v>
      </c>
      <c r="H47" s="1933">
        <f t="shared" ca="1" si="15"/>
        <v>0</v>
      </c>
      <c r="I47" s="1933">
        <f t="shared" ca="1" si="15"/>
        <v>0</v>
      </c>
      <c r="J47" s="1933">
        <f t="shared" ca="1" si="15"/>
        <v>0</v>
      </c>
      <c r="K47" s="1933">
        <f t="shared" ca="1" si="15"/>
        <v>0</v>
      </c>
      <c r="L47" s="1933">
        <f t="shared" ca="1" si="15"/>
        <v>0</v>
      </c>
      <c r="M47" s="1933">
        <f t="shared" ca="1" si="15"/>
        <v>0</v>
      </c>
      <c r="N47" s="1933">
        <f t="shared" ca="1" si="15"/>
        <v>0</v>
      </c>
      <c r="O47" s="1933">
        <f t="shared" ca="1" si="15"/>
        <v>0</v>
      </c>
      <c r="P47" s="1933">
        <f t="shared" ca="1" si="15"/>
        <v>0</v>
      </c>
      <c r="Q47" s="1933">
        <f t="shared" ca="1" si="15"/>
        <v>0</v>
      </c>
      <c r="R47" s="1933">
        <f t="shared" ca="1" si="16"/>
        <v>0</v>
      </c>
      <c r="S47" s="1933">
        <f t="shared" ca="1" si="16"/>
        <v>0</v>
      </c>
      <c r="T47" s="1933">
        <f t="shared" ca="1" si="16"/>
        <v>0</v>
      </c>
      <c r="U47" s="1933">
        <f t="shared" ca="1" si="16"/>
        <v>0</v>
      </c>
      <c r="V47" s="1933">
        <f t="shared" ca="1" si="16"/>
        <v>0</v>
      </c>
      <c r="W47" s="1933">
        <f t="shared" ca="1" si="16"/>
        <v>0</v>
      </c>
      <c r="X47" s="1933">
        <f t="shared" ca="1" si="16"/>
        <v>0</v>
      </c>
      <c r="Y47" s="1933">
        <f t="shared" ca="1" si="16"/>
        <v>0</v>
      </c>
      <c r="Z47" s="1933">
        <f t="shared" ca="1" si="16"/>
        <v>0</v>
      </c>
      <c r="AA47" s="1933">
        <f t="shared" ca="1" si="16"/>
        <v>0</v>
      </c>
    </row>
    <row r="48" spans="2:27" x14ac:dyDescent="0.25">
      <c r="B48" s="1518" t="s">
        <v>681</v>
      </c>
      <c r="C48" s="1518" t="s">
        <v>407</v>
      </c>
      <c r="D48" s="1518" t="s">
        <v>2880</v>
      </c>
      <c r="E48" s="1518" t="s">
        <v>2885</v>
      </c>
      <c r="F48" s="1519" t="s">
        <v>2887</v>
      </c>
      <c r="G48" s="1522">
        <f ca="1">IF(OFFSET(тФакЧасове[[#This Row],[полеФакултет]],-1,0)=тФакЧасове[[#This Row],[полеФакултет]],N(OFFSET(тФакЧасове[[#This Row],[№]],-1,0))+1,1)</f>
        <v>2</v>
      </c>
      <c r="H48" s="1933">
        <f t="shared" ca="1" si="15"/>
        <v>0</v>
      </c>
      <c r="I48" s="1933">
        <f t="shared" ca="1" si="15"/>
        <v>0</v>
      </c>
      <c r="J48" s="1933">
        <f t="shared" ca="1" si="15"/>
        <v>0</v>
      </c>
      <c r="K48" s="1933">
        <f t="shared" ca="1" si="15"/>
        <v>0</v>
      </c>
      <c r="L48" s="1933">
        <f t="shared" ca="1" si="15"/>
        <v>0</v>
      </c>
      <c r="M48" s="1933">
        <f t="shared" ca="1" si="15"/>
        <v>0</v>
      </c>
      <c r="N48" s="1933">
        <f t="shared" ca="1" si="15"/>
        <v>0</v>
      </c>
      <c r="O48" s="1933">
        <f t="shared" ca="1" si="15"/>
        <v>0</v>
      </c>
      <c r="P48" s="1933">
        <f t="shared" ca="1" si="15"/>
        <v>0</v>
      </c>
      <c r="Q48" s="1933">
        <f t="shared" ca="1" si="15"/>
        <v>0</v>
      </c>
      <c r="R48" s="1933">
        <f t="shared" ca="1" si="16"/>
        <v>0</v>
      </c>
      <c r="S48" s="1933">
        <f t="shared" ca="1" si="16"/>
        <v>0</v>
      </c>
      <c r="T48" s="1933">
        <f t="shared" ca="1" si="16"/>
        <v>0</v>
      </c>
      <c r="U48" s="1933">
        <f t="shared" ca="1" si="16"/>
        <v>0</v>
      </c>
      <c r="V48" s="1933">
        <f t="shared" ca="1" si="16"/>
        <v>0</v>
      </c>
      <c r="W48" s="1933">
        <f t="shared" ca="1" si="16"/>
        <v>0</v>
      </c>
      <c r="X48" s="1933">
        <f t="shared" ca="1" si="16"/>
        <v>0</v>
      </c>
      <c r="Y48" s="1933">
        <f t="shared" ca="1" si="16"/>
        <v>0</v>
      </c>
      <c r="Z48" s="1933">
        <f t="shared" ca="1" si="16"/>
        <v>0</v>
      </c>
      <c r="AA48" s="1933">
        <f t="shared" ca="1" si="16"/>
        <v>0</v>
      </c>
    </row>
    <row r="49" spans="2:27" x14ac:dyDescent="0.25">
      <c r="B49" s="1518" t="s">
        <v>681</v>
      </c>
      <c r="C49" s="1518" t="s">
        <v>407</v>
      </c>
      <c r="D49" s="1518" t="s">
        <v>2880</v>
      </c>
      <c r="E49" s="1518" t="s">
        <v>2885</v>
      </c>
      <c r="F49" s="1519" t="s">
        <v>2888</v>
      </c>
      <c r="G49" s="1522">
        <f ca="1">IF(OFFSET(тФакЧасове[[#This Row],[полеФакултет]],-1,0)=тФакЧасове[[#This Row],[полеФакултет]],N(OFFSET(тФакЧасове[[#This Row],[№]],-1,0))+1,1)</f>
        <v>3</v>
      </c>
      <c r="H49" s="1933">
        <f t="shared" ca="1" si="15"/>
        <v>0</v>
      </c>
      <c r="I49" s="1933">
        <f t="shared" ca="1" si="15"/>
        <v>0</v>
      </c>
      <c r="J49" s="1933">
        <f t="shared" ca="1" si="15"/>
        <v>0</v>
      </c>
      <c r="K49" s="1933">
        <f t="shared" ca="1" si="15"/>
        <v>0</v>
      </c>
      <c r="L49" s="1933">
        <f t="shared" ca="1" si="15"/>
        <v>0</v>
      </c>
      <c r="M49" s="1933">
        <f t="shared" ca="1" si="15"/>
        <v>0</v>
      </c>
      <c r="N49" s="1933">
        <f t="shared" ca="1" si="15"/>
        <v>0</v>
      </c>
      <c r="O49" s="1933">
        <f t="shared" ca="1" si="15"/>
        <v>0</v>
      </c>
      <c r="P49" s="1933">
        <f t="shared" ca="1" si="15"/>
        <v>0</v>
      </c>
      <c r="Q49" s="1933">
        <f t="shared" ca="1" si="15"/>
        <v>0</v>
      </c>
      <c r="R49" s="1933">
        <f t="shared" ca="1" si="16"/>
        <v>0</v>
      </c>
      <c r="S49" s="1933">
        <f t="shared" ca="1" si="16"/>
        <v>0</v>
      </c>
      <c r="T49" s="1933">
        <f t="shared" ca="1" si="16"/>
        <v>0</v>
      </c>
      <c r="U49" s="1933">
        <f t="shared" ca="1" si="16"/>
        <v>0</v>
      </c>
      <c r="V49" s="1933">
        <f t="shared" ca="1" si="16"/>
        <v>0</v>
      </c>
      <c r="W49" s="1933">
        <f t="shared" ca="1" si="16"/>
        <v>0</v>
      </c>
      <c r="X49" s="1933">
        <f t="shared" ca="1" si="16"/>
        <v>0</v>
      </c>
      <c r="Y49" s="1933">
        <f t="shared" ca="1" si="16"/>
        <v>0</v>
      </c>
      <c r="Z49" s="1933">
        <f t="shared" ca="1" si="16"/>
        <v>0</v>
      </c>
      <c r="AA49" s="1933">
        <f t="shared" ca="1" si="16"/>
        <v>0</v>
      </c>
    </row>
    <row r="50" spans="2:27" x14ac:dyDescent="0.25">
      <c r="B50" t="s">
        <v>682</v>
      </c>
      <c r="C50" t="s">
        <v>406</v>
      </c>
      <c r="D50" t="s">
        <v>2880</v>
      </c>
      <c r="E50" t="s">
        <v>2889</v>
      </c>
      <c r="F50" s="1515" t="s">
        <v>2890</v>
      </c>
      <c r="G50" s="1521">
        <f ca="1">IF(OFFSET(тФакЧасове[[#This Row],[полеФакултет]],-1,0)=тФакЧасове[[#This Row],[полеФакултет]],N(OFFSET(тФакЧасове[[#This Row],[№]],-1,0))+1,1)</f>
        <v>1</v>
      </c>
      <c r="H50" s="1932">
        <f t="shared" ref="H50:Q55" ca="1" si="17">SUMIF(INDIRECT($E50),H$7,INDIRECT($F50))</f>
        <v>0</v>
      </c>
      <c r="I50" s="1932">
        <f t="shared" ca="1" si="17"/>
        <v>0</v>
      </c>
      <c r="J50" s="1932">
        <f t="shared" ca="1" si="17"/>
        <v>0</v>
      </c>
      <c r="K50" s="1932">
        <f t="shared" ca="1" si="17"/>
        <v>0</v>
      </c>
      <c r="L50" s="1932">
        <f t="shared" ca="1" si="17"/>
        <v>0</v>
      </c>
      <c r="M50" s="1932">
        <f t="shared" ca="1" si="17"/>
        <v>0</v>
      </c>
      <c r="N50" s="1932">
        <f t="shared" ca="1" si="17"/>
        <v>0</v>
      </c>
      <c r="O50" s="1932">
        <f t="shared" ca="1" si="17"/>
        <v>0</v>
      </c>
      <c r="P50" s="1932">
        <f t="shared" ca="1" si="17"/>
        <v>0</v>
      </c>
      <c r="Q50" s="1932">
        <f t="shared" ca="1" si="17"/>
        <v>0</v>
      </c>
      <c r="R50" s="1932">
        <f t="shared" ref="R50:AA55" ca="1" si="18">SUMIF(INDIRECT($E50),R$7,INDIRECT($F50))</f>
        <v>0</v>
      </c>
      <c r="S50" s="1932">
        <f t="shared" ca="1" si="18"/>
        <v>0</v>
      </c>
      <c r="T50" s="1932">
        <f t="shared" ca="1" si="18"/>
        <v>0</v>
      </c>
      <c r="U50" s="1932">
        <f t="shared" ca="1" si="18"/>
        <v>0</v>
      </c>
      <c r="V50" s="1932">
        <f t="shared" ca="1" si="18"/>
        <v>0</v>
      </c>
      <c r="W50" s="1932">
        <f t="shared" ca="1" si="18"/>
        <v>0</v>
      </c>
      <c r="X50" s="1932">
        <f t="shared" ca="1" si="18"/>
        <v>0</v>
      </c>
      <c r="Y50" s="1932">
        <f t="shared" ca="1" si="18"/>
        <v>0</v>
      </c>
      <c r="Z50" s="1932">
        <f t="shared" ca="1" si="18"/>
        <v>0</v>
      </c>
      <c r="AA50" s="1932">
        <f t="shared" ca="1" si="18"/>
        <v>0</v>
      </c>
    </row>
    <row r="51" spans="2:27" x14ac:dyDescent="0.25">
      <c r="B51" t="s">
        <v>682</v>
      </c>
      <c r="C51" t="s">
        <v>406</v>
      </c>
      <c r="D51" t="s">
        <v>2880</v>
      </c>
      <c r="E51" t="s">
        <v>2889</v>
      </c>
      <c r="F51" s="1515" t="s">
        <v>2891</v>
      </c>
      <c r="G51" s="1521">
        <f ca="1">IF(OFFSET(тФакЧасове[[#This Row],[полеФакултет]],-1,0)=тФакЧасове[[#This Row],[полеФакултет]],N(OFFSET(тФакЧасове[[#This Row],[№]],-1,0))+1,1)</f>
        <v>2</v>
      </c>
      <c r="H51" s="1932">
        <f t="shared" ca="1" si="17"/>
        <v>0</v>
      </c>
      <c r="I51" s="1932">
        <f t="shared" ca="1" si="17"/>
        <v>0</v>
      </c>
      <c r="J51" s="1932">
        <f t="shared" ca="1" si="17"/>
        <v>0</v>
      </c>
      <c r="K51" s="1932">
        <f t="shared" ca="1" si="17"/>
        <v>0</v>
      </c>
      <c r="L51" s="1932">
        <f t="shared" ca="1" si="17"/>
        <v>0</v>
      </c>
      <c r="M51" s="1932">
        <f t="shared" ca="1" si="17"/>
        <v>0</v>
      </c>
      <c r="N51" s="1932">
        <f t="shared" ca="1" si="17"/>
        <v>0</v>
      </c>
      <c r="O51" s="1932">
        <f t="shared" ca="1" si="17"/>
        <v>0</v>
      </c>
      <c r="P51" s="1932">
        <f t="shared" ca="1" si="17"/>
        <v>0</v>
      </c>
      <c r="Q51" s="1932">
        <f t="shared" ca="1" si="17"/>
        <v>0</v>
      </c>
      <c r="R51" s="1932">
        <f t="shared" ca="1" si="18"/>
        <v>0</v>
      </c>
      <c r="S51" s="1932">
        <f t="shared" ca="1" si="18"/>
        <v>0</v>
      </c>
      <c r="T51" s="1932">
        <f t="shared" ca="1" si="18"/>
        <v>0</v>
      </c>
      <c r="U51" s="1932">
        <f t="shared" ca="1" si="18"/>
        <v>0</v>
      </c>
      <c r="V51" s="1932">
        <f t="shared" ca="1" si="18"/>
        <v>0</v>
      </c>
      <c r="W51" s="1932">
        <f t="shared" ca="1" si="18"/>
        <v>0</v>
      </c>
      <c r="X51" s="1932">
        <f t="shared" ca="1" si="18"/>
        <v>0</v>
      </c>
      <c r="Y51" s="1932">
        <f t="shared" ca="1" si="18"/>
        <v>0</v>
      </c>
      <c r="Z51" s="1932">
        <f t="shared" ca="1" si="18"/>
        <v>0</v>
      </c>
      <c r="AA51" s="1932">
        <f t="shared" ca="1" si="18"/>
        <v>0</v>
      </c>
    </row>
    <row r="52" spans="2:27" x14ac:dyDescent="0.25">
      <c r="B52" t="s">
        <v>682</v>
      </c>
      <c r="C52" t="s">
        <v>406</v>
      </c>
      <c r="D52" t="s">
        <v>2880</v>
      </c>
      <c r="E52" t="s">
        <v>2889</v>
      </c>
      <c r="F52" s="1515" t="s">
        <v>2892</v>
      </c>
      <c r="G52" s="1521">
        <f ca="1">IF(OFFSET(тФакЧасове[[#This Row],[полеФакултет]],-1,0)=тФакЧасове[[#This Row],[полеФакултет]],N(OFFSET(тФакЧасове[[#This Row],[№]],-1,0))+1,1)</f>
        <v>3</v>
      </c>
      <c r="H52" s="1932">
        <f t="shared" ca="1" si="17"/>
        <v>0</v>
      </c>
      <c r="I52" s="1932">
        <f t="shared" ca="1" si="17"/>
        <v>0</v>
      </c>
      <c r="J52" s="1932">
        <f t="shared" ca="1" si="17"/>
        <v>0</v>
      </c>
      <c r="K52" s="1932">
        <f t="shared" ca="1" si="17"/>
        <v>0</v>
      </c>
      <c r="L52" s="1932">
        <f t="shared" ca="1" si="17"/>
        <v>0</v>
      </c>
      <c r="M52" s="1932">
        <f t="shared" ca="1" si="17"/>
        <v>0</v>
      </c>
      <c r="N52" s="1932">
        <f t="shared" ca="1" si="17"/>
        <v>0</v>
      </c>
      <c r="O52" s="1932">
        <f t="shared" ca="1" si="17"/>
        <v>0</v>
      </c>
      <c r="P52" s="1932">
        <f t="shared" ca="1" si="17"/>
        <v>0</v>
      </c>
      <c r="Q52" s="1932">
        <f t="shared" ca="1" si="17"/>
        <v>0</v>
      </c>
      <c r="R52" s="1932">
        <f t="shared" ca="1" si="18"/>
        <v>0</v>
      </c>
      <c r="S52" s="1932">
        <f t="shared" ca="1" si="18"/>
        <v>0</v>
      </c>
      <c r="T52" s="1932">
        <f t="shared" ca="1" si="18"/>
        <v>0</v>
      </c>
      <c r="U52" s="1932">
        <f t="shared" ca="1" si="18"/>
        <v>0</v>
      </c>
      <c r="V52" s="1932">
        <f t="shared" ca="1" si="18"/>
        <v>0</v>
      </c>
      <c r="W52" s="1932">
        <f t="shared" ca="1" si="18"/>
        <v>0</v>
      </c>
      <c r="X52" s="1932">
        <f t="shared" ca="1" si="18"/>
        <v>0</v>
      </c>
      <c r="Y52" s="1932">
        <f t="shared" ca="1" si="18"/>
        <v>0</v>
      </c>
      <c r="Z52" s="1932">
        <f t="shared" ca="1" si="18"/>
        <v>0</v>
      </c>
      <c r="AA52" s="1932">
        <f t="shared" ca="1" si="18"/>
        <v>0</v>
      </c>
    </row>
    <row r="53" spans="2:27" x14ac:dyDescent="0.25">
      <c r="B53" s="1518" t="s">
        <v>682</v>
      </c>
      <c r="C53" s="1518" t="s">
        <v>407</v>
      </c>
      <c r="D53" s="1518" t="s">
        <v>2880</v>
      </c>
      <c r="E53" s="1518" t="s">
        <v>2893</v>
      </c>
      <c r="F53" s="1519" t="s">
        <v>2894</v>
      </c>
      <c r="G53" s="1522">
        <f ca="1">IF(OFFSET(тФакЧасове[[#This Row],[полеФакултет]],-1,0)=тФакЧасове[[#This Row],[полеФакултет]],N(OFFSET(тФакЧасове[[#This Row],[№]],-1,0))+1,1)</f>
        <v>1</v>
      </c>
      <c r="H53" s="1933">
        <f t="shared" ca="1" si="17"/>
        <v>0</v>
      </c>
      <c r="I53" s="1933">
        <f t="shared" ca="1" si="17"/>
        <v>0</v>
      </c>
      <c r="J53" s="1933">
        <f t="shared" ca="1" si="17"/>
        <v>0</v>
      </c>
      <c r="K53" s="1933">
        <f t="shared" ca="1" si="17"/>
        <v>0</v>
      </c>
      <c r="L53" s="1933">
        <f t="shared" ca="1" si="17"/>
        <v>0</v>
      </c>
      <c r="M53" s="1933">
        <f t="shared" ca="1" si="17"/>
        <v>0</v>
      </c>
      <c r="N53" s="1933">
        <f t="shared" ca="1" si="17"/>
        <v>0</v>
      </c>
      <c r="O53" s="1933">
        <f t="shared" ca="1" si="17"/>
        <v>0</v>
      </c>
      <c r="P53" s="1933">
        <f t="shared" ca="1" si="17"/>
        <v>0</v>
      </c>
      <c r="Q53" s="1933">
        <f t="shared" ca="1" si="17"/>
        <v>0</v>
      </c>
      <c r="R53" s="1933">
        <f t="shared" ca="1" si="18"/>
        <v>0</v>
      </c>
      <c r="S53" s="1933">
        <f t="shared" ca="1" si="18"/>
        <v>0</v>
      </c>
      <c r="T53" s="1933">
        <f t="shared" ca="1" si="18"/>
        <v>0</v>
      </c>
      <c r="U53" s="1933">
        <f t="shared" ca="1" si="18"/>
        <v>0</v>
      </c>
      <c r="V53" s="1933">
        <f t="shared" ca="1" si="18"/>
        <v>0</v>
      </c>
      <c r="W53" s="1933">
        <f t="shared" ca="1" si="18"/>
        <v>0</v>
      </c>
      <c r="X53" s="1933">
        <f t="shared" ca="1" si="18"/>
        <v>0</v>
      </c>
      <c r="Y53" s="1933">
        <f t="shared" ca="1" si="18"/>
        <v>0</v>
      </c>
      <c r="Z53" s="1933">
        <f t="shared" ca="1" si="18"/>
        <v>0</v>
      </c>
      <c r="AA53" s="1933">
        <f t="shared" ca="1" si="18"/>
        <v>0</v>
      </c>
    </row>
    <row r="54" spans="2:27" x14ac:dyDescent="0.25">
      <c r="B54" s="1518" t="s">
        <v>682</v>
      </c>
      <c r="C54" s="1518" t="s">
        <v>407</v>
      </c>
      <c r="D54" s="1518" t="s">
        <v>2880</v>
      </c>
      <c r="E54" s="1518" t="s">
        <v>2893</v>
      </c>
      <c r="F54" s="1519" t="s">
        <v>2895</v>
      </c>
      <c r="G54" s="1522">
        <f ca="1">IF(OFFSET(тФакЧасове[[#This Row],[полеФакултет]],-1,0)=тФакЧасове[[#This Row],[полеФакултет]],N(OFFSET(тФакЧасове[[#This Row],[№]],-1,0))+1,1)</f>
        <v>2</v>
      </c>
      <c r="H54" s="1933">
        <f t="shared" ca="1" si="17"/>
        <v>0</v>
      </c>
      <c r="I54" s="1933">
        <f t="shared" ca="1" si="17"/>
        <v>0</v>
      </c>
      <c r="J54" s="1933">
        <f t="shared" ca="1" si="17"/>
        <v>0</v>
      </c>
      <c r="K54" s="1933">
        <f t="shared" ca="1" si="17"/>
        <v>0</v>
      </c>
      <c r="L54" s="1933">
        <f t="shared" ca="1" si="17"/>
        <v>0</v>
      </c>
      <c r="M54" s="1933">
        <f t="shared" ca="1" si="17"/>
        <v>0</v>
      </c>
      <c r="N54" s="1933">
        <f t="shared" ca="1" si="17"/>
        <v>0</v>
      </c>
      <c r="O54" s="1933">
        <f t="shared" ca="1" si="17"/>
        <v>0</v>
      </c>
      <c r="P54" s="1933">
        <f t="shared" ca="1" si="17"/>
        <v>0</v>
      </c>
      <c r="Q54" s="1933">
        <f t="shared" ca="1" si="17"/>
        <v>0</v>
      </c>
      <c r="R54" s="1933">
        <f t="shared" ca="1" si="18"/>
        <v>0</v>
      </c>
      <c r="S54" s="1933">
        <f t="shared" ca="1" si="18"/>
        <v>0</v>
      </c>
      <c r="T54" s="1933">
        <f t="shared" ca="1" si="18"/>
        <v>0</v>
      </c>
      <c r="U54" s="1933">
        <f t="shared" ca="1" si="18"/>
        <v>0</v>
      </c>
      <c r="V54" s="1933">
        <f t="shared" ca="1" si="18"/>
        <v>0</v>
      </c>
      <c r="W54" s="1933">
        <f t="shared" ca="1" si="18"/>
        <v>0</v>
      </c>
      <c r="X54" s="1933">
        <f t="shared" ca="1" si="18"/>
        <v>0</v>
      </c>
      <c r="Y54" s="1933">
        <f t="shared" ca="1" si="18"/>
        <v>0</v>
      </c>
      <c r="Z54" s="1933">
        <f t="shared" ca="1" si="18"/>
        <v>0</v>
      </c>
      <c r="AA54" s="1933">
        <f t="shared" ca="1" si="18"/>
        <v>0</v>
      </c>
    </row>
    <row r="55" spans="2:27" x14ac:dyDescent="0.25">
      <c r="B55" s="1518" t="s">
        <v>682</v>
      </c>
      <c r="C55" s="1518" t="s">
        <v>407</v>
      </c>
      <c r="D55" s="1518" t="s">
        <v>2880</v>
      </c>
      <c r="E55" s="1518" t="s">
        <v>2893</v>
      </c>
      <c r="F55" s="1519" t="s">
        <v>2896</v>
      </c>
      <c r="G55" s="1522">
        <f ca="1">IF(OFFSET(тФакЧасове[[#This Row],[полеФакултет]],-1,0)=тФакЧасове[[#This Row],[полеФакултет]],N(OFFSET(тФакЧасове[[#This Row],[№]],-1,0))+1,1)</f>
        <v>3</v>
      </c>
      <c r="H55" s="1933">
        <f t="shared" ca="1" si="17"/>
        <v>0</v>
      </c>
      <c r="I55" s="1933">
        <f t="shared" ca="1" si="17"/>
        <v>0</v>
      </c>
      <c r="J55" s="1933">
        <f t="shared" ca="1" si="17"/>
        <v>0</v>
      </c>
      <c r="K55" s="1933">
        <f t="shared" ca="1" si="17"/>
        <v>0</v>
      </c>
      <c r="L55" s="1933">
        <f t="shared" ca="1" si="17"/>
        <v>0</v>
      </c>
      <c r="M55" s="1933">
        <f t="shared" ca="1" si="17"/>
        <v>0</v>
      </c>
      <c r="N55" s="1933">
        <f t="shared" ca="1" si="17"/>
        <v>0</v>
      </c>
      <c r="O55" s="1933">
        <f t="shared" ca="1" si="17"/>
        <v>0</v>
      </c>
      <c r="P55" s="1933">
        <f t="shared" ca="1" si="17"/>
        <v>0</v>
      </c>
      <c r="Q55" s="1933">
        <f t="shared" ca="1" si="17"/>
        <v>0</v>
      </c>
      <c r="R55" s="1933">
        <f t="shared" ca="1" si="18"/>
        <v>0</v>
      </c>
      <c r="S55" s="1933">
        <f t="shared" ca="1" si="18"/>
        <v>0</v>
      </c>
      <c r="T55" s="1933">
        <f t="shared" ca="1" si="18"/>
        <v>0</v>
      </c>
      <c r="U55" s="1933">
        <f t="shared" ca="1" si="18"/>
        <v>0</v>
      </c>
      <c r="V55" s="1933">
        <f t="shared" ca="1" si="18"/>
        <v>0</v>
      </c>
      <c r="W55" s="1933">
        <f t="shared" ca="1" si="18"/>
        <v>0</v>
      </c>
      <c r="X55" s="1933">
        <f t="shared" ca="1" si="18"/>
        <v>0</v>
      </c>
      <c r="Y55" s="1933">
        <f t="shared" ca="1" si="18"/>
        <v>0</v>
      </c>
      <c r="Z55" s="1933">
        <f t="shared" ca="1" si="18"/>
        <v>0</v>
      </c>
      <c r="AA55" s="1933">
        <f t="shared" ca="1" si="18"/>
        <v>0</v>
      </c>
    </row>
    <row r="56" spans="2:27" x14ac:dyDescent="0.25">
      <c r="B56" t="s">
        <v>683</v>
      </c>
      <c r="C56" s="1518"/>
      <c r="D56" t="s">
        <v>2899</v>
      </c>
      <c r="F56" s="1515" t="s">
        <v>2900</v>
      </c>
      <c r="G56" s="1521">
        <f ca="1">IF(OFFSET(тФакЧасове[[#This Row],[полеФакултет]],-1,0)=тФакЧасове[[#This Row],[полеФакултет]],N(OFFSET(тФакЧасове[[#This Row],[№]],-1,0))+1,1)</f>
        <v>1</v>
      </c>
      <c r="H56" s="1932">
        <f>IF(nФакултетОтчет=H$7,'1. Отчет'!$K$59,0)</f>
        <v>0</v>
      </c>
      <c r="I56" s="1932">
        <f>IF(nФакултетОтчет=I$7,'1. Отчет'!$K$59,0)</f>
        <v>0</v>
      </c>
      <c r="J56" s="1932">
        <f>IF(nФакултетОтчет=J$7,'1. Отчет'!$K$59,0)</f>
        <v>0</v>
      </c>
      <c r="K56" s="1932">
        <f>IF(nФакултетОтчет=K$7,'1. Отчет'!$K$59,0)</f>
        <v>0</v>
      </c>
      <c r="L56" s="1932">
        <f>IF(nФакултетОтчет=L$7,'1. Отчет'!$K$59,0)</f>
        <v>0</v>
      </c>
      <c r="M56" s="1932">
        <f>IF(nФакултетОтчет=M$7,'1. Отчет'!$K$59,0)</f>
        <v>0</v>
      </c>
      <c r="N56" s="1932">
        <f>IF(nФакултетОтчет=N$7,'1. Отчет'!$K$59,0)</f>
        <v>0</v>
      </c>
      <c r="O56" s="1932">
        <f>IF(nФакултетОтчет=O$7,'1. Отчет'!$K$59,0)</f>
        <v>0</v>
      </c>
      <c r="P56" s="1932">
        <f>IF(nФакултетОтчет=P$7,'1. Отчет'!$K$59,0)</f>
        <v>0</v>
      </c>
      <c r="Q56" s="1932">
        <f>IF(nФакултетОтчет=Q$7,'1. Отчет'!$K$59,0)</f>
        <v>0</v>
      </c>
      <c r="R56" s="1932">
        <f>IF(nФакултетОтчет=R$7,'1. Отчет'!$K$59,0)</f>
        <v>0</v>
      </c>
      <c r="S56" s="1932">
        <f>IF(nФакултетОтчет=S$7,'1. Отчет'!$K$59,0)</f>
        <v>0</v>
      </c>
      <c r="T56" s="1932">
        <f>IF(nФакултетОтчет=T$7,'1. Отчет'!$K$59,0)</f>
        <v>0</v>
      </c>
      <c r="U56" s="1932">
        <f>IF(nФакултетОтчет=U$7,'1. Отчет'!$K$59,0)</f>
        <v>0</v>
      </c>
      <c r="V56" s="1932">
        <f>IF(nФакултетОтчет=V$7,'1. Отчет'!$K$59,0)</f>
        <v>0</v>
      </c>
      <c r="W56" s="1932">
        <f>IF(nФакултетОтчет=W$7,'1. Отчет'!$K$59,0)</f>
        <v>0</v>
      </c>
      <c r="X56" s="1932">
        <f>IF(nФакултетОтчет=X$7,'1. Отчет'!$K$59,0)</f>
        <v>0</v>
      </c>
      <c r="Y56" s="1932">
        <f>IF(nФакултетОтчет=Y$7,'1. Отчет'!$K$59,0)</f>
        <v>0</v>
      </c>
      <c r="Z56" s="1932">
        <f>IF(nФакултетОтчет=Z$7,'1. Отчет'!$K$59,0)</f>
        <v>0</v>
      </c>
      <c r="AA56" s="1932">
        <f>IF(nФакултетОтчет=AA$7,'1. Отчет'!$K$59,0)</f>
        <v>0</v>
      </c>
    </row>
    <row r="57" spans="2:27" x14ac:dyDescent="0.25">
      <c r="B57" t="s">
        <v>683</v>
      </c>
      <c r="C57" s="1518"/>
      <c r="D57" t="s">
        <v>2899</v>
      </c>
      <c r="E57" t="s">
        <v>2901</v>
      </c>
      <c r="F57" s="1515" t="s">
        <v>2897</v>
      </c>
      <c r="G57" s="1521">
        <f ca="1">IF(OFFSET(тФакЧасове[[#This Row],[полеФакултет]],-1,0)=тФакЧасове[[#This Row],[полеФакултет]],N(OFFSET(тФакЧасове[[#This Row],[№]],-1,0))+1,1)</f>
        <v>1</v>
      </c>
      <c r="H57" s="1932">
        <f t="shared" ref="H57:Q58" ca="1" si="19">IF(nФакултетОтчет=H$7,SUM(INDIRECT($F57)),0)</f>
        <v>0</v>
      </c>
      <c r="I57" s="1932">
        <f t="shared" ca="1" si="19"/>
        <v>0</v>
      </c>
      <c r="J57" s="1932">
        <f t="shared" ca="1" si="19"/>
        <v>0</v>
      </c>
      <c r="K57" s="1932">
        <f t="shared" ca="1" si="19"/>
        <v>0</v>
      </c>
      <c r="L57" s="1932">
        <f t="shared" ca="1" si="19"/>
        <v>0</v>
      </c>
      <c r="M57" s="1932">
        <f t="shared" ca="1" si="19"/>
        <v>0</v>
      </c>
      <c r="N57" s="1932">
        <f t="shared" ca="1" si="19"/>
        <v>0</v>
      </c>
      <c r="O57" s="1932">
        <f t="shared" ca="1" si="19"/>
        <v>0</v>
      </c>
      <c r="P57" s="1932">
        <f t="shared" ca="1" si="19"/>
        <v>0</v>
      </c>
      <c r="Q57" s="1932">
        <f t="shared" ca="1" si="19"/>
        <v>0</v>
      </c>
      <c r="R57" s="1932">
        <f t="shared" ref="R57:AA58" ca="1" si="20">IF(nФакултетОтчет=R$7,SUM(INDIRECT($F57)),0)</f>
        <v>0</v>
      </c>
      <c r="S57" s="1932">
        <f t="shared" ca="1" si="20"/>
        <v>0</v>
      </c>
      <c r="T57" s="1932">
        <f t="shared" ca="1" si="20"/>
        <v>0</v>
      </c>
      <c r="U57" s="1932">
        <f t="shared" ca="1" si="20"/>
        <v>0</v>
      </c>
      <c r="V57" s="1932">
        <f t="shared" ca="1" si="20"/>
        <v>0</v>
      </c>
      <c r="W57" s="1932">
        <f t="shared" ca="1" si="20"/>
        <v>0</v>
      </c>
      <c r="X57" s="1932">
        <f t="shared" ca="1" si="20"/>
        <v>0</v>
      </c>
      <c r="Y57" s="1932">
        <f t="shared" ca="1" si="20"/>
        <v>0</v>
      </c>
      <c r="Z57" s="1932">
        <f t="shared" ca="1" si="20"/>
        <v>0</v>
      </c>
      <c r="AA57" s="1932">
        <f t="shared" ca="1" si="20"/>
        <v>0</v>
      </c>
    </row>
    <row r="58" spans="2:27" x14ac:dyDescent="0.25">
      <c r="B58" t="s">
        <v>683</v>
      </c>
      <c r="C58" s="1518"/>
      <c r="D58" t="s">
        <v>2899</v>
      </c>
      <c r="F58" s="1515" t="s">
        <v>2898</v>
      </c>
      <c r="G58" s="1521">
        <f ca="1">IF(OFFSET(тФакЧасове[[#This Row],[полеФакултет]],-1,0)=тФакЧасове[[#This Row],[полеФакултет]],N(OFFSET(тФакЧасове[[#This Row],[№]],-1,0))+1,1)</f>
        <v>1</v>
      </c>
      <c r="H58" s="1932">
        <f t="shared" ca="1" si="19"/>
        <v>0</v>
      </c>
      <c r="I58" s="1932">
        <f t="shared" ca="1" si="19"/>
        <v>0</v>
      </c>
      <c r="J58" s="1932">
        <f t="shared" ca="1" si="19"/>
        <v>0</v>
      </c>
      <c r="K58" s="1932">
        <f t="shared" ca="1" si="19"/>
        <v>0</v>
      </c>
      <c r="L58" s="1932">
        <f t="shared" ca="1" si="19"/>
        <v>0</v>
      </c>
      <c r="M58" s="1932">
        <f t="shared" ca="1" si="19"/>
        <v>0</v>
      </c>
      <c r="N58" s="1932">
        <f t="shared" ca="1" si="19"/>
        <v>0</v>
      </c>
      <c r="O58" s="1932">
        <f t="shared" ca="1" si="19"/>
        <v>0</v>
      </c>
      <c r="P58" s="1932">
        <f t="shared" ca="1" si="19"/>
        <v>0</v>
      </c>
      <c r="Q58" s="1932">
        <f t="shared" ca="1" si="19"/>
        <v>0</v>
      </c>
      <c r="R58" s="1932">
        <f t="shared" ca="1" si="20"/>
        <v>0</v>
      </c>
      <c r="S58" s="1932">
        <f t="shared" ca="1" si="20"/>
        <v>0</v>
      </c>
      <c r="T58" s="1932">
        <f t="shared" ca="1" si="20"/>
        <v>0</v>
      </c>
      <c r="U58" s="1932">
        <f t="shared" ca="1" si="20"/>
        <v>0</v>
      </c>
      <c r="V58" s="1932">
        <f t="shared" ca="1" si="20"/>
        <v>0</v>
      </c>
      <c r="W58" s="1932">
        <f t="shared" ca="1" si="20"/>
        <v>0</v>
      </c>
      <c r="X58" s="1932">
        <f t="shared" ca="1" si="20"/>
        <v>0</v>
      </c>
      <c r="Y58" s="1932">
        <f t="shared" ca="1" si="20"/>
        <v>0</v>
      </c>
      <c r="Z58" s="1932">
        <f t="shared" ca="1" si="20"/>
        <v>0</v>
      </c>
      <c r="AA58" s="1932">
        <f t="shared" ca="1" si="20"/>
        <v>0</v>
      </c>
    </row>
  </sheetData>
  <phoneticPr fontId="129" type="noConversion"/>
  <conditionalFormatting sqref="B8:AA58">
    <cfRule type="expression" dxfId="9" priority="1">
      <formula>$G8=1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CED0F-E559-40D4-8257-2BCAAAA5D489}">
  <sheetPr codeName="Sheet19">
    <tabColor rgb="FFFFFF00"/>
  </sheetPr>
  <dimension ref="A2:I189"/>
  <sheetViews>
    <sheetView workbookViewId="0">
      <selection activeCell="F20" sqref="F20"/>
    </sheetView>
  </sheetViews>
  <sheetFormatPr defaultRowHeight="15" x14ac:dyDescent="0.25"/>
  <cols>
    <col min="1" max="1" width="14.28515625" style="1523" bestFit="1" customWidth="1"/>
    <col min="2" max="2" width="28.28515625" style="1523" bestFit="1" customWidth="1"/>
    <col min="3" max="3" width="52.42578125" style="1523" customWidth="1"/>
    <col min="4" max="4" width="21.42578125" style="1523" bestFit="1" customWidth="1"/>
    <col min="5" max="5" width="13.7109375" style="1523" bestFit="1" customWidth="1"/>
    <col min="6" max="6" width="61.85546875" style="1523" customWidth="1"/>
    <col min="7" max="7" width="30.5703125" style="1523" bestFit="1" customWidth="1"/>
    <col min="8" max="8" width="13.7109375" style="1523" bestFit="1" customWidth="1"/>
    <col min="9" max="9" width="30.5703125" style="1523" bestFit="1" customWidth="1"/>
    <col min="10" max="10" width="81.140625" style="1523" bestFit="1" customWidth="1"/>
    <col min="11" max="11" width="36.28515625" style="1523" bestFit="1" customWidth="1"/>
    <col min="12" max="16384" width="9.140625" style="1523"/>
  </cols>
  <sheetData>
    <row r="2" spans="1:9" x14ac:dyDescent="0.25">
      <c r="A2" s="1525" t="str">
        <f>HYPERLINK(нацидFullName,"FullName:")</f>
        <v>FullName:</v>
      </c>
      <c r="B2" s="2911" t="s">
        <v>4309</v>
      </c>
      <c r="C2" s="2912"/>
      <c r="D2" s="2912"/>
      <c r="E2" s="2912"/>
      <c r="F2" s="2913"/>
      <c r="G2" s="1534"/>
      <c r="H2" s="1534"/>
      <c r="I2" s="1534"/>
    </row>
    <row r="10" spans="1:9" x14ac:dyDescent="0.25">
      <c r="A10" s="1638" t="s">
        <v>7758</v>
      </c>
      <c r="B10" t="s">
        <v>744</v>
      </c>
      <c r="C10" s="1523" t="s">
        <v>2904</v>
      </c>
      <c r="D10" s="1523" t="s">
        <v>935</v>
      </c>
      <c r="E10" t="s">
        <v>4325</v>
      </c>
      <c r="F10" s="1523" t="s">
        <v>2903</v>
      </c>
      <c r="G10" t="s">
        <v>895</v>
      </c>
      <c r="H10" t="s">
        <v>4323</v>
      </c>
      <c r="I10" t="s">
        <v>4324</v>
      </c>
    </row>
    <row r="11" spans="1:9" x14ac:dyDescent="0.25">
      <c r="A11" s="1640" t="s">
        <v>31</v>
      </c>
      <c r="B11" s="1523" t="s">
        <v>4326</v>
      </c>
      <c r="C11" s="1523" t="s">
        <v>2232</v>
      </c>
      <c r="D11" s="1523" t="s">
        <v>2962</v>
      </c>
      <c r="E11" s="1640" t="s">
        <v>4327</v>
      </c>
      <c r="F11" s="1523" t="s">
        <v>2232</v>
      </c>
      <c r="G11" s="1641" t="s">
        <v>2961</v>
      </c>
      <c r="H11" s="1640" t="s">
        <v>1153</v>
      </c>
      <c r="I11" s="1640" t="s">
        <v>682</v>
      </c>
    </row>
    <row r="12" spans="1:9" x14ac:dyDescent="0.25">
      <c r="A12" s="1640" t="s">
        <v>31</v>
      </c>
      <c r="B12" s="1523" t="s">
        <v>4328</v>
      </c>
      <c r="C12" s="1523" t="s">
        <v>2235</v>
      </c>
      <c r="D12" s="1523" t="s">
        <v>2966</v>
      </c>
      <c r="E12" s="1640" t="s">
        <v>4329</v>
      </c>
      <c r="F12" s="1523" t="s">
        <v>2235</v>
      </c>
      <c r="G12" s="1641" t="s">
        <v>2965</v>
      </c>
      <c r="H12" s="1640" t="s">
        <v>1153</v>
      </c>
      <c r="I12" s="1640" t="s">
        <v>682</v>
      </c>
    </row>
    <row r="13" spans="1:9" x14ac:dyDescent="0.25">
      <c r="A13" s="1640" t="s">
        <v>2788</v>
      </c>
      <c r="B13" s="1523" t="s">
        <v>4356</v>
      </c>
      <c r="C13" s="1523" t="s">
        <v>1641</v>
      </c>
      <c r="D13" s="1523" t="s">
        <v>4355</v>
      </c>
      <c r="E13" s="1640" t="s">
        <v>4358</v>
      </c>
      <c r="F13" s="1523" t="s">
        <v>1641</v>
      </c>
      <c r="G13" s="1641" t="s">
        <v>4357</v>
      </c>
      <c r="H13" s="1640" t="s">
        <v>1149</v>
      </c>
      <c r="I13" s="1640" t="s">
        <v>682</v>
      </c>
    </row>
    <row r="14" spans="1:9" x14ac:dyDescent="0.25">
      <c r="A14" s="1640" t="s">
        <v>50</v>
      </c>
      <c r="B14" s="1523" t="s">
        <v>7759</v>
      </c>
      <c r="C14" s="1523" t="s">
        <v>2244</v>
      </c>
      <c r="D14" s="1523" t="s">
        <v>5011</v>
      </c>
      <c r="E14" s="1640" t="s">
        <v>7760</v>
      </c>
      <c r="F14" s="1523" t="s">
        <v>2244</v>
      </c>
      <c r="G14" s="1641" t="s">
        <v>7761</v>
      </c>
      <c r="H14" s="1640" t="s">
        <v>1153</v>
      </c>
      <c r="I14" s="1640" t="s">
        <v>682</v>
      </c>
    </row>
    <row r="15" spans="1:9" x14ac:dyDescent="0.25">
      <c r="A15" s="1640" t="s">
        <v>50</v>
      </c>
      <c r="B15" s="1523" t="s">
        <v>4370</v>
      </c>
      <c r="C15" s="1523" t="s">
        <v>1911</v>
      </c>
      <c r="D15" s="1523" t="s">
        <v>7762</v>
      </c>
      <c r="E15" s="1640" t="s">
        <v>4371</v>
      </c>
      <c r="F15" s="1523" t="s">
        <v>1911</v>
      </c>
      <c r="G15" s="1641" t="s">
        <v>3025</v>
      </c>
      <c r="H15" s="1640" t="s">
        <v>1153</v>
      </c>
      <c r="I15" s="1640" t="s">
        <v>682</v>
      </c>
    </row>
    <row r="16" spans="1:9" x14ac:dyDescent="0.25">
      <c r="A16" s="1640" t="s">
        <v>50</v>
      </c>
      <c r="B16" s="1523" t="s">
        <v>4372</v>
      </c>
      <c r="C16" s="1523" t="s">
        <v>1913</v>
      </c>
      <c r="D16" s="1523" t="s">
        <v>7763</v>
      </c>
      <c r="E16" s="1640" t="s">
        <v>4373</v>
      </c>
      <c r="F16" s="1523" t="s">
        <v>1913</v>
      </c>
      <c r="G16" s="1641" t="s">
        <v>3032</v>
      </c>
      <c r="H16" s="1640" t="s">
        <v>1149</v>
      </c>
      <c r="I16" s="1640" t="s">
        <v>682</v>
      </c>
    </row>
    <row r="17" spans="1:9" x14ac:dyDescent="0.25">
      <c r="A17" s="1640" t="s">
        <v>50</v>
      </c>
      <c r="B17" s="1523" t="s">
        <v>4374</v>
      </c>
      <c r="C17" s="1523" t="s">
        <v>2097</v>
      </c>
      <c r="D17" s="1523" t="s">
        <v>3056</v>
      </c>
      <c r="E17" s="1640" t="s">
        <v>4375</v>
      </c>
      <c r="F17" s="1523" t="s">
        <v>2097</v>
      </c>
      <c r="G17" s="1641" t="s">
        <v>3055</v>
      </c>
      <c r="H17" s="1640" t="s">
        <v>1149</v>
      </c>
      <c r="I17" s="1640" t="s">
        <v>682</v>
      </c>
    </row>
    <row r="18" spans="1:9" x14ac:dyDescent="0.25">
      <c r="A18" s="1640" t="s">
        <v>50</v>
      </c>
      <c r="B18" s="1523" t="s">
        <v>4374</v>
      </c>
      <c r="C18" s="1523" t="s">
        <v>2097</v>
      </c>
      <c r="D18" s="1523" t="s">
        <v>3057</v>
      </c>
      <c r="E18" s="1640" t="s">
        <v>4375</v>
      </c>
      <c r="F18" s="1523" t="s">
        <v>2097</v>
      </c>
      <c r="G18" s="1641" t="s">
        <v>3055</v>
      </c>
      <c r="H18" s="1640" t="s">
        <v>1149</v>
      </c>
      <c r="I18" s="1640" t="s">
        <v>682</v>
      </c>
    </row>
    <row r="19" spans="1:9" x14ac:dyDescent="0.25">
      <c r="A19" s="1640" t="s">
        <v>50</v>
      </c>
      <c r="B19" s="1523" t="s">
        <v>4376</v>
      </c>
      <c r="C19" s="1523" t="s">
        <v>1935</v>
      </c>
      <c r="D19" s="1523" t="s">
        <v>7764</v>
      </c>
      <c r="E19" s="1640" t="s">
        <v>4377</v>
      </c>
      <c r="F19" s="1523" t="s">
        <v>1935</v>
      </c>
      <c r="G19" s="1641" t="s">
        <v>3067</v>
      </c>
      <c r="H19" s="1640" t="s">
        <v>1153</v>
      </c>
      <c r="I19" s="1640" t="s">
        <v>682</v>
      </c>
    </row>
    <row r="20" spans="1:9" x14ac:dyDescent="0.25">
      <c r="A20" s="1640" t="s">
        <v>50</v>
      </c>
      <c r="B20" s="1523" t="s">
        <v>4378</v>
      </c>
      <c r="C20" s="1523" t="s">
        <v>1344</v>
      </c>
      <c r="D20" s="1523" t="s">
        <v>3070</v>
      </c>
      <c r="E20" s="1640" t="s">
        <v>4379</v>
      </c>
      <c r="F20" s="1523" t="s">
        <v>1344</v>
      </c>
      <c r="G20" s="1641" t="s">
        <v>3069</v>
      </c>
      <c r="H20" s="1640" t="s">
        <v>1153</v>
      </c>
      <c r="I20" s="1640" t="s">
        <v>682</v>
      </c>
    </row>
    <row r="21" spans="1:9" x14ac:dyDescent="0.25">
      <c r="A21" s="1640" t="s">
        <v>50</v>
      </c>
      <c r="B21" s="1523" t="s">
        <v>4378</v>
      </c>
      <c r="C21" s="1523" t="s">
        <v>1344</v>
      </c>
      <c r="D21" s="1523" t="s">
        <v>3071</v>
      </c>
      <c r="E21" s="1640" t="s">
        <v>4379</v>
      </c>
      <c r="F21" s="1523" t="s">
        <v>1344</v>
      </c>
      <c r="G21" s="1641" t="s">
        <v>3069</v>
      </c>
      <c r="H21" s="1640" t="s">
        <v>1153</v>
      </c>
      <c r="I21" s="1640" t="s">
        <v>682</v>
      </c>
    </row>
    <row r="22" spans="1:9" x14ac:dyDescent="0.25">
      <c r="A22" s="1640" t="s">
        <v>48</v>
      </c>
      <c r="B22" s="1523" t="s">
        <v>4380</v>
      </c>
      <c r="C22" s="1523" t="s">
        <v>1546</v>
      </c>
      <c r="D22" s="1523" t="s">
        <v>3116</v>
      </c>
      <c r="E22" s="1640" t="s">
        <v>4381</v>
      </c>
      <c r="F22" s="1523" t="s">
        <v>1546</v>
      </c>
      <c r="G22" s="1641" t="s">
        <v>3115</v>
      </c>
      <c r="H22" s="1640" t="s">
        <v>1153</v>
      </c>
      <c r="I22" s="1640" t="s">
        <v>682</v>
      </c>
    </row>
    <row r="23" spans="1:9" x14ac:dyDescent="0.25">
      <c r="A23" s="1640" t="s">
        <v>48</v>
      </c>
      <c r="B23" s="1523" t="s">
        <v>4382</v>
      </c>
      <c r="C23" s="1523" t="s">
        <v>1548</v>
      </c>
      <c r="D23" s="1523" t="s">
        <v>3118</v>
      </c>
      <c r="E23" s="1640" t="s">
        <v>4383</v>
      </c>
      <c r="F23" s="1523" t="s">
        <v>1548</v>
      </c>
      <c r="G23" s="1641" t="s">
        <v>3117</v>
      </c>
      <c r="H23" s="1640" t="s">
        <v>1153</v>
      </c>
      <c r="I23" s="1640" t="s">
        <v>682</v>
      </c>
    </row>
    <row r="24" spans="1:9" x14ac:dyDescent="0.25">
      <c r="A24" s="1640" t="s">
        <v>48</v>
      </c>
      <c r="B24" s="1523" t="s">
        <v>4382</v>
      </c>
      <c r="C24" s="1523" t="s">
        <v>1548</v>
      </c>
      <c r="D24" s="1523" t="s">
        <v>3120</v>
      </c>
      <c r="E24" s="1640" t="s">
        <v>4383</v>
      </c>
      <c r="F24" s="1523" t="s">
        <v>1548</v>
      </c>
      <c r="G24" s="1641" t="s">
        <v>3117</v>
      </c>
      <c r="H24" s="1640" t="s">
        <v>1153</v>
      </c>
      <c r="I24" s="1640" t="s">
        <v>682</v>
      </c>
    </row>
    <row r="25" spans="1:9" x14ac:dyDescent="0.25">
      <c r="A25" s="1640" t="s">
        <v>48</v>
      </c>
      <c r="B25" s="1523" t="s">
        <v>4382</v>
      </c>
      <c r="C25" s="1523" t="s">
        <v>1548</v>
      </c>
      <c r="D25" s="1523" t="s">
        <v>3123</v>
      </c>
      <c r="E25" s="1640" t="s">
        <v>4383</v>
      </c>
      <c r="F25" s="1523" t="s">
        <v>1548</v>
      </c>
      <c r="G25" s="1641" t="s">
        <v>3117</v>
      </c>
      <c r="H25" s="1640" t="s">
        <v>1153</v>
      </c>
      <c r="I25" s="1640" t="s">
        <v>682</v>
      </c>
    </row>
    <row r="26" spans="1:9" x14ac:dyDescent="0.25">
      <c r="A26" s="1640" t="s">
        <v>48</v>
      </c>
      <c r="B26" s="1523" t="s">
        <v>4384</v>
      </c>
      <c r="C26" s="1523" t="s">
        <v>1662</v>
      </c>
      <c r="D26" s="1523" t="s">
        <v>3127</v>
      </c>
      <c r="E26" s="1640" t="s">
        <v>4385</v>
      </c>
      <c r="F26" s="1523" t="s">
        <v>1662</v>
      </c>
      <c r="G26" s="1641" t="s">
        <v>3126</v>
      </c>
      <c r="H26" s="1640" t="s">
        <v>1153</v>
      </c>
      <c r="I26" s="1640" t="s">
        <v>682</v>
      </c>
    </row>
    <row r="27" spans="1:9" x14ac:dyDescent="0.25">
      <c r="A27" s="1640" t="s">
        <v>48</v>
      </c>
      <c r="B27" s="1523" t="s">
        <v>4386</v>
      </c>
      <c r="C27" s="1523" t="s">
        <v>1664</v>
      </c>
      <c r="D27" s="1523" t="s">
        <v>3130</v>
      </c>
      <c r="E27" s="1640" t="s">
        <v>4387</v>
      </c>
      <c r="F27" s="1523" t="s">
        <v>1664</v>
      </c>
      <c r="G27" s="1641" t="s">
        <v>3129</v>
      </c>
      <c r="H27" s="1640" t="s">
        <v>1153</v>
      </c>
      <c r="I27" s="1640" t="s">
        <v>682</v>
      </c>
    </row>
    <row r="28" spans="1:9" x14ac:dyDescent="0.25">
      <c r="A28" s="1640" t="s">
        <v>48</v>
      </c>
      <c r="B28" s="1523" t="s">
        <v>4388</v>
      </c>
      <c r="C28" s="1523" t="s">
        <v>1556</v>
      </c>
      <c r="D28" s="1523" t="s">
        <v>3137</v>
      </c>
      <c r="E28" s="1640" t="s">
        <v>4389</v>
      </c>
      <c r="F28" s="1523" t="s">
        <v>1556</v>
      </c>
      <c r="G28" s="1641" t="s">
        <v>3136</v>
      </c>
      <c r="H28" s="1640" t="s">
        <v>1153</v>
      </c>
      <c r="I28" s="1640" t="s">
        <v>682</v>
      </c>
    </row>
    <row r="29" spans="1:9" x14ac:dyDescent="0.25">
      <c r="A29" s="1640" t="s">
        <v>48</v>
      </c>
      <c r="B29" s="1523" t="s">
        <v>4390</v>
      </c>
      <c r="C29" s="1523" t="s">
        <v>1561</v>
      </c>
      <c r="D29" s="1523" t="s">
        <v>7765</v>
      </c>
      <c r="E29" s="1640" t="s">
        <v>4391</v>
      </c>
      <c r="F29" s="1523" t="s">
        <v>1561</v>
      </c>
      <c r="G29" s="1641" t="s">
        <v>3145</v>
      </c>
      <c r="H29" s="1640" t="s">
        <v>1153</v>
      </c>
      <c r="I29" s="1640" t="s">
        <v>682</v>
      </c>
    </row>
    <row r="30" spans="1:9" x14ac:dyDescent="0.25">
      <c r="A30" s="1640" t="s">
        <v>48</v>
      </c>
      <c r="B30" s="1523" t="s">
        <v>4390</v>
      </c>
      <c r="C30" s="1523" t="s">
        <v>1561</v>
      </c>
      <c r="D30" s="1523" t="s">
        <v>7766</v>
      </c>
      <c r="E30" s="1640" t="s">
        <v>4391</v>
      </c>
      <c r="F30" s="1523" t="s">
        <v>1561</v>
      </c>
      <c r="G30" s="1641" t="s">
        <v>3145</v>
      </c>
      <c r="H30" s="1640" t="s">
        <v>1153</v>
      </c>
      <c r="I30" s="1640" t="s">
        <v>682</v>
      </c>
    </row>
    <row r="31" spans="1:9" x14ac:dyDescent="0.25">
      <c r="A31" s="1640" t="s">
        <v>48</v>
      </c>
      <c r="B31" s="1523" t="s">
        <v>4392</v>
      </c>
      <c r="C31" s="1523" t="s">
        <v>1564</v>
      </c>
      <c r="D31" s="1523" t="s">
        <v>3151</v>
      </c>
      <c r="E31" s="1640" t="s">
        <v>4393</v>
      </c>
      <c r="F31" s="1523" t="s">
        <v>1564</v>
      </c>
      <c r="G31" s="1641" t="s">
        <v>3150</v>
      </c>
      <c r="H31" s="1640" t="s">
        <v>1153</v>
      </c>
      <c r="I31" s="1640" t="s">
        <v>682</v>
      </c>
    </row>
    <row r="32" spans="1:9" x14ac:dyDescent="0.25">
      <c r="A32" s="1640" t="s">
        <v>48</v>
      </c>
      <c r="B32" s="1523" t="s">
        <v>4392</v>
      </c>
      <c r="C32" s="1523" t="s">
        <v>1564</v>
      </c>
      <c r="D32" s="1523" t="s">
        <v>3152</v>
      </c>
      <c r="E32" s="1640" t="s">
        <v>4393</v>
      </c>
      <c r="F32" s="1523" t="s">
        <v>1564</v>
      </c>
      <c r="G32" s="1641" t="s">
        <v>3150</v>
      </c>
      <c r="H32" s="1640" t="s">
        <v>1153</v>
      </c>
      <c r="I32" s="1640" t="s">
        <v>682</v>
      </c>
    </row>
    <row r="33" spans="1:9" x14ac:dyDescent="0.25">
      <c r="A33" s="1640" t="s">
        <v>48</v>
      </c>
      <c r="B33" s="1523" t="s">
        <v>4394</v>
      </c>
      <c r="C33" s="1523" t="s">
        <v>1569</v>
      </c>
      <c r="D33" s="1523" t="s">
        <v>3155</v>
      </c>
      <c r="E33" s="1640" t="s">
        <v>4395</v>
      </c>
      <c r="F33" s="1523" t="s">
        <v>1569</v>
      </c>
      <c r="G33" s="1641" t="s">
        <v>3154</v>
      </c>
      <c r="H33" s="1640" t="s">
        <v>1153</v>
      </c>
      <c r="I33" s="1640" t="s">
        <v>682</v>
      </c>
    </row>
    <row r="34" spans="1:9" x14ac:dyDescent="0.25">
      <c r="A34" s="1640" t="s">
        <v>48</v>
      </c>
      <c r="B34" s="1523" t="s">
        <v>4394</v>
      </c>
      <c r="C34" s="1523" t="s">
        <v>1569</v>
      </c>
      <c r="D34" s="1523" t="s">
        <v>3157</v>
      </c>
      <c r="E34" s="1640" t="s">
        <v>4395</v>
      </c>
      <c r="F34" s="1523" t="s">
        <v>1569</v>
      </c>
      <c r="G34" s="1641" t="s">
        <v>3154</v>
      </c>
      <c r="H34" s="1640" t="s">
        <v>1153</v>
      </c>
      <c r="I34" s="1640" t="s">
        <v>682</v>
      </c>
    </row>
    <row r="35" spans="1:9" x14ac:dyDescent="0.25">
      <c r="A35" s="1640" t="s">
        <v>48</v>
      </c>
      <c r="B35" s="1523" t="s">
        <v>4394</v>
      </c>
      <c r="C35" s="1523" t="s">
        <v>1569</v>
      </c>
      <c r="D35" s="1523" t="s">
        <v>3156</v>
      </c>
      <c r="E35" s="1640" t="s">
        <v>4395</v>
      </c>
      <c r="F35" s="1523" t="s">
        <v>1569</v>
      </c>
      <c r="G35" s="1641" t="s">
        <v>3154</v>
      </c>
      <c r="H35" s="1640" t="s">
        <v>1153</v>
      </c>
      <c r="I35" s="1640" t="s">
        <v>682</v>
      </c>
    </row>
    <row r="36" spans="1:9" x14ac:dyDescent="0.25">
      <c r="A36" s="1640" t="s">
        <v>626</v>
      </c>
      <c r="B36" s="1523" t="s">
        <v>4396</v>
      </c>
      <c r="C36" s="1523" t="s">
        <v>1856</v>
      </c>
      <c r="D36" s="1523" t="s">
        <v>3202</v>
      </c>
      <c r="E36" s="1640" t="s">
        <v>4397</v>
      </c>
      <c r="F36" s="1523" t="s">
        <v>1856</v>
      </c>
      <c r="G36" s="1641" t="s">
        <v>3201</v>
      </c>
      <c r="H36" s="1640" t="s">
        <v>1153</v>
      </c>
      <c r="I36" s="1640" t="s">
        <v>682</v>
      </c>
    </row>
    <row r="37" spans="1:9" x14ac:dyDescent="0.25">
      <c r="A37" s="1640" t="s">
        <v>626</v>
      </c>
      <c r="B37" s="1523" t="s">
        <v>4398</v>
      </c>
      <c r="C37" s="1523" t="s">
        <v>1857</v>
      </c>
      <c r="D37" s="1523" t="s">
        <v>3204</v>
      </c>
      <c r="E37" s="1640" t="s">
        <v>4399</v>
      </c>
      <c r="F37" s="1523" t="s">
        <v>1857</v>
      </c>
      <c r="G37" s="1641" t="s">
        <v>3203</v>
      </c>
      <c r="H37" s="1640" t="s">
        <v>1153</v>
      </c>
      <c r="I37" s="1640" t="s">
        <v>682</v>
      </c>
    </row>
    <row r="38" spans="1:9" x14ac:dyDescent="0.25">
      <c r="A38" s="1640" t="s">
        <v>626</v>
      </c>
      <c r="B38" s="1523" t="s">
        <v>4400</v>
      </c>
      <c r="C38" s="1523" t="s">
        <v>1858</v>
      </c>
      <c r="D38" s="1523" t="s">
        <v>3210</v>
      </c>
      <c r="E38" s="1640" t="s">
        <v>4401</v>
      </c>
      <c r="F38" s="1523" t="s">
        <v>1858</v>
      </c>
      <c r="G38" s="1641" t="s">
        <v>3205</v>
      </c>
      <c r="H38" s="1640" t="s">
        <v>1149</v>
      </c>
      <c r="I38" s="1640" t="s">
        <v>682</v>
      </c>
    </row>
    <row r="39" spans="1:9" x14ac:dyDescent="0.25">
      <c r="A39" s="1640" t="s">
        <v>626</v>
      </c>
      <c r="B39" s="1523" t="s">
        <v>4400</v>
      </c>
      <c r="C39" s="1523" t="s">
        <v>1858</v>
      </c>
      <c r="D39" s="1523" t="s">
        <v>3208</v>
      </c>
      <c r="E39" s="1640" t="s">
        <v>4401</v>
      </c>
      <c r="F39" s="1523" t="s">
        <v>1858</v>
      </c>
      <c r="G39" s="1641" t="s">
        <v>3205</v>
      </c>
      <c r="H39" s="1640" t="s">
        <v>1149</v>
      </c>
      <c r="I39" s="1640" t="s">
        <v>682</v>
      </c>
    </row>
    <row r="40" spans="1:9" x14ac:dyDescent="0.25">
      <c r="A40" s="1640" t="s">
        <v>626</v>
      </c>
      <c r="B40" s="1523" t="s">
        <v>4400</v>
      </c>
      <c r="C40" s="1523" t="s">
        <v>1858</v>
      </c>
      <c r="D40" s="1523" t="s">
        <v>3209</v>
      </c>
      <c r="E40" s="1640" t="s">
        <v>4401</v>
      </c>
      <c r="F40" s="1523" t="s">
        <v>1858</v>
      </c>
      <c r="G40" s="1641" t="s">
        <v>3205</v>
      </c>
      <c r="H40" s="1640" t="s">
        <v>1149</v>
      </c>
      <c r="I40" s="1640" t="s">
        <v>682</v>
      </c>
    </row>
    <row r="41" spans="1:9" x14ac:dyDescent="0.25">
      <c r="A41" s="1640" t="s">
        <v>626</v>
      </c>
      <c r="B41" s="1523" t="s">
        <v>4400</v>
      </c>
      <c r="C41" s="1523" t="s">
        <v>1858</v>
      </c>
      <c r="D41" s="1523" t="s">
        <v>3206</v>
      </c>
      <c r="E41" s="1640" t="s">
        <v>4401</v>
      </c>
      <c r="F41" s="1523" t="s">
        <v>1858</v>
      </c>
      <c r="G41" s="1641" t="s">
        <v>3205</v>
      </c>
      <c r="H41" s="1640" t="s">
        <v>1149</v>
      </c>
      <c r="I41" s="1640" t="s">
        <v>682</v>
      </c>
    </row>
    <row r="42" spans="1:9" x14ac:dyDescent="0.25">
      <c r="A42" s="1640" t="s">
        <v>626</v>
      </c>
      <c r="B42" s="1523" t="s">
        <v>4400</v>
      </c>
      <c r="C42" s="1523" t="s">
        <v>1858</v>
      </c>
      <c r="D42" s="1523" t="s">
        <v>3207</v>
      </c>
      <c r="E42" s="1640" t="s">
        <v>4401</v>
      </c>
      <c r="F42" s="1523" t="s">
        <v>1858</v>
      </c>
      <c r="G42" s="1641" t="s">
        <v>3205</v>
      </c>
      <c r="H42" s="1640" t="s">
        <v>1149</v>
      </c>
      <c r="I42" s="1640" t="s">
        <v>682</v>
      </c>
    </row>
    <row r="43" spans="1:9" x14ac:dyDescent="0.25">
      <c r="A43" s="1640" t="s">
        <v>626</v>
      </c>
      <c r="B43" s="1523" t="s">
        <v>4402</v>
      </c>
      <c r="C43" s="1523" t="s">
        <v>1859</v>
      </c>
      <c r="D43" s="1523" t="s">
        <v>3214</v>
      </c>
      <c r="E43" s="1640" t="s">
        <v>4403</v>
      </c>
      <c r="F43" s="1523" t="s">
        <v>1859</v>
      </c>
      <c r="G43" s="1641" t="s">
        <v>3211</v>
      </c>
      <c r="H43" s="1640" t="s">
        <v>1153</v>
      </c>
      <c r="I43" s="1640" t="s">
        <v>682</v>
      </c>
    </row>
    <row r="44" spans="1:9" x14ac:dyDescent="0.25">
      <c r="A44" s="1640" t="s">
        <v>626</v>
      </c>
      <c r="B44" s="1523" t="s">
        <v>4404</v>
      </c>
      <c r="C44" s="1523" t="s">
        <v>1860</v>
      </c>
      <c r="D44" s="1523" t="s">
        <v>3216</v>
      </c>
      <c r="E44" s="1640" t="s">
        <v>4405</v>
      </c>
      <c r="F44" s="1523" t="s">
        <v>1860</v>
      </c>
      <c r="G44" s="1641" t="s">
        <v>3215</v>
      </c>
      <c r="H44" s="1640" t="s">
        <v>1153</v>
      </c>
      <c r="I44" s="1640" t="s">
        <v>682</v>
      </c>
    </row>
    <row r="45" spans="1:9" x14ac:dyDescent="0.25">
      <c r="A45" s="1640" t="s">
        <v>626</v>
      </c>
      <c r="B45" s="1523" t="s">
        <v>4406</v>
      </c>
      <c r="C45" s="1523" t="s">
        <v>1861</v>
      </c>
      <c r="D45" s="1523" t="s">
        <v>3219</v>
      </c>
      <c r="E45" s="1640" t="s">
        <v>4407</v>
      </c>
      <c r="F45" s="1523" t="s">
        <v>1861</v>
      </c>
      <c r="G45" s="1641" t="s">
        <v>3218</v>
      </c>
      <c r="H45" s="1640" t="s">
        <v>1153</v>
      </c>
      <c r="I45" s="1640" t="s">
        <v>682</v>
      </c>
    </row>
    <row r="46" spans="1:9" x14ac:dyDescent="0.25">
      <c r="A46" s="1640" t="s">
        <v>626</v>
      </c>
      <c r="B46" s="1523" t="s">
        <v>4408</v>
      </c>
      <c r="C46" s="1523" t="s">
        <v>1862</v>
      </c>
      <c r="D46" s="1523" t="s">
        <v>3224</v>
      </c>
      <c r="E46" s="1640" t="s">
        <v>4409</v>
      </c>
      <c r="F46" s="1523" t="s">
        <v>1862</v>
      </c>
      <c r="G46" s="1641" t="s">
        <v>3223</v>
      </c>
      <c r="H46" s="1640" t="s">
        <v>1153</v>
      </c>
      <c r="I46" s="1640" t="s">
        <v>682</v>
      </c>
    </row>
    <row r="47" spans="1:9" x14ac:dyDescent="0.25">
      <c r="A47" s="1640" t="s">
        <v>626</v>
      </c>
      <c r="B47" s="1523" t="s">
        <v>4408</v>
      </c>
      <c r="C47" s="1523" t="s">
        <v>1862</v>
      </c>
      <c r="D47" s="1523" t="s">
        <v>3226</v>
      </c>
      <c r="E47" s="1640" t="s">
        <v>4409</v>
      </c>
      <c r="F47" s="1523" t="s">
        <v>1862</v>
      </c>
      <c r="G47" s="1641" t="s">
        <v>3223</v>
      </c>
      <c r="H47" s="1640" t="s">
        <v>1153</v>
      </c>
      <c r="I47" s="1640" t="s">
        <v>682</v>
      </c>
    </row>
    <row r="48" spans="1:9" x14ac:dyDescent="0.25">
      <c r="A48" s="1640" t="s">
        <v>626</v>
      </c>
      <c r="B48" s="1523" t="s">
        <v>4408</v>
      </c>
      <c r="C48" s="1523" t="s">
        <v>1862</v>
      </c>
      <c r="D48" s="1523" t="s">
        <v>3225</v>
      </c>
      <c r="E48" s="1640" t="s">
        <v>4409</v>
      </c>
      <c r="F48" s="1523" t="s">
        <v>1862</v>
      </c>
      <c r="G48" s="1641" t="s">
        <v>3223</v>
      </c>
      <c r="H48" s="1640" t="s">
        <v>1153</v>
      </c>
      <c r="I48" s="1640" t="s">
        <v>682</v>
      </c>
    </row>
    <row r="49" spans="1:9" x14ac:dyDescent="0.25">
      <c r="A49" s="1640" t="s">
        <v>626</v>
      </c>
      <c r="B49" s="1523" t="s">
        <v>4410</v>
      </c>
      <c r="C49" s="1523" t="s">
        <v>1863</v>
      </c>
      <c r="D49" s="1523" t="s">
        <v>3228</v>
      </c>
      <c r="E49" s="1640" t="s">
        <v>4411</v>
      </c>
      <c r="F49" s="1523" t="s">
        <v>1863</v>
      </c>
      <c r="G49" s="1641" t="s">
        <v>3227</v>
      </c>
      <c r="H49" s="1640" t="s">
        <v>1153</v>
      </c>
      <c r="I49" s="1640" t="s">
        <v>682</v>
      </c>
    </row>
    <row r="50" spans="1:9" x14ac:dyDescent="0.25">
      <c r="A50" s="1640" t="s">
        <v>626</v>
      </c>
      <c r="B50" s="1523" t="s">
        <v>4412</v>
      </c>
      <c r="C50" s="1523" t="s">
        <v>1864</v>
      </c>
      <c r="D50" s="1523" t="s">
        <v>3232</v>
      </c>
      <c r="E50" s="1640" t="s">
        <v>4413</v>
      </c>
      <c r="F50" s="1523" t="s">
        <v>1864</v>
      </c>
      <c r="G50" s="1641" t="s">
        <v>3229</v>
      </c>
      <c r="H50" s="1640" t="s">
        <v>1153</v>
      </c>
      <c r="I50" s="1640" t="s">
        <v>682</v>
      </c>
    </row>
    <row r="51" spans="1:9" x14ac:dyDescent="0.25">
      <c r="A51" s="1640" t="s">
        <v>626</v>
      </c>
      <c r="B51" s="1523" t="s">
        <v>4412</v>
      </c>
      <c r="C51" s="1523" t="s">
        <v>1864</v>
      </c>
      <c r="D51" s="1523" t="s">
        <v>3230</v>
      </c>
      <c r="E51" s="1640" t="s">
        <v>4413</v>
      </c>
      <c r="F51" s="1523" t="s">
        <v>1864</v>
      </c>
      <c r="G51" s="1641" t="s">
        <v>3229</v>
      </c>
      <c r="H51" s="1640" t="s">
        <v>1153</v>
      </c>
      <c r="I51" s="1640" t="s">
        <v>682</v>
      </c>
    </row>
    <row r="52" spans="1:9" x14ac:dyDescent="0.25">
      <c r="A52" s="1640" t="s">
        <v>626</v>
      </c>
      <c r="B52" s="1523" t="s">
        <v>4412</v>
      </c>
      <c r="C52" s="1523" t="s">
        <v>1864</v>
      </c>
      <c r="D52" s="1523" t="s">
        <v>3233</v>
      </c>
      <c r="E52" s="1640" t="s">
        <v>4413</v>
      </c>
      <c r="F52" s="1523" t="s">
        <v>1864</v>
      </c>
      <c r="G52" s="1641" t="s">
        <v>3229</v>
      </c>
      <c r="H52" s="1640" t="s">
        <v>1153</v>
      </c>
      <c r="I52" s="1640" t="s">
        <v>682</v>
      </c>
    </row>
    <row r="53" spans="1:9" x14ac:dyDescent="0.25">
      <c r="A53" s="1640" t="s">
        <v>626</v>
      </c>
      <c r="B53" s="1523" t="s">
        <v>4412</v>
      </c>
      <c r="C53" s="1523" t="s">
        <v>1864</v>
      </c>
      <c r="D53" s="1523" t="s">
        <v>3234</v>
      </c>
      <c r="E53" s="1640" t="s">
        <v>4413</v>
      </c>
      <c r="F53" s="1523" t="s">
        <v>1864</v>
      </c>
      <c r="G53" s="1641" t="s">
        <v>3229</v>
      </c>
      <c r="H53" s="1640" t="s">
        <v>1153</v>
      </c>
      <c r="I53" s="1640" t="s">
        <v>682</v>
      </c>
    </row>
    <row r="54" spans="1:9" x14ac:dyDescent="0.25">
      <c r="A54" s="1640" t="s">
        <v>626</v>
      </c>
      <c r="B54" s="1523" t="s">
        <v>4412</v>
      </c>
      <c r="C54" s="1523" t="s">
        <v>1864</v>
      </c>
      <c r="D54" s="1523" t="s">
        <v>3231</v>
      </c>
      <c r="E54" s="1640" t="s">
        <v>4413</v>
      </c>
      <c r="F54" s="1523" t="s">
        <v>1864</v>
      </c>
      <c r="G54" s="1641" t="s">
        <v>3229</v>
      </c>
      <c r="H54" s="1640" t="s">
        <v>1153</v>
      </c>
      <c r="I54" s="1640" t="s">
        <v>682</v>
      </c>
    </row>
    <row r="55" spans="1:9" x14ac:dyDescent="0.25">
      <c r="A55" s="1640" t="s">
        <v>626</v>
      </c>
      <c r="B55" s="1523" t="s">
        <v>4414</v>
      </c>
      <c r="C55" s="1523" t="s">
        <v>1865</v>
      </c>
      <c r="D55" s="1523" t="s">
        <v>3236</v>
      </c>
      <c r="E55" s="1640" t="s">
        <v>4415</v>
      </c>
      <c r="F55" s="1523" t="s">
        <v>1865</v>
      </c>
      <c r="G55" s="1641" t="s">
        <v>3235</v>
      </c>
      <c r="H55" s="1640" t="s">
        <v>1153</v>
      </c>
      <c r="I55" s="1640" t="s">
        <v>682</v>
      </c>
    </row>
    <row r="56" spans="1:9" x14ac:dyDescent="0.25">
      <c r="A56" s="1640" t="s">
        <v>626</v>
      </c>
      <c r="B56" s="1523" t="s">
        <v>4414</v>
      </c>
      <c r="C56" s="1523" t="s">
        <v>1865</v>
      </c>
      <c r="D56" s="1523" t="s">
        <v>3237</v>
      </c>
      <c r="E56" s="1640" t="s">
        <v>4415</v>
      </c>
      <c r="F56" s="1523" t="s">
        <v>1865</v>
      </c>
      <c r="G56" s="1641" t="s">
        <v>3235</v>
      </c>
      <c r="H56" s="1640" t="s">
        <v>1153</v>
      </c>
      <c r="I56" s="1640" t="s">
        <v>682</v>
      </c>
    </row>
    <row r="57" spans="1:9" x14ac:dyDescent="0.25">
      <c r="A57" s="1640" t="s">
        <v>626</v>
      </c>
      <c r="B57" s="1523" t="s">
        <v>4414</v>
      </c>
      <c r="C57" s="1523" t="s">
        <v>1865</v>
      </c>
      <c r="D57" s="1523" t="s">
        <v>3238</v>
      </c>
      <c r="E57" s="1640" t="s">
        <v>4415</v>
      </c>
      <c r="F57" s="1523" t="s">
        <v>1865</v>
      </c>
      <c r="G57" s="1641" t="s">
        <v>3235</v>
      </c>
      <c r="H57" s="1640" t="s">
        <v>1153</v>
      </c>
      <c r="I57" s="1640" t="s">
        <v>682</v>
      </c>
    </row>
    <row r="58" spans="1:9" x14ac:dyDescent="0.25">
      <c r="A58" s="1640" t="s">
        <v>626</v>
      </c>
      <c r="B58" s="1523" t="s">
        <v>4414</v>
      </c>
      <c r="C58" s="1523" t="s">
        <v>1865</v>
      </c>
      <c r="D58" s="1523" t="s">
        <v>3239</v>
      </c>
      <c r="E58" s="1640" t="s">
        <v>4415</v>
      </c>
      <c r="F58" s="1523" t="s">
        <v>1865</v>
      </c>
      <c r="G58" s="1641" t="s">
        <v>3235</v>
      </c>
      <c r="H58" s="1640" t="s">
        <v>1153</v>
      </c>
      <c r="I58" s="1640" t="s">
        <v>682</v>
      </c>
    </row>
    <row r="59" spans="1:9" x14ac:dyDescent="0.25">
      <c r="A59" s="1640" t="s">
        <v>626</v>
      </c>
      <c r="B59" s="1523" t="s">
        <v>4416</v>
      </c>
      <c r="C59" s="1523" t="s">
        <v>1866</v>
      </c>
      <c r="D59" s="1523" t="s">
        <v>3242</v>
      </c>
      <c r="E59" s="1640" t="s">
        <v>4417</v>
      </c>
      <c r="F59" s="1523" t="s">
        <v>1866</v>
      </c>
      <c r="G59" s="1641" t="s">
        <v>3240</v>
      </c>
      <c r="H59" s="1640" t="s">
        <v>1153</v>
      </c>
      <c r="I59" s="1640" t="s">
        <v>682</v>
      </c>
    </row>
    <row r="60" spans="1:9" x14ac:dyDescent="0.25">
      <c r="A60" s="1640" t="s">
        <v>626</v>
      </c>
      <c r="B60" s="1523" t="s">
        <v>4416</v>
      </c>
      <c r="C60" s="1523" t="s">
        <v>1866</v>
      </c>
      <c r="D60" s="1523" t="s">
        <v>3241</v>
      </c>
      <c r="E60" s="1640" t="s">
        <v>4417</v>
      </c>
      <c r="F60" s="1523" t="s">
        <v>1866</v>
      </c>
      <c r="G60" s="1641" t="s">
        <v>3240</v>
      </c>
      <c r="H60" s="1640" t="s">
        <v>1153</v>
      </c>
      <c r="I60" s="1640" t="s">
        <v>682</v>
      </c>
    </row>
    <row r="61" spans="1:9" x14ac:dyDescent="0.25">
      <c r="A61" s="1640" t="s">
        <v>626</v>
      </c>
      <c r="B61" s="1523" t="s">
        <v>4416</v>
      </c>
      <c r="C61" s="1523" t="s">
        <v>1866</v>
      </c>
      <c r="D61" s="1523" t="s">
        <v>3243</v>
      </c>
      <c r="E61" s="1640" t="s">
        <v>4417</v>
      </c>
      <c r="F61" s="1523" t="s">
        <v>1866</v>
      </c>
      <c r="G61" s="1641" t="s">
        <v>3240</v>
      </c>
      <c r="H61" s="1640" t="s">
        <v>1153</v>
      </c>
      <c r="I61" s="1640" t="s">
        <v>682</v>
      </c>
    </row>
    <row r="62" spans="1:9" x14ac:dyDescent="0.25">
      <c r="A62" s="1640" t="s">
        <v>626</v>
      </c>
      <c r="B62" s="1523" t="s">
        <v>4418</v>
      </c>
      <c r="C62" s="1523" t="s">
        <v>1867</v>
      </c>
      <c r="D62" s="1523" t="s">
        <v>3247</v>
      </c>
      <c r="E62" s="1640" t="s">
        <v>4419</v>
      </c>
      <c r="F62" s="1523" t="s">
        <v>1867</v>
      </c>
      <c r="G62" s="1641" t="s">
        <v>3244</v>
      </c>
      <c r="H62" s="1640" t="s">
        <v>1153</v>
      </c>
      <c r="I62" s="1640" t="s">
        <v>682</v>
      </c>
    </row>
    <row r="63" spans="1:9" x14ac:dyDescent="0.25">
      <c r="A63" s="1640" t="s">
        <v>626</v>
      </c>
      <c r="B63" s="1523" t="s">
        <v>4418</v>
      </c>
      <c r="C63" s="1523" t="s">
        <v>1867</v>
      </c>
      <c r="D63" s="1523" t="s">
        <v>3248</v>
      </c>
      <c r="E63" s="1640" t="s">
        <v>4419</v>
      </c>
      <c r="F63" s="1523" t="s">
        <v>1867</v>
      </c>
      <c r="G63" s="1641" t="s">
        <v>3244</v>
      </c>
      <c r="H63" s="1640" t="s">
        <v>1153</v>
      </c>
      <c r="I63" s="1640" t="s">
        <v>682</v>
      </c>
    </row>
    <row r="64" spans="1:9" x14ac:dyDescent="0.25">
      <c r="A64" s="1640" t="s">
        <v>626</v>
      </c>
      <c r="B64" s="1523" t="s">
        <v>4418</v>
      </c>
      <c r="C64" s="1523" t="s">
        <v>1867</v>
      </c>
      <c r="D64" s="1523" t="s">
        <v>3249</v>
      </c>
      <c r="E64" s="1640" t="s">
        <v>4419</v>
      </c>
      <c r="F64" s="1523" t="s">
        <v>1867</v>
      </c>
      <c r="G64" s="1641" t="s">
        <v>3244</v>
      </c>
      <c r="H64" s="1640" t="s">
        <v>1153</v>
      </c>
      <c r="I64" s="1640" t="s">
        <v>682</v>
      </c>
    </row>
    <row r="65" spans="1:9" x14ac:dyDescent="0.25">
      <c r="A65" s="1640" t="s">
        <v>626</v>
      </c>
      <c r="B65" s="1523" t="s">
        <v>4418</v>
      </c>
      <c r="C65" s="1523" t="s">
        <v>1867</v>
      </c>
      <c r="D65" s="1523" t="s">
        <v>3246</v>
      </c>
      <c r="E65" s="1640" t="s">
        <v>4419</v>
      </c>
      <c r="F65" s="1523" t="s">
        <v>1867</v>
      </c>
      <c r="G65" s="1641" t="s">
        <v>3244</v>
      </c>
      <c r="H65" s="1640" t="s">
        <v>1153</v>
      </c>
      <c r="I65" s="1640" t="s">
        <v>682</v>
      </c>
    </row>
    <row r="66" spans="1:9" x14ac:dyDescent="0.25">
      <c r="A66" s="1640" t="s">
        <v>626</v>
      </c>
      <c r="B66" s="1523" t="s">
        <v>4418</v>
      </c>
      <c r="C66" s="1523" t="s">
        <v>1867</v>
      </c>
      <c r="D66" s="1523" t="s">
        <v>3245</v>
      </c>
      <c r="E66" s="1640" t="s">
        <v>4419</v>
      </c>
      <c r="F66" s="1523" t="s">
        <v>1867</v>
      </c>
      <c r="G66" s="1641" t="s">
        <v>3244</v>
      </c>
      <c r="H66" s="1640" t="s">
        <v>1153</v>
      </c>
      <c r="I66" s="1640" t="s">
        <v>682</v>
      </c>
    </row>
    <row r="67" spans="1:9" x14ac:dyDescent="0.25">
      <c r="A67" s="1640" t="s">
        <v>626</v>
      </c>
      <c r="B67" s="1523" t="s">
        <v>4420</v>
      </c>
      <c r="C67" s="1523" t="s">
        <v>1868</v>
      </c>
      <c r="D67" s="1523" t="s">
        <v>3253</v>
      </c>
      <c r="E67" s="1640" t="s">
        <v>4421</v>
      </c>
      <c r="F67" s="1523" t="s">
        <v>1868</v>
      </c>
      <c r="G67" s="1641" t="s">
        <v>3250</v>
      </c>
      <c r="H67" s="1640" t="s">
        <v>1153</v>
      </c>
      <c r="I67" s="1640" t="s">
        <v>682</v>
      </c>
    </row>
    <row r="68" spans="1:9" x14ac:dyDescent="0.25">
      <c r="A68" s="1640" t="s">
        <v>626</v>
      </c>
      <c r="B68" s="1523" t="s">
        <v>4420</v>
      </c>
      <c r="C68" s="1523" t="s">
        <v>1868</v>
      </c>
      <c r="D68" s="1523" t="s">
        <v>3254</v>
      </c>
      <c r="E68" s="1640" t="s">
        <v>4421</v>
      </c>
      <c r="F68" s="1523" t="s">
        <v>1868</v>
      </c>
      <c r="G68" s="1641" t="s">
        <v>3250</v>
      </c>
      <c r="H68" s="1640" t="s">
        <v>1153</v>
      </c>
      <c r="I68" s="1640" t="s">
        <v>682</v>
      </c>
    </row>
    <row r="69" spans="1:9" x14ac:dyDescent="0.25">
      <c r="A69" s="1640" t="s">
        <v>626</v>
      </c>
      <c r="B69" s="1523" t="s">
        <v>4420</v>
      </c>
      <c r="C69" s="1523" t="s">
        <v>1868</v>
      </c>
      <c r="D69" s="1523" t="s">
        <v>3252</v>
      </c>
      <c r="E69" s="1640" t="s">
        <v>4421</v>
      </c>
      <c r="F69" s="1523" t="s">
        <v>1868</v>
      </c>
      <c r="G69" s="1641" t="s">
        <v>3250</v>
      </c>
      <c r="H69" s="1640" t="s">
        <v>1153</v>
      </c>
      <c r="I69" s="1640" t="s">
        <v>682</v>
      </c>
    </row>
    <row r="70" spans="1:9" x14ac:dyDescent="0.25">
      <c r="A70" s="1640" t="s">
        <v>626</v>
      </c>
      <c r="B70" s="1523" t="s">
        <v>4420</v>
      </c>
      <c r="C70" s="1523" t="s">
        <v>1868</v>
      </c>
      <c r="D70" s="1523" t="s">
        <v>3251</v>
      </c>
      <c r="E70" s="1640" t="s">
        <v>4421</v>
      </c>
      <c r="F70" s="1523" t="s">
        <v>1868</v>
      </c>
      <c r="G70" s="1641" t="s">
        <v>3250</v>
      </c>
      <c r="H70" s="1640" t="s">
        <v>1153</v>
      </c>
      <c r="I70" s="1640" t="s">
        <v>682</v>
      </c>
    </row>
    <row r="71" spans="1:9" x14ac:dyDescent="0.25">
      <c r="A71" s="1640" t="s">
        <v>626</v>
      </c>
      <c r="B71" s="1523" t="s">
        <v>7767</v>
      </c>
      <c r="C71" s="1523" t="s">
        <v>4819</v>
      </c>
      <c r="D71" s="1523" t="s">
        <v>4821</v>
      </c>
      <c r="E71" s="1640" t="s">
        <v>7768</v>
      </c>
      <c r="F71" s="1523" t="s">
        <v>4819</v>
      </c>
      <c r="G71" s="1641" t="s">
        <v>7769</v>
      </c>
      <c r="H71" s="1640" t="s">
        <v>1153</v>
      </c>
      <c r="I71" s="1640" t="s">
        <v>682</v>
      </c>
    </row>
    <row r="72" spans="1:9" x14ac:dyDescent="0.25">
      <c r="A72" s="1640" t="s">
        <v>626</v>
      </c>
      <c r="B72" s="1523" t="s">
        <v>4422</v>
      </c>
      <c r="C72" s="1523" t="s">
        <v>1875</v>
      </c>
      <c r="D72" s="1523" t="s">
        <v>3264</v>
      </c>
      <c r="E72" s="1640" t="s">
        <v>4423</v>
      </c>
      <c r="F72" s="1523" t="s">
        <v>1875</v>
      </c>
      <c r="G72" s="1641" t="s">
        <v>3261</v>
      </c>
      <c r="H72" s="1640" t="s">
        <v>1149</v>
      </c>
      <c r="I72" s="1640" t="s">
        <v>682</v>
      </c>
    </row>
    <row r="73" spans="1:9" x14ac:dyDescent="0.25">
      <c r="A73" s="1640" t="s">
        <v>626</v>
      </c>
      <c r="B73" s="1523" t="s">
        <v>4422</v>
      </c>
      <c r="C73" s="1523" t="s">
        <v>1875</v>
      </c>
      <c r="D73" s="1523" t="s">
        <v>3262</v>
      </c>
      <c r="E73" s="1640" t="s">
        <v>4423</v>
      </c>
      <c r="F73" s="1523" t="s">
        <v>1875</v>
      </c>
      <c r="G73" s="1641" t="s">
        <v>3261</v>
      </c>
      <c r="H73" s="1640" t="s">
        <v>1149</v>
      </c>
      <c r="I73" s="1640" t="s">
        <v>682</v>
      </c>
    </row>
    <row r="74" spans="1:9" x14ac:dyDescent="0.25">
      <c r="A74" s="1640" t="s">
        <v>626</v>
      </c>
      <c r="B74" s="1523" t="s">
        <v>4422</v>
      </c>
      <c r="C74" s="1523" t="s">
        <v>1875</v>
      </c>
      <c r="D74" s="1523" t="s">
        <v>3265</v>
      </c>
      <c r="E74" s="1640" t="s">
        <v>4423</v>
      </c>
      <c r="F74" s="1523" t="s">
        <v>1875</v>
      </c>
      <c r="G74" s="1641" t="s">
        <v>3261</v>
      </c>
      <c r="H74" s="1640" t="s">
        <v>1149</v>
      </c>
      <c r="I74" s="1640" t="s">
        <v>682</v>
      </c>
    </row>
    <row r="75" spans="1:9" x14ac:dyDescent="0.25">
      <c r="A75" s="1640" t="s">
        <v>626</v>
      </c>
      <c r="B75" s="1523" t="s">
        <v>4422</v>
      </c>
      <c r="C75" s="1523" t="s">
        <v>1875</v>
      </c>
      <c r="D75" s="1523" t="s">
        <v>3263</v>
      </c>
      <c r="E75" s="1640" t="s">
        <v>4423</v>
      </c>
      <c r="F75" s="1523" t="s">
        <v>1875</v>
      </c>
      <c r="G75" s="1641" t="s">
        <v>3261</v>
      </c>
      <c r="H75" s="1640" t="s">
        <v>1149</v>
      </c>
      <c r="I75" s="1640" t="s">
        <v>682</v>
      </c>
    </row>
    <row r="76" spans="1:9" x14ac:dyDescent="0.25">
      <c r="A76" s="1640" t="s">
        <v>626</v>
      </c>
      <c r="B76" s="1523" t="s">
        <v>4424</v>
      </c>
      <c r="C76" s="1523" t="s">
        <v>1954</v>
      </c>
      <c r="D76" s="1523" t="s">
        <v>3270</v>
      </c>
      <c r="E76" s="1640" t="s">
        <v>4425</v>
      </c>
      <c r="F76" s="1523" t="s">
        <v>1954</v>
      </c>
      <c r="G76" s="1641" t="s">
        <v>3267</v>
      </c>
      <c r="H76" s="1640" t="s">
        <v>1149</v>
      </c>
      <c r="I76" s="1640" t="s">
        <v>682</v>
      </c>
    </row>
    <row r="77" spans="1:9" x14ac:dyDescent="0.25">
      <c r="A77" s="1640" t="s">
        <v>626</v>
      </c>
      <c r="B77" s="1523" t="s">
        <v>4424</v>
      </c>
      <c r="C77" s="1523" t="s">
        <v>1954</v>
      </c>
      <c r="D77" s="1523" t="s">
        <v>3269</v>
      </c>
      <c r="E77" s="1640" t="s">
        <v>4425</v>
      </c>
      <c r="F77" s="1523" t="s">
        <v>1954</v>
      </c>
      <c r="G77" s="1641" t="s">
        <v>3267</v>
      </c>
      <c r="H77" s="1640" t="s">
        <v>1149</v>
      </c>
      <c r="I77" s="1640" t="s">
        <v>682</v>
      </c>
    </row>
    <row r="78" spans="1:9" x14ac:dyDescent="0.25">
      <c r="A78" s="1640" t="s">
        <v>626</v>
      </c>
      <c r="B78" s="1523" t="s">
        <v>7770</v>
      </c>
      <c r="C78" s="1523" t="s">
        <v>5491</v>
      </c>
      <c r="D78" s="1523" t="s">
        <v>5492</v>
      </c>
      <c r="E78" s="1640" t="s">
        <v>7771</v>
      </c>
      <c r="F78" s="1523" t="s">
        <v>5491</v>
      </c>
      <c r="G78" s="1641" t="s">
        <v>7772</v>
      </c>
      <c r="H78" s="1640" t="s">
        <v>1153</v>
      </c>
      <c r="I78" s="1640" t="s">
        <v>682</v>
      </c>
    </row>
    <row r="79" spans="1:9" x14ac:dyDescent="0.25">
      <c r="A79" s="1640" t="s">
        <v>626</v>
      </c>
      <c r="B79" s="1523" t="s">
        <v>4426</v>
      </c>
      <c r="C79" s="1523" t="s">
        <v>1963</v>
      </c>
      <c r="D79" s="1523" t="s">
        <v>3285</v>
      </c>
      <c r="E79" s="1640" t="s">
        <v>4427</v>
      </c>
      <c r="F79" s="1523" t="s">
        <v>1963</v>
      </c>
      <c r="G79" s="1641" t="s">
        <v>3284</v>
      </c>
      <c r="H79" s="1640" t="s">
        <v>1153</v>
      </c>
      <c r="I79" s="1640" t="s">
        <v>682</v>
      </c>
    </row>
    <row r="80" spans="1:9" x14ac:dyDescent="0.25">
      <c r="A80" s="1640" t="s">
        <v>626</v>
      </c>
      <c r="B80" s="1523" t="s">
        <v>4428</v>
      </c>
      <c r="C80" s="1523" t="s">
        <v>1967</v>
      </c>
      <c r="D80" s="1523" t="s">
        <v>3290</v>
      </c>
      <c r="E80" s="1640" t="s">
        <v>4429</v>
      </c>
      <c r="F80" s="1523" t="s">
        <v>1967</v>
      </c>
      <c r="G80" s="1641" t="s">
        <v>3289</v>
      </c>
      <c r="H80" s="1640" t="s">
        <v>1153</v>
      </c>
      <c r="I80" s="1640" t="s">
        <v>682</v>
      </c>
    </row>
    <row r="81" spans="1:9" x14ac:dyDescent="0.25">
      <c r="A81" s="1640" t="s">
        <v>626</v>
      </c>
      <c r="B81" s="1523" t="s">
        <v>4428</v>
      </c>
      <c r="C81" s="1523" t="s">
        <v>1967</v>
      </c>
      <c r="D81" s="1523" t="s">
        <v>3285</v>
      </c>
      <c r="E81" s="1640" t="s">
        <v>4429</v>
      </c>
      <c r="F81" s="1523" t="s">
        <v>1967</v>
      </c>
      <c r="G81" s="1641" t="s">
        <v>3289</v>
      </c>
      <c r="H81" s="1640" t="s">
        <v>1153</v>
      </c>
      <c r="I81" s="1640" t="s">
        <v>682</v>
      </c>
    </row>
    <row r="82" spans="1:9" x14ac:dyDescent="0.25">
      <c r="A82" s="1640" t="s">
        <v>626</v>
      </c>
      <c r="B82" s="1523" t="s">
        <v>4430</v>
      </c>
      <c r="C82" s="1523" t="s">
        <v>1973</v>
      </c>
      <c r="D82" s="1523" t="s">
        <v>3298</v>
      </c>
      <c r="E82" s="1640" t="s">
        <v>4431</v>
      </c>
      <c r="F82" s="1523" t="s">
        <v>1973</v>
      </c>
      <c r="G82" s="1641" t="s">
        <v>3296</v>
      </c>
      <c r="H82" s="1640" t="s">
        <v>1149</v>
      </c>
      <c r="I82" s="1640" t="s">
        <v>682</v>
      </c>
    </row>
    <row r="83" spans="1:9" x14ac:dyDescent="0.25">
      <c r="A83" s="1640" t="s">
        <v>626</v>
      </c>
      <c r="B83" s="1523" t="s">
        <v>4430</v>
      </c>
      <c r="C83" s="1523" t="s">
        <v>1973</v>
      </c>
      <c r="D83" s="1523" t="s">
        <v>3297</v>
      </c>
      <c r="E83" s="1640" t="s">
        <v>4431</v>
      </c>
      <c r="F83" s="1523" t="s">
        <v>1973</v>
      </c>
      <c r="G83" s="1641" t="s">
        <v>3296</v>
      </c>
      <c r="H83" s="1640" t="s">
        <v>1149</v>
      </c>
      <c r="I83" s="1640" t="s">
        <v>682</v>
      </c>
    </row>
    <row r="84" spans="1:9" x14ac:dyDescent="0.25">
      <c r="A84" s="1640" t="s">
        <v>626</v>
      </c>
      <c r="B84" s="1523" t="s">
        <v>4432</v>
      </c>
      <c r="C84" s="1523" t="s">
        <v>1973</v>
      </c>
      <c r="D84" s="1523" t="s">
        <v>3300</v>
      </c>
      <c r="E84" s="1640" t="s">
        <v>4433</v>
      </c>
      <c r="F84" s="1523" t="s">
        <v>1973</v>
      </c>
      <c r="G84" s="1641" t="s">
        <v>3299</v>
      </c>
      <c r="H84" s="1640" t="s">
        <v>1153</v>
      </c>
      <c r="I84" s="1640" t="s">
        <v>682</v>
      </c>
    </row>
    <row r="85" spans="1:9" x14ac:dyDescent="0.25">
      <c r="A85" s="1640" t="s">
        <v>626</v>
      </c>
      <c r="B85" s="1523" t="s">
        <v>4432</v>
      </c>
      <c r="C85" s="1523" t="s">
        <v>1973</v>
      </c>
      <c r="D85" s="1523" t="s">
        <v>3301</v>
      </c>
      <c r="E85" s="1640" t="s">
        <v>4433</v>
      </c>
      <c r="F85" s="1523" t="s">
        <v>1973</v>
      </c>
      <c r="G85" s="1641" t="s">
        <v>3299</v>
      </c>
      <c r="H85" s="1640" t="s">
        <v>1153</v>
      </c>
      <c r="I85" s="1640" t="s">
        <v>682</v>
      </c>
    </row>
    <row r="86" spans="1:9" x14ac:dyDescent="0.25">
      <c r="A86" s="1640" t="s">
        <v>626</v>
      </c>
      <c r="B86" s="1523" t="s">
        <v>4432</v>
      </c>
      <c r="C86" s="1523" t="s">
        <v>1973</v>
      </c>
      <c r="D86" s="1523" t="s">
        <v>3302</v>
      </c>
      <c r="E86" s="1640" t="s">
        <v>4433</v>
      </c>
      <c r="F86" s="1523" t="s">
        <v>1973</v>
      </c>
      <c r="G86" s="1641" t="s">
        <v>3299</v>
      </c>
      <c r="H86" s="1640" t="s">
        <v>1153</v>
      </c>
      <c r="I86" s="1640" t="s">
        <v>682</v>
      </c>
    </row>
    <row r="87" spans="1:9" x14ac:dyDescent="0.25">
      <c r="A87" s="1640" t="s">
        <v>626</v>
      </c>
      <c r="B87" s="1523" t="s">
        <v>4432</v>
      </c>
      <c r="C87" s="1523" t="s">
        <v>1973</v>
      </c>
      <c r="D87" s="1523" t="s">
        <v>3303</v>
      </c>
      <c r="E87" s="1640" t="s">
        <v>4433</v>
      </c>
      <c r="F87" s="1523" t="s">
        <v>1973</v>
      </c>
      <c r="G87" s="1641" t="s">
        <v>3299</v>
      </c>
      <c r="H87" s="1640" t="s">
        <v>1153</v>
      </c>
      <c r="I87" s="1640" t="s">
        <v>682</v>
      </c>
    </row>
    <row r="88" spans="1:9" x14ac:dyDescent="0.25">
      <c r="A88" s="1640" t="s">
        <v>626</v>
      </c>
      <c r="B88" s="1523" t="s">
        <v>4434</v>
      </c>
      <c r="C88" s="1523" t="s">
        <v>1884</v>
      </c>
      <c r="D88" s="1523" t="s">
        <v>3318</v>
      </c>
      <c r="E88" s="1640" t="s">
        <v>4435</v>
      </c>
      <c r="F88" s="1523" t="s">
        <v>1884</v>
      </c>
      <c r="G88" s="1641" t="s">
        <v>3314</v>
      </c>
      <c r="H88" s="1640" t="s">
        <v>1153</v>
      </c>
      <c r="I88" s="1640" t="s">
        <v>682</v>
      </c>
    </row>
    <row r="89" spans="1:9" x14ac:dyDescent="0.25">
      <c r="A89" s="1640" t="s">
        <v>626</v>
      </c>
      <c r="B89" s="1523" t="s">
        <v>4436</v>
      </c>
      <c r="C89" s="1523" t="s">
        <v>1976</v>
      </c>
      <c r="D89" s="1523" t="s">
        <v>3324</v>
      </c>
      <c r="E89" s="1640" t="s">
        <v>4437</v>
      </c>
      <c r="F89" s="1523" t="s">
        <v>1976</v>
      </c>
      <c r="G89" s="1641" t="s">
        <v>3323</v>
      </c>
      <c r="H89" s="1640" t="s">
        <v>1149</v>
      </c>
      <c r="I89" s="1640" t="s">
        <v>682</v>
      </c>
    </row>
    <row r="90" spans="1:9" x14ac:dyDescent="0.25">
      <c r="A90" s="1640" t="s">
        <v>626</v>
      </c>
      <c r="B90" s="1523" t="s">
        <v>4436</v>
      </c>
      <c r="C90" s="1523" t="s">
        <v>1976</v>
      </c>
      <c r="D90" s="1523" t="s">
        <v>3325</v>
      </c>
      <c r="E90" s="1640" t="s">
        <v>4437</v>
      </c>
      <c r="F90" s="1523" t="s">
        <v>1976</v>
      </c>
      <c r="G90" s="1641" t="s">
        <v>3323</v>
      </c>
      <c r="H90" s="1640" t="s">
        <v>1149</v>
      </c>
      <c r="I90" s="1640" t="s">
        <v>682</v>
      </c>
    </row>
    <row r="91" spans="1:9" x14ac:dyDescent="0.25">
      <c r="A91" s="1640" t="s">
        <v>626</v>
      </c>
      <c r="B91" s="1523" t="s">
        <v>7773</v>
      </c>
      <c r="C91" s="1523" t="s">
        <v>5658</v>
      </c>
      <c r="D91" s="1523" t="s">
        <v>5665</v>
      </c>
      <c r="E91" s="1640" t="s">
        <v>7774</v>
      </c>
      <c r="F91" s="1523" t="s">
        <v>5658</v>
      </c>
      <c r="G91" s="1641" t="s">
        <v>7775</v>
      </c>
      <c r="H91" s="1640" t="s">
        <v>1149</v>
      </c>
      <c r="I91" s="1640" t="s">
        <v>682</v>
      </c>
    </row>
    <row r="92" spans="1:9" x14ac:dyDescent="0.25">
      <c r="A92" s="1640" t="s">
        <v>626</v>
      </c>
      <c r="B92" s="1523" t="s">
        <v>7776</v>
      </c>
      <c r="C92" s="1523" t="s">
        <v>5658</v>
      </c>
      <c r="D92" s="1523" t="s">
        <v>5660</v>
      </c>
      <c r="E92" s="1640" t="s">
        <v>7777</v>
      </c>
      <c r="F92" s="1523" t="s">
        <v>5658</v>
      </c>
      <c r="G92" s="1641" t="s">
        <v>7778</v>
      </c>
      <c r="H92" s="1640" t="s">
        <v>1153</v>
      </c>
      <c r="I92" s="1640" t="s">
        <v>682</v>
      </c>
    </row>
    <row r="93" spans="1:9" x14ac:dyDescent="0.25">
      <c r="A93" s="1640" t="s">
        <v>626</v>
      </c>
      <c r="B93" s="1523" t="s">
        <v>4438</v>
      </c>
      <c r="C93" s="1523" t="s">
        <v>2009</v>
      </c>
      <c r="D93" s="1523" t="s">
        <v>3338</v>
      </c>
      <c r="E93" s="1640" t="s">
        <v>4439</v>
      </c>
      <c r="F93" s="1523" t="s">
        <v>2009</v>
      </c>
      <c r="G93" s="1641" t="s">
        <v>3337</v>
      </c>
      <c r="H93" s="1640" t="s">
        <v>1153</v>
      </c>
      <c r="I93" s="1640" t="s">
        <v>682</v>
      </c>
    </row>
    <row r="94" spans="1:9" x14ac:dyDescent="0.25">
      <c r="A94" s="1640" t="s">
        <v>626</v>
      </c>
      <c r="B94" s="1523" t="s">
        <v>7779</v>
      </c>
      <c r="C94" s="1523" t="s">
        <v>6160</v>
      </c>
      <c r="D94" s="1523" t="s">
        <v>6161</v>
      </c>
      <c r="E94" s="1640" t="s">
        <v>7780</v>
      </c>
      <c r="F94" s="1523" t="s">
        <v>6160</v>
      </c>
      <c r="G94" s="1641" t="s">
        <v>7781</v>
      </c>
      <c r="H94" s="1640" t="s">
        <v>1153</v>
      </c>
      <c r="I94" s="1640" t="s">
        <v>682</v>
      </c>
    </row>
    <row r="95" spans="1:9" x14ac:dyDescent="0.25">
      <c r="A95" s="1640" t="s">
        <v>626</v>
      </c>
      <c r="B95" s="1523" t="s">
        <v>4440</v>
      </c>
      <c r="C95" s="1523" t="s">
        <v>2023</v>
      </c>
      <c r="D95" s="1523" t="s">
        <v>3351</v>
      </c>
      <c r="E95" s="1640" t="s">
        <v>4441</v>
      </c>
      <c r="F95" s="1523" t="s">
        <v>2023</v>
      </c>
      <c r="G95" s="1641" t="s">
        <v>3349</v>
      </c>
      <c r="H95" s="1640" t="s">
        <v>1149</v>
      </c>
      <c r="I95" s="1640" t="s">
        <v>682</v>
      </c>
    </row>
    <row r="96" spans="1:9" x14ac:dyDescent="0.25">
      <c r="A96" s="1640" t="s">
        <v>626</v>
      </c>
      <c r="B96" s="1523" t="s">
        <v>4440</v>
      </c>
      <c r="C96" s="1523" t="s">
        <v>2023</v>
      </c>
      <c r="D96" s="1523" t="s">
        <v>3352</v>
      </c>
      <c r="E96" s="1640" t="s">
        <v>4441</v>
      </c>
      <c r="F96" s="1523" t="s">
        <v>2023</v>
      </c>
      <c r="G96" s="1641" t="s">
        <v>3349</v>
      </c>
      <c r="H96" s="1640" t="s">
        <v>1149</v>
      </c>
      <c r="I96" s="1640" t="s">
        <v>682</v>
      </c>
    </row>
    <row r="97" spans="1:9" x14ac:dyDescent="0.25">
      <c r="A97" s="1640" t="s">
        <v>626</v>
      </c>
      <c r="B97" s="1523" t="s">
        <v>4440</v>
      </c>
      <c r="C97" s="1523" t="s">
        <v>2023</v>
      </c>
      <c r="D97" s="1523" t="s">
        <v>3350</v>
      </c>
      <c r="E97" s="1640" t="s">
        <v>4441</v>
      </c>
      <c r="F97" s="1523" t="s">
        <v>2023</v>
      </c>
      <c r="G97" s="1641" t="s">
        <v>3349</v>
      </c>
      <c r="H97" s="1640" t="s">
        <v>1149</v>
      </c>
      <c r="I97" s="1640" t="s">
        <v>682</v>
      </c>
    </row>
    <row r="98" spans="1:9" x14ac:dyDescent="0.25">
      <c r="A98" s="1640" t="s">
        <v>626</v>
      </c>
      <c r="B98" s="1523" t="s">
        <v>4440</v>
      </c>
      <c r="C98" s="1523" t="s">
        <v>2023</v>
      </c>
      <c r="D98" s="1523" t="s">
        <v>3353</v>
      </c>
      <c r="E98" s="1640" t="s">
        <v>4441</v>
      </c>
      <c r="F98" s="1523" t="s">
        <v>2023</v>
      </c>
      <c r="G98" s="1641" t="s">
        <v>3349</v>
      </c>
      <c r="H98" s="1640" t="s">
        <v>1149</v>
      </c>
      <c r="I98" s="1640" t="s">
        <v>682</v>
      </c>
    </row>
    <row r="99" spans="1:9" x14ac:dyDescent="0.25">
      <c r="A99" s="1640" t="s">
        <v>626</v>
      </c>
      <c r="B99" s="1523" t="s">
        <v>4442</v>
      </c>
      <c r="C99" s="1523" t="s">
        <v>2026</v>
      </c>
      <c r="D99" s="1523" t="s">
        <v>3357</v>
      </c>
      <c r="E99" s="1640" t="s">
        <v>4443</v>
      </c>
      <c r="F99" s="1523" t="s">
        <v>2026</v>
      </c>
      <c r="G99" s="1641" t="s">
        <v>3356</v>
      </c>
      <c r="H99" s="1640" t="s">
        <v>1153</v>
      </c>
      <c r="I99" s="1640" t="s">
        <v>682</v>
      </c>
    </row>
    <row r="100" spans="1:9" x14ac:dyDescent="0.25">
      <c r="A100" s="1640" t="s">
        <v>626</v>
      </c>
      <c r="B100" s="1523" t="s">
        <v>4444</v>
      </c>
      <c r="C100" s="1523" t="s">
        <v>2029</v>
      </c>
      <c r="D100" s="1523" t="s">
        <v>3359</v>
      </c>
      <c r="E100" s="1640" t="s">
        <v>4445</v>
      </c>
      <c r="F100" s="1523" t="s">
        <v>2029</v>
      </c>
      <c r="G100" s="1641" t="s">
        <v>3358</v>
      </c>
      <c r="H100" s="1640" t="s">
        <v>1153</v>
      </c>
      <c r="I100" s="1640" t="s">
        <v>682</v>
      </c>
    </row>
    <row r="101" spans="1:9" x14ac:dyDescent="0.25">
      <c r="A101" s="1640" t="s">
        <v>626</v>
      </c>
      <c r="B101" s="1523" t="s">
        <v>4446</v>
      </c>
      <c r="C101" s="1523" t="s">
        <v>2030</v>
      </c>
      <c r="D101" s="1523" t="s">
        <v>3357</v>
      </c>
      <c r="E101" s="1640" t="s">
        <v>4447</v>
      </c>
      <c r="F101" s="1523" t="s">
        <v>2030</v>
      </c>
      <c r="G101" s="1641" t="s">
        <v>3360</v>
      </c>
      <c r="H101" s="1640" t="s">
        <v>1153</v>
      </c>
      <c r="I101" s="1640" t="s">
        <v>682</v>
      </c>
    </row>
    <row r="102" spans="1:9" x14ac:dyDescent="0.25">
      <c r="A102" s="1640" t="s">
        <v>626</v>
      </c>
      <c r="B102" s="1523" t="s">
        <v>4448</v>
      </c>
      <c r="C102" s="1523" t="s">
        <v>1898</v>
      </c>
      <c r="D102" s="1523" t="s">
        <v>3362</v>
      </c>
      <c r="E102" s="1640" t="s">
        <v>4449</v>
      </c>
      <c r="F102" s="1523" t="s">
        <v>1898</v>
      </c>
      <c r="G102" s="1641" t="s">
        <v>3361</v>
      </c>
      <c r="H102" s="1640" t="s">
        <v>1149</v>
      </c>
      <c r="I102" s="1640" t="s">
        <v>682</v>
      </c>
    </row>
    <row r="103" spans="1:9" x14ac:dyDescent="0.25">
      <c r="A103" s="1640" t="s">
        <v>626</v>
      </c>
      <c r="B103" s="1523" t="s">
        <v>4448</v>
      </c>
      <c r="C103" s="1523" t="s">
        <v>1898</v>
      </c>
      <c r="D103" s="1523" t="s">
        <v>3363</v>
      </c>
      <c r="E103" s="1640" t="s">
        <v>4449</v>
      </c>
      <c r="F103" s="1523" t="s">
        <v>1898</v>
      </c>
      <c r="G103" s="1641" t="s">
        <v>3361</v>
      </c>
      <c r="H103" s="1640" t="s">
        <v>1149</v>
      </c>
      <c r="I103" s="1640" t="s">
        <v>682</v>
      </c>
    </row>
    <row r="104" spans="1:9" x14ac:dyDescent="0.25">
      <c r="A104" s="1640" t="s">
        <v>626</v>
      </c>
      <c r="B104" s="1523" t="s">
        <v>4450</v>
      </c>
      <c r="C104" s="1523" t="s">
        <v>1898</v>
      </c>
      <c r="D104" s="1523" t="s">
        <v>3366</v>
      </c>
      <c r="E104" s="1640" t="s">
        <v>4451</v>
      </c>
      <c r="F104" s="1523" t="s">
        <v>1898</v>
      </c>
      <c r="G104" s="1641" t="s">
        <v>3364</v>
      </c>
      <c r="H104" s="1640" t="s">
        <v>1153</v>
      </c>
      <c r="I104" s="1640" t="s">
        <v>682</v>
      </c>
    </row>
    <row r="105" spans="1:9" x14ac:dyDescent="0.25">
      <c r="A105" s="1640" t="s">
        <v>626</v>
      </c>
      <c r="B105" s="1523" t="s">
        <v>4450</v>
      </c>
      <c r="C105" s="1523" t="s">
        <v>1898</v>
      </c>
      <c r="D105" s="1523" t="s">
        <v>3367</v>
      </c>
      <c r="E105" s="1640" t="s">
        <v>4451</v>
      </c>
      <c r="F105" s="1523" t="s">
        <v>1898</v>
      </c>
      <c r="G105" s="1641" t="s">
        <v>3364</v>
      </c>
      <c r="H105" s="1640" t="s">
        <v>1153</v>
      </c>
      <c r="I105" s="1640" t="s">
        <v>682</v>
      </c>
    </row>
    <row r="106" spans="1:9" x14ac:dyDescent="0.25">
      <c r="A106" s="1640" t="s">
        <v>626</v>
      </c>
      <c r="B106" s="1523" t="s">
        <v>4450</v>
      </c>
      <c r="C106" s="1523" t="s">
        <v>1898</v>
      </c>
      <c r="D106" s="1523" t="s">
        <v>3365</v>
      </c>
      <c r="E106" s="1640" t="s">
        <v>4451</v>
      </c>
      <c r="F106" s="1523" t="s">
        <v>1898</v>
      </c>
      <c r="G106" s="1641" t="s">
        <v>3364</v>
      </c>
      <c r="H106" s="1640" t="s">
        <v>1153</v>
      </c>
      <c r="I106" s="1640" t="s">
        <v>682</v>
      </c>
    </row>
    <row r="107" spans="1:9" x14ac:dyDescent="0.25">
      <c r="A107" s="1640" t="s">
        <v>626</v>
      </c>
      <c r="B107" s="1523" t="s">
        <v>4450</v>
      </c>
      <c r="C107" s="1523" t="s">
        <v>1898</v>
      </c>
      <c r="D107" s="1523" t="s">
        <v>3368</v>
      </c>
      <c r="E107" s="1640" t="s">
        <v>4451</v>
      </c>
      <c r="F107" s="1523" t="s">
        <v>1898</v>
      </c>
      <c r="G107" s="1641" t="s">
        <v>3364</v>
      </c>
      <c r="H107" s="1640" t="s">
        <v>1153</v>
      </c>
      <c r="I107" s="1640" t="s">
        <v>682</v>
      </c>
    </row>
    <row r="108" spans="1:9" x14ac:dyDescent="0.25">
      <c r="A108" s="1640" t="s">
        <v>626</v>
      </c>
      <c r="B108" s="1523" t="s">
        <v>4452</v>
      </c>
      <c r="C108" s="1523" t="s">
        <v>2038</v>
      </c>
      <c r="D108" s="1523" t="s">
        <v>3380</v>
      </c>
      <c r="E108" s="1640" t="s">
        <v>4453</v>
      </c>
      <c r="F108" s="1523" t="s">
        <v>2038</v>
      </c>
      <c r="G108" s="1641" t="s">
        <v>3378</v>
      </c>
      <c r="H108" s="1640" t="s">
        <v>1153</v>
      </c>
      <c r="I108" s="1640" t="s">
        <v>682</v>
      </c>
    </row>
    <row r="109" spans="1:9" x14ac:dyDescent="0.25">
      <c r="A109" s="1640" t="s">
        <v>626</v>
      </c>
      <c r="B109" s="1523" t="s">
        <v>4452</v>
      </c>
      <c r="C109" s="1523" t="s">
        <v>2038</v>
      </c>
      <c r="D109" s="1523" t="s">
        <v>3381</v>
      </c>
      <c r="E109" s="1640" t="s">
        <v>4453</v>
      </c>
      <c r="F109" s="1523" t="s">
        <v>2038</v>
      </c>
      <c r="G109" s="1641" t="s">
        <v>3378</v>
      </c>
      <c r="H109" s="1640" t="s">
        <v>1153</v>
      </c>
      <c r="I109" s="1640" t="s">
        <v>682</v>
      </c>
    </row>
    <row r="110" spans="1:9" x14ac:dyDescent="0.25">
      <c r="A110" s="1640" t="s">
        <v>626</v>
      </c>
      <c r="B110" s="1523" t="s">
        <v>4454</v>
      </c>
      <c r="C110" s="1523" t="s">
        <v>2039</v>
      </c>
      <c r="D110" s="1523" t="s">
        <v>3384</v>
      </c>
      <c r="E110" s="1640" t="s">
        <v>4455</v>
      </c>
      <c r="F110" s="1523" t="s">
        <v>2039</v>
      </c>
      <c r="G110" s="1641" t="s">
        <v>3382</v>
      </c>
      <c r="H110" s="1640" t="s">
        <v>1153</v>
      </c>
      <c r="I110" s="1640" t="s">
        <v>682</v>
      </c>
    </row>
    <row r="111" spans="1:9" x14ac:dyDescent="0.25">
      <c r="A111" s="1640" t="s">
        <v>626</v>
      </c>
      <c r="B111" s="1523" t="s">
        <v>4454</v>
      </c>
      <c r="C111" s="1523" t="s">
        <v>2039</v>
      </c>
      <c r="D111" s="1523" t="s">
        <v>3383</v>
      </c>
      <c r="E111" s="1640" t="s">
        <v>4455</v>
      </c>
      <c r="F111" s="1523" t="s">
        <v>2039</v>
      </c>
      <c r="G111" s="1641" t="s">
        <v>3382</v>
      </c>
      <c r="H111" s="1640" t="s">
        <v>1153</v>
      </c>
      <c r="I111" s="1640" t="s">
        <v>682</v>
      </c>
    </row>
    <row r="112" spans="1:9" x14ac:dyDescent="0.25">
      <c r="A112" s="1640" t="s">
        <v>626</v>
      </c>
      <c r="B112" s="1523" t="s">
        <v>4456</v>
      </c>
      <c r="C112" s="1523" t="s">
        <v>2052</v>
      </c>
      <c r="D112" s="1523" t="s">
        <v>3394</v>
      </c>
      <c r="E112" s="1640" t="s">
        <v>4457</v>
      </c>
      <c r="F112" s="1523" t="s">
        <v>2052</v>
      </c>
      <c r="G112" s="1641" t="s">
        <v>3392</v>
      </c>
      <c r="H112" s="1640" t="s">
        <v>1153</v>
      </c>
      <c r="I112" s="1640" t="s">
        <v>682</v>
      </c>
    </row>
    <row r="113" spans="1:9" x14ac:dyDescent="0.25">
      <c r="A113" s="1640" t="s">
        <v>626</v>
      </c>
      <c r="B113" s="1523" t="s">
        <v>4458</v>
      </c>
      <c r="C113" s="1523" t="s">
        <v>2053</v>
      </c>
      <c r="D113" s="1523" t="s">
        <v>3397</v>
      </c>
      <c r="E113" s="1640" t="s">
        <v>4459</v>
      </c>
      <c r="F113" s="1523" t="s">
        <v>2053</v>
      </c>
      <c r="G113" s="1641" t="s">
        <v>3395</v>
      </c>
      <c r="H113" s="1640" t="s">
        <v>1153</v>
      </c>
      <c r="I113" s="1640" t="s">
        <v>682</v>
      </c>
    </row>
    <row r="114" spans="1:9" x14ac:dyDescent="0.25">
      <c r="A114" s="1640" t="s">
        <v>626</v>
      </c>
      <c r="B114" s="1523" t="s">
        <v>4458</v>
      </c>
      <c r="C114" s="1523" t="s">
        <v>2053</v>
      </c>
      <c r="D114" s="1523" t="s">
        <v>3396</v>
      </c>
      <c r="E114" s="1640" t="s">
        <v>4459</v>
      </c>
      <c r="F114" s="1523" t="s">
        <v>2053</v>
      </c>
      <c r="G114" s="1641" t="s">
        <v>3395</v>
      </c>
      <c r="H114" s="1640" t="s">
        <v>1153</v>
      </c>
      <c r="I114" s="1640" t="s">
        <v>682</v>
      </c>
    </row>
    <row r="115" spans="1:9" x14ac:dyDescent="0.25">
      <c r="A115" s="1640" t="s">
        <v>626</v>
      </c>
      <c r="B115" s="1523" t="s">
        <v>4460</v>
      </c>
      <c r="C115" s="1523" t="s">
        <v>1929</v>
      </c>
      <c r="D115" s="1523" t="s">
        <v>3422</v>
      </c>
      <c r="E115" s="1640" t="s">
        <v>4461</v>
      </c>
      <c r="F115" s="1523" t="s">
        <v>1929</v>
      </c>
      <c r="G115" s="1641" t="s">
        <v>3419</v>
      </c>
      <c r="H115" s="1640" t="s">
        <v>1153</v>
      </c>
      <c r="I115" s="1640" t="s">
        <v>682</v>
      </c>
    </row>
    <row r="116" spans="1:9" x14ac:dyDescent="0.25">
      <c r="A116" s="1640" t="s">
        <v>626</v>
      </c>
      <c r="B116" s="1523" t="s">
        <v>4460</v>
      </c>
      <c r="C116" s="1523" t="s">
        <v>1929</v>
      </c>
      <c r="D116" s="1523" t="s">
        <v>3420</v>
      </c>
      <c r="E116" s="1640" t="s">
        <v>4461</v>
      </c>
      <c r="F116" s="1523" t="s">
        <v>1929</v>
      </c>
      <c r="G116" s="1641" t="s">
        <v>3419</v>
      </c>
      <c r="H116" s="1640" t="s">
        <v>1153</v>
      </c>
      <c r="I116" s="1640" t="s">
        <v>682</v>
      </c>
    </row>
    <row r="117" spans="1:9" x14ac:dyDescent="0.25">
      <c r="A117" s="1640" t="s">
        <v>626</v>
      </c>
      <c r="B117" s="1523" t="s">
        <v>4462</v>
      </c>
      <c r="C117" s="1523" t="s">
        <v>1937</v>
      </c>
      <c r="D117" s="1523" t="s">
        <v>3425</v>
      </c>
      <c r="E117" s="1640" t="s">
        <v>4463</v>
      </c>
      <c r="F117" s="1523" t="s">
        <v>1937</v>
      </c>
      <c r="G117" s="1641" t="s">
        <v>3424</v>
      </c>
      <c r="H117" s="1640" t="s">
        <v>1153</v>
      </c>
      <c r="I117" s="1640" t="s">
        <v>682</v>
      </c>
    </row>
    <row r="118" spans="1:9" x14ac:dyDescent="0.25">
      <c r="A118" s="1640" t="s">
        <v>626</v>
      </c>
      <c r="B118" s="1523" t="s">
        <v>4464</v>
      </c>
      <c r="C118" s="1523" t="s">
        <v>2073</v>
      </c>
      <c r="D118" s="1523" t="s">
        <v>3434</v>
      </c>
      <c r="E118" s="1640" t="s">
        <v>4465</v>
      </c>
      <c r="F118" s="1523" t="s">
        <v>2073</v>
      </c>
      <c r="G118" s="1641" t="s">
        <v>3433</v>
      </c>
      <c r="H118" s="1640" t="s">
        <v>1149</v>
      </c>
      <c r="I118" s="1640" t="s">
        <v>682</v>
      </c>
    </row>
    <row r="119" spans="1:9" x14ac:dyDescent="0.25">
      <c r="A119" s="1640" t="s">
        <v>626</v>
      </c>
      <c r="B119" s="1523" t="s">
        <v>4466</v>
      </c>
      <c r="C119" s="1523" t="s">
        <v>2086</v>
      </c>
      <c r="D119" s="1523" t="s">
        <v>3454</v>
      </c>
      <c r="E119" s="1640" t="s">
        <v>4467</v>
      </c>
      <c r="F119" s="1523" t="s">
        <v>2086</v>
      </c>
      <c r="G119" s="1641" t="s">
        <v>3453</v>
      </c>
      <c r="H119" s="1640" t="s">
        <v>1153</v>
      </c>
      <c r="I119" s="1640" t="s">
        <v>682</v>
      </c>
    </row>
    <row r="120" spans="1:9" x14ac:dyDescent="0.25">
      <c r="A120" s="1640" t="s">
        <v>626</v>
      </c>
      <c r="B120" s="1523" t="s">
        <v>4468</v>
      </c>
      <c r="C120" s="1523" t="s">
        <v>2087</v>
      </c>
      <c r="D120" s="1523" t="s">
        <v>3456</v>
      </c>
      <c r="E120" s="1640" t="s">
        <v>4469</v>
      </c>
      <c r="F120" s="1523" t="s">
        <v>2087</v>
      </c>
      <c r="G120" s="1641" t="s">
        <v>3455</v>
      </c>
      <c r="H120" s="1640" t="s">
        <v>1153</v>
      </c>
      <c r="I120" s="1640" t="s">
        <v>682</v>
      </c>
    </row>
    <row r="121" spans="1:9" x14ac:dyDescent="0.25">
      <c r="A121" s="1640" t="s">
        <v>626</v>
      </c>
      <c r="B121" s="1523" t="s">
        <v>4470</v>
      </c>
      <c r="C121" s="1523" t="s">
        <v>2088</v>
      </c>
      <c r="D121" s="1523" t="s">
        <v>3456</v>
      </c>
      <c r="E121" s="1640" t="s">
        <v>4471</v>
      </c>
      <c r="F121" s="1523" t="s">
        <v>2088</v>
      </c>
      <c r="G121" s="1641" t="s">
        <v>3457</v>
      </c>
      <c r="H121" s="1640" t="s">
        <v>1153</v>
      </c>
      <c r="I121" s="1640" t="s">
        <v>682</v>
      </c>
    </row>
    <row r="122" spans="1:9" x14ac:dyDescent="0.25">
      <c r="A122" s="1640" t="s">
        <v>626</v>
      </c>
      <c r="B122" s="1523" t="s">
        <v>4470</v>
      </c>
      <c r="C122" s="1523" t="s">
        <v>2088</v>
      </c>
      <c r="D122" s="1523" t="s">
        <v>3458</v>
      </c>
      <c r="E122" s="1640" t="s">
        <v>4471</v>
      </c>
      <c r="F122" s="1523" t="s">
        <v>2088</v>
      </c>
      <c r="G122" s="1641" t="s">
        <v>3457</v>
      </c>
      <c r="H122" s="1640" t="s">
        <v>1153</v>
      </c>
      <c r="I122" s="1640" t="s">
        <v>682</v>
      </c>
    </row>
    <row r="123" spans="1:9" x14ac:dyDescent="0.25">
      <c r="A123" s="1640" t="s">
        <v>626</v>
      </c>
      <c r="B123" s="1523" t="s">
        <v>4472</v>
      </c>
      <c r="C123" s="1523" t="s">
        <v>2090</v>
      </c>
      <c r="D123" s="1523" t="s">
        <v>3454</v>
      </c>
      <c r="E123" s="1640" t="s">
        <v>4473</v>
      </c>
      <c r="F123" s="1523" t="s">
        <v>2090</v>
      </c>
      <c r="G123" s="1641" t="s">
        <v>3459</v>
      </c>
      <c r="H123" s="1640" t="s">
        <v>1153</v>
      </c>
      <c r="I123" s="1640" t="s">
        <v>682</v>
      </c>
    </row>
    <row r="124" spans="1:9" x14ac:dyDescent="0.25">
      <c r="A124" s="1640" t="s">
        <v>626</v>
      </c>
      <c r="B124" s="1523" t="s">
        <v>4472</v>
      </c>
      <c r="C124" s="1523" t="s">
        <v>2090</v>
      </c>
      <c r="D124" s="1523" t="s">
        <v>3460</v>
      </c>
      <c r="E124" s="1640" t="s">
        <v>4473</v>
      </c>
      <c r="F124" s="1523" t="s">
        <v>2090</v>
      </c>
      <c r="G124" s="1641" t="s">
        <v>3459</v>
      </c>
      <c r="H124" s="1640" t="s">
        <v>1153</v>
      </c>
      <c r="I124" s="1640" t="s">
        <v>682</v>
      </c>
    </row>
    <row r="125" spans="1:9" x14ac:dyDescent="0.25">
      <c r="A125" s="1640" t="s">
        <v>626</v>
      </c>
      <c r="B125" s="1523" t="s">
        <v>4472</v>
      </c>
      <c r="C125" s="1523" t="s">
        <v>2090</v>
      </c>
      <c r="D125" s="1523" t="s">
        <v>3461</v>
      </c>
      <c r="E125" s="1640" t="s">
        <v>4473</v>
      </c>
      <c r="F125" s="1523" t="s">
        <v>2090</v>
      </c>
      <c r="G125" s="1641" t="s">
        <v>3459</v>
      </c>
      <c r="H125" s="1640" t="s">
        <v>1153</v>
      </c>
      <c r="I125" s="1640" t="s">
        <v>682</v>
      </c>
    </row>
    <row r="126" spans="1:9" x14ac:dyDescent="0.25">
      <c r="A126" s="1640" t="s">
        <v>42</v>
      </c>
      <c r="B126" s="1523" t="s">
        <v>4474</v>
      </c>
      <c r="C126" s="1523" t="s">
        <v>1813</v>
      </c>
      <c r="D126" s="1523" t="s">
        <v>3479</v>
      </c>
      <c r="E126" s="1640" t="s">
        <v>4475</v>
      </c>
      <c r="F126" s="1523" t="s">
        <v>1813</v>
      </c>
      <c r="G126" s="1641" t="s">
        <v>3476</v>
      </c>
      <c r="H126" s="1640" t="s">
        <v>1149</v>
      </c>
      <c r="I126" s="1640" t="s">
        <v>682</v>
      </c>
    </row>
    <row r="127" spans="1:9" x14ac:dyDescent="0.25">
      <c r="A127" s="1640" t="s">
        <v>42</v>
      </c>
      <c r="B127" s="1523" t="s">
        <v>4476</v>
      </c>
      <c r="C127" s="1523" t="s">
        <v>1816</v>
      </c>
      <c r="D127" s="1523" t="s">
        <v>3481</v>
      </c>
      <c r="E127" s="1640" t="s">
        <v>4477</v>
      </c>
      <c r="F127" s="1523" t="s">
        <v>1816</v>
      </c>
      <c r="G127" s="1641" t="s">
        <v>3480</v>
      </c>
      <c r="H127" s="1640" t="s">
        <v>1149</v>
      </c>
      <c r="I127" s="1640" t="s">
        <v>682</v>
      </c>
    </row>
    <row r="128" spans="1:9" x14ac:dyDescent="0.25">
      <c r="A128" s="1640" t="s">
        <v>42</v>
      </c>
      <c r="B128" s="1523" t="s">
        <v>4478</v>
      </c>
      <c r="C128" s="1523" t="s">
        <v>1817</v>
      </c>
      <c r="D128" s="1523" t="s">
        <v>3484</v>
      </c>
      <c r="E128" s="1640" t="s">
        <v>4479</v>
      </c>
      <c r="F128" s="1523" t="s">
        <v>1817</v>
      </c>
      <c r="G128" s="1641" t="s">
        <v>3483</v>
      </c>
      <c r="H128" s="1640" t="s">
        <v>1149</v>
      </c>
      <c r="I128" s="1640" t="s">
        <v>682</v>
      </c>
    </row>
    <row r="129" spans="1:9" x14ac:dyDescent="0.25">
      <c r="A129" s="1640" t="s">
        <v>42</v>
      </c>
      <c r="B129" s="1523" t="s">
        <v>4480</v>
      </c>
      <c r="C129" s="1523" t="s">
        <v>1825</v>
      </c>
      <c r="D129" s="1523" t="s">
        <v>3490</v>
      </c>
      <c r="E129" s="1640" t="s">
        <v>4481</v>
      </c>
      <c r="F129" s="1523" t="s">
        <v>1825</v>
      </c>
      <c r="G129" s="1641" t="s">
        <v>3489</v>
      </c>
      <c r="H129" s="1640" t="s">
        <v>1149</v>
      </c>
      <c r="I129" s="1640" t="s">
        <v>682</v>
      </c>
    </row>
    <row r="130" spans="1:9" x14ac:dyDescent="0.25">
      <c r="A130" s="1640" t="s">
        <v>33</v>
      </c>
      <c r="B130" s="1523" t="s">
        <v>4482</v>
      </c>
      <c r="C130" s="1523" t="s">
        <v>1376</v>
      </c>
      <c r="D130" s="1523" t="s">
        <v>3525</v>
      </c>
      <c r="E130" s="1640" t="s">
        <v>4483</v>
      </c>
      <c r="F130" s="1523" t="s">
        <v>1376</v>
      </c>
      <c r="G130" s="1641" t="s">
        <v>3520</v>
      </c>
      <c r="H130" s="1640" t="s">
        <v>1153</v>
      </c>
      <c r="I130" s="1640" t="s">
        <v>682</v>
      </c>
    </row>
    <row r="131" spans="1:9" x14ac:dyDescent="0.25">
      <c r="A131" s="1640" t="s">
        <v>33</v>
      </c>
      <c r="B131" s="1523" t="s">
        <v>4482</v>
      </c>
      <c r="C131" s="1523" t="s">
        <v>1376</v>
      </c>
      <c r="D131" s="1523" t="s">
        <v>3524</v>
      </c>
      <c r="E131" s="1640" t="s">
        <v>4483</v>
      </c>
      <c r="F131" s="1523" t="s">
        <v>1376</v>
      </c>
      <c r="G131" s="1641" t="s">
        <v>3520</v>
      </c>
      <c r="H131" s="1640" t="s">
        <v>1153</v>
      </c>
      <c r="I131" s="1640" t="s">
        <v>682</v>
      </c>
    </row>
    <row r="132" spans="1:9" x14ac:dyDescent="0.25">
      <c r="A132" s="1640" t="s">
        <v>33</v>
      </c>
      <c r="B132" s="1523" t="s">
        <v>4482</v>
      </c>
      <c r="C132" s="1523" t="s">
        <v>1376</v>
      </c>
      <c r="D132" s="1523" t="s">
        <v>3523</v>
      </c>
      <c r="E132" s="1640" t="s">
        <v>4483</v>
      </c>
      <c r="F132" s="1523" t="s">
        <v>1376</v>
      </c>
      <c r="G132" s="1641" t="s">
        <v>3520</v>
      </c>
      <c r="H132" s="1640" t="s">
        <v>1153</v>
      </c>
      <c r="I132" s="1640" t="s">
        <v>682</v>
      </c>
    </row>
    <row r="133" spans="1:9" x14ac:dyDescent="0.25">
      <c r="A133" s="1640" t="s">
        <v>33</v>
      </c>
      <c r="B133" s="1523" t="s">
        <v>4482</v>
      </c>
      <c r="C133" s="1523" t="s">
        <v>1376</v>
      </c>
      <c r="D133" s="1523" t="s">
        <v>3526</v>
      </c>
      <c r="E133" s="1640" t="s">
        <v>4483</v>
      </c>
      <c r="F133" s="1523" t="s">
        <v>1376</v>
      </c>
      <c r="G133" s="1641" t="s">
        <v>3520</v>
      </c>
      <c r="H133" s="1640" t="s">
        <v>1153</v>
      </c>
      <c r="I133" s="1640" t="s">
        <v>682</v>
      </c>
    </row>
    <row r="134" spans="1:9" x14ac:dyDescent="0.25">
      <c r="A134" s="1640" t="s">
        <v>33</v>
      </c>
      <c r="B134" s="1523" t="s">
        <v>4482</v>
      </c>
      <c r="C134" s="1523" t="s">
        <v>1376</v>
      </c>
      <c r="D134" s="1523" t="s">
        <v>3522</v>
      </c>
      <c r="E134" s="1640" t="s">
        <v>4483</v>
      </c>
      <c r="F134" s="1523" t="s">
        <v>1376</v>
      </c>
      <c r="G134" s="1641" t="s">
        <v>3520</v>
      </c>
      <c r="H134" s="1640" t="s">
        <v>1153</v>
      </c>
      <c r="I134" s="1640" t="s">
        <v>682</v>
      </c>
    </row>
    <row r="135" spans="1:9" x14ac:dyDescent="0.25">
      <c r="A135" s="1640" t="s">
        <v>33</v>
      </c>
      <c r="B135" s="1523" t="s">
        <v>4482</v>
      </c>
      <c r="C135" s="1523" t="s">
        <v>1376</v>
      </c>
      <c r="D135" s="1523" t="s">
        <v>3527</v>
      </c>
      <c r="E135" s="1640" t="s">
        <v>4483</v>
      </c>
      <c r="F135" s="1523" t="s">
        <v>1376</v>
      </c>
      <c r="G135" s="1641" t="s">
        <v>3520</v>
      </c>
      <c r="H135" s="1640" t="s">
        <v>1153</v>
      </c>
      <c r="I135" s="1640" t="s">
        <v>682</v>
      </c>
    </row>
    <row r="136" spans="1:9" x14ac:dyDescent="0.25">
      <c r="A136" s="1640" t="s">
        <v>33</v>
      </c>
      <c r="B136" s="1523" t="s">
        <v>4482</v>
      </c>
      <c r="C136" s="1523" t="s">
        <v>1376</v>
      </c>
      <c r="D136" s="1523" t="s">
        <v>3521</v>
      </c>
      <c r="E136" s="1640" t="s">
        <v>4483</v>
      </c>
      <c r="F136" s="1523" t="s">
        <v>1376</v>
      </c>
      <c r="G136" s="1641" t="s">
        <v>3520</v>
      </c>
      <c r="H136" s="1640" t="s">
        <v>1153</v>
      </c>
      <c r="I136" s="1640" t="s">
        <v>682</v>
      </c>
    </row>
    <row r="137" spans="1:9" x14ac:dyDescent="0.25">
      <c r="A137" s="1640" t="s">
        <v>33</v>
      </c>
      <c r="B137" s="1523" t="s">
        <v>4482</v>
      </c>
      <c r="C137" s="1523" t="s">
        <v>1376</v>
      </c>
      <c r="D137" s="1523" t="s">
        <v>3528</v>
      </c>
      <c r="E137" s="1640" t="s">
        <v>4483</v>
      </c>
      <c r="F137" s="1523" t="s">
        <v>1376</v>
      </c>
      <c r="G137" s="1641" t="s">
        <v>3520</v>
      </c>
      <c r="H137" s="1640" t="s">
        <v>1153</v>
      </c>
      <c r="I137" s="1640" t="s">
        <v>682</v>
      </c>
    </row>
    <row r="138" spans="1:9" x14ac:dyDescent="0.25">
      <c r="A138" s="1640" t="s">
        <v>33</v>
      </c>
      <c r="B138" s="1523" t="s">
        <v>7782</v>
      </c>
      <c r="C138" s="1523" t="s">
        <v>1394</v>
      </c>
      <c r="D138" s="1523" t="s">
        <v>5738</v>
      </c>
      <c r="E138" s="1640" t="s">
        <v>7783</v>
      </c>
      <c r="F138" s="1523" t="s">
        <v>1394</v>
      </c>
      <c r="G138" s="1641" t="s">
        <v>7784</v>
      </c>
      <c r="H138" s="1640" t="s">
        <v>1153</v>
      </c>
      <c r="I138" s="1640" t="s">
        <v>682</v>
      </c>
    </row>
    <row r="139" spans="1:9" x14ac:dyDescent="0.25">
      <c r="A139" s="1640" t="s">
        <v>33</v>
      </c>
      <c r="B139" s="1523" t="s">
        <v>4484</v>
      </c>
      <c r="C139" s="1523" t="s">
        <v>1401</v>
      </c>
      <c r="D139" s="1523" t="s">
        <v>3549</v>
      </c>
      <c r="E139" s="1640" t="s">
        <v>4485</v>
      </c>
      <c r="F139" s="1523" t="s">
        <v>1401</v>
      </c>
      <c r="G139" s="1641" t="s">
        <v>3547</v>
      </c>
      <c r="H139" s="1640" t="s">
        <v>1149</v>
      </c>
      <c r="I139" s="1640" t="s">
        <v>682</v>
      </c>
    </row>
    <row r="140" spans="1:9" x14ac:dyDescent="0.25">
      <c r="A140" s="1640" t="s">
        <v>33</v>
      </c>
      <c r="B140" s="1523" t="s">
        <v>4486</v>
      </c>
      <c r="C140" s="1523" t="s">
        <v>1401</v>
      </c>
      <c r="D140" s="1523" t="s">
        <v>3554</v>
      </c>
      <c r="E140" s="1640" t="s">
        <v>4487</v>
      </c>
      <c r="F140" s="1523" t="s">
        <v>1401</v>
      </c>
      <c r="G140" s="1641" t="s">
        <v>3552</v>
      </c>
      <c r="H140" s="1640" t="s">
        <v>1153</v>
      </c>
      <c r="I140" s="1640" t="s">
        <v>682</v>
      </c>
    </row>
    <row r="141" spans="1:9" x14ac:dyDescent="0.25">
      <c r="A141" s="1640" t="s">
        <v>33</v>
      </c>
      <c r="B141" s="1523" t="s">
        <v>4490</v>
      </c>
      <c r="C141" s="1523" t="s">
        <v>1403</v>
      </c>
      <c r="D141" s="1523" t="s">
        <v>3566</v>
      </c>
      <c r="E141" s="1640" t="s">
        <v>4491</v>
      </c>
      <c r="F141" s="1523" t="s">
        <v>1403</v>
      </c>
      <c r="G141" s="1641" t="s">
        <v>3565</v>
      </c>
      <c r="H141" s="1640" t="s">
        <v>1153</v>
      </c>
      <c r="I141" s="1640" t="s">
        <v>682</v>
      </c>
    </row>
    <row r="142" spans="1:9" x14ac:dyDescent="0.25">
      <c r="A142" s="1640" t="s">
        <v>33</v>
      </c>
      <c r="B142" s="1523" t="s">
        <v>4492</v>
      </c>
      <c r="C142" s="1523" t="s">
        <v>1403</v>
      </c>
      <c r="D142" s="1523" t="s">
        <v>3564</v>
      </c>
      <c r="E142" s="1640" t="s">
        <v>4493</v>
      </c>
      <c r="F142" s="1523" t="s">
        <v>1403</v>
      </c>
      <c r="G142" s="1641" t="s">
        <v>3563</v>
      </c>
      <c r="H142" s="1640" t="s">
        <v>1153</v>
      </c>
      <c r="I142" s="1640" t="s">
        <v>682</v>
      </c>
    </row>
    <row r="143" spans="1:9" x14ac:dyDescent="0.25">
      <c r="A143" s="1640" t="s">
        <v>33</v>
      </c>
      <c r="B143" s="1523" t="s">
        <v>7785</v>
      </c>
      <c r="C143" s="1523" t="s">
        <v>1403</v>
      </c>
      <c r="D143" s="1523" t="s">
        <v>5925</v>
      </c>
      <c r="E143" s="1640" t="s">
        <v>7786</v>
      </c>
      <c r="F143" s="1523" t="s">
        <v>1403</v>
      </c>
      <c r="G143" s="1641" t="s">
        <v>7787</v>
      </c>
      <c r="H143" s="1640" t="s">
        <v>1153</v>
      </c>
      <c r="I143" s="1640" t="s">
        <v>682</v>
      </c>
    </row>
    <row r="144" spans="1:9" x14ac:dyDescent="0.25">
      <c r="A144" s="1640" t="s">
        <v>33</v>
      </c>
      <c r="B144" s="1523" t="s">
        <v>4488</v>
      </c>
      <c r="C144" s="1523" t="s">
        <v>1403</v>
      </c>
      <c r="D144" s="1523" t="s">
        <v>3569</v>
      </c>
      <c r="E144" s="1640" t="s">
        <v>4489</v>
      </c>
      <c r="F144" s="1523" t="s">
        <v>1403</v>
      </c>
      <c r="G144" s="1641" t="s">
        <v>3568</v>
      </c>
      <c r="H144" s="1640" t="s">
        <v>1153</v>
      </c>
      <c r="I144" s="1640" t="s">
        <v>682</v>
      </c>
    </row>
    <row r="145" spans="1:9" x14ac:dyDescent="0.25">
      <c r="A145" s="1640" t="s">
        <v>33</v>
      </c>
      <c r="B145" s="1523" t="s">
        <v>4496</v>
      </c>
      <c r="C145" s="1523" t="s">
        <v>1438</v>
      </c>
      <c r="D145" s="1523" t="s">
        <v>3599</v>
      </c>
      <c r="E145" s="1640" t="s">
        <v>4497</v>
      </c>
      <c r="F145" s="1523" t="s">
        <v>1438</v>
      </c>
      <c r="G145" s="1641" t="s">
        <v>3598</v>
      </c>
      <c r="H145" s="1640" t="s">
        <v>1153</v>
      </c>
      <c r="I145" s="1640" t="s">
        <v>682</v>
      </c>
    </row>
    <row r="146" spans="1:9" x14ac:dyDescent="0.25">
      <c r="A146" s="1640" t="s">
        <v>33</v>
      </c>
      <c r="B146" s="1523" t="s">
        <v>4494</v>
      </c>
      <c r="C146" s="1523" t="s">
        <v>1438</v>
      </c>
      <c r="D146" s="1523" t="s">
        <v>3601</v>
      </c>
      <c r="E146" s="1640" t="s">
        <v>4495</v>
      </c>
      <c r="F146" s="1523" t="s">
        <v>1438</v>
      </c>
      <c r="G146" s="1641" t="s">
        <v>3600</v>
      </c>
      <c r="H146" s="1640" t="s">
        <v>1153</v>
      </c>
      <c r="I146" s="1640" t="s">
        <v>682</v>
      </c>
    </row>
    <row r="147" spans="1:9" x14ac:dyDescent="0.25">
      <c r="A147" s="1640" t="s">
        <v>33</v>
      </c>
      <c r="B147" s="1523" t="s">
        <v>4498</v>
      </c>
      <c r="C147" s="1523" t="s">
        <v>1440</v>
      </c>
      <c r="D147" s="1523" t="s">
        <v>3604</v>
      </c>
      <c r="E147" s="1640" t="s">
        <v>4499</v>
      </c>
      <c r="F147" s="1523" t="s">
        <v>1440</v>
      </c>
      <c r="G147" s="1641" t="s">
        <v>3603</v>
      </c>
      <c r="H147" s="1640" t="s">
        <v>1153</v>
      </c>
      <c r="I147" s="1640" t="s">
        <v>682</v>
      </c>
    </row>
    <row r="148" spans="1:9" x14ac:dyDescent="0.25">
      <c r="A148" s="1640" t="s">
        <v>33</v>
      </c>
      <c r="B148" s="1523" t="s">
        <v>4500</v>
      </c>
      <c r="C148" s="1523" t="s">
        <v>1441</v>
      </c>
      <c r="D148" s="1523" t="s">
        <v>3606</v>
      </c>
      <c r="E148" s="1640" t="s">
        <v>4501</v>
      </c>
      <c r="F148" s="1523" t="s">
        <v>1441</v>
      </c>
      <c r="G148" s="1641" t="s">
        <v>3605</v>
      </c>
      <c r="H148" s="1640" t="s">
        <v>1153</v>
      </c>
      <c r="I148" s="1640" t="s">
        <v>682</v>
      </c>
    </row>
    <row r="149" spans="1:9" x14ac:dyDescent="0.25">
      <c r="A149" s="1640" t="s">
        <v>26</v>
      </c>
      <c r="B149" s="1523" t="s">
        <v>4504</v>
      </c>
      <c r="C149" s="1523" t="s">
        <v>2297</v>
      </c>
      <c r="D149" s="1523" t="s">
        <v>3663</v>
      </c>
      <c r="E149" s="1640" t="s">
        <v>4505</v>
      </c>
      <c r="F149" s="1523" t="s">
        <v>2297</v>
      </c>
      <c r="G149" s="1641" t="s">
        <v>3661</v>
      </c>
      <c r="H149" s="1640" t="s">
        <v>1149</v>
      </c>
      <c r="I149" s="1640" t="s">
        <v>682</v>
      </c>
    </row>
    <row r="150" spans="1:9" x14ac:dyDescent="0.25">
      <c r="A150" s="1640" t="s">
        <v>26</v>
      </c>
      <c r="B150" s="1523" t="s">
        <v>4504</v>
      </c>
      <c r="C150" s="1523" t="s">
        <v>2297</v>
      </c>
      <c r="D150" s="1523" t="s">
        <v>3662</v>
      </c>
      <c r="E150" s="1640" t="s">
        <v>4505</v>
      </c>
      <c r="F150" s="1523" t="s">
        <v>2297</v>
      </c>
      <c r="G150" s="1641" t="s">
        <v>3661</v>
      </c>
      <c r="H150" s="1640" t="s">
        <v>1149</v>
      </c>
      <c r="I150" s="1640" t="s">
        <v>682</v>
      </c>
    </row>
    <row r="151" spans="1:9" x14ac:dyDescent="0.25">
      <c r="A151" s="1640" t="s">
        <v>26</v>
      </c>
      <c r="B151" s="1523" t="s">
        <v>4506</v>
      </c>
      <c r="C151" s="1523" t="s">
        <v>2299</v>
      </c>
      <c r="D151" s="1523" t="s">
        <v>3666</v>
      </c>
      <c r="E151" s="1640" t="s">
        <v>4507</v>
      </c>
      <c r="F151" s="1523" t="s">
        <v>2299</v>
      </c>
      <c r="G151" s="1641" t="s">
        <v>3665</v>
      </c>
      <c r="H151" s="1640" t="s">
        <v>1153</v>
      </c>
      <c r="I151" s="1640" t="s">
        <v>682</v>
      </c>
    </row>
    <row r="152" spans="1:9" x14ac:dyDescent="0.25">
      <c r="A152" s="1640" t="s">
        <v>26</v>
      </c>
      <c r="B152" s="1523" t="s">
        <v>4508</v>
      </c>
      <c r="C152" s="1523" t="s">
        <v>2317</v>
      </c>
      <c r="D152" s="1523" t="s">
        <v>3670</v>
      </c>
      <c r="E152" s="1640" t="s">
        <v>4509</v>
      </c>
      <c r="F152" s="1523" t="s">
        <v>2317</v>
      </c>
      <c r="G152" s="1641" t="s">
        <v>3669</v>
      </c>
      <c r="H152" s="1640" t="s">
        <v>1153</v>
      </c>
      <c r="I152" s="1640" t="s">
        <v>682</v>
      </c>
    </row>
    <row r="153" spans="1:9" x14ac:dyDescent="0.25">
      <c r="A153" s="1640" t="s">
        <v>26</v>
      </c>
      <c r="B153" s="1523" t="s">
        <v>7791</v>
      </c>
      <c r="C153" s="1523" t="s">
        <v>2328</v>
      </c>
      <c r="D153" s="1523" t="s">
        <v>5691</v>
      </c>
      <c r="E153" s="1640" t="s">
        <v>7792</v>
      </c>
      <c r="F153" s="1523" t="s">
        <v>2328</v>
      </c>
      <c r="G153" s="1641" t="s">
        <v>7793</v>
      </c>
      <c r="H153" s="1640" t="s">
        <v>1153</v>
      </c>
      <c r="I153" s="1640" t="s">
        <v>682</v>
      </c>
    </row>
    <row r="154" spans="1:9" x14ac:dyDescent="0.25">
      <c r="A154" s="1640" t="s">
        <v>26</v>
      </c>
      <c r="B154" s="1523" t="s">
        <v>7788</v>
      </c>
      <c r="C154" s="1523" t="s">
        <v>2328</v>
      </c>
      <c r="D154" s="1523" t="s">
        <v>5698</v>
      </c>
      <c r="E154" s="1640" t="s">
        <v>7789</v>
      </c>
      <c r="F154" s="1523" t="s">
        <v>2328</v>
      </c>
      <c r="G154" s="1641" t="s">
        <v>7790</v>
      </c>
      <c r="H154" s="1640" t="s">
        <v>1153</v>
      </c>
      <c r="I154" s="1640" t="s">
        <v>682</v>
      </c>
    </row>
    <row r="155" spans="1:9" x14ac:dyDescent="0.25">
      <c r="A155" s="1640" t="s">
        <v>26</v>
      </c>
      <c r="B155" s="1523" t="s">
        <v>7791</v>
      </c>
      <c r="C155" s="1523" t="s">
        <v>2328</v>
      </c>
      <c r="D155" s="1523" t="s">
        <v>5694</v>
      </c>
      <c r="E155" s="1640" t="s">
        <v>7792</v>
      </c>
      <c r="F155" s="1523" t="s">
        <v>2328</v>
      </c>
      <c r="G155" s="1641" t="s">
        <v>7793</v>
      </c>
      <c r="H155" s="1640" t="s">
        <v>1153</v>
      </c>
      <c r="I155" s="1640" t="s">
        <v>682</v>
      </c>
    </row>
    <row r="156" spans="1:9" x14ac:dyDescent="0.25">
      <c r="A156" s="1640" t="s">
        <v>26</v>
      </c>
      <c r="B156" s="1523" t="s">
        <v>7794</v>
      </c>
      <c r="C156" s="1523" t="s">
        <v>2332</v>
      </c>
      <c r="D156" s="1523" t="s">
        <v>5716</v>
      </c>
      <c r="E156" s="1640" t="s">
        <v>7795</v>
      </c>
      <c r="F156" s="1523" t="s">
        <v>2332</v>
      </c>
      <c r="G156" s="1641" t="s">
        <v>7796</v>
      </c>
      <c r="H156" s="1640" t="s">
        <v>1153</v>
      </c>
      <c r="I156" s="1640" t="s">
        <v>682</v>
      </c>
    </row>
    <row r="157" spans="1:9" x14ac:dyDescent="0.25">
      <c r="A157" s="1640" t="s">
        <v>26</v>
      </c>
      <c r="B157" s="1523" t="s">
        <v>4512</v>
      </c>
      <c r="C157" s="1523" t="s">
        <v>2303</v>
      </c>
      <c r="D157" s="1523" t="s">
        <v>3718</v>
      </c>
      <c r="E157" s="1640" t="s">
        <v>4513</v>
      </c>
      <c r="F157" s="1523" t="s">
        <v>2303</v>
      </c>
      <c r="G157" s="1641" t="s">
        <v>3717</v>
      </c>
      <c r="H157" s="1640" t="s">
        <v>1153</v>
      </c>
      <c r="I157" s="1640" t="s">
        <v>682</v>
      </c>
    </row>
    <row r="158" spans="1:9" x14ac:dyDescent="0.25">
      <c r="A158" s="1640" t="s">
        <v>26</v>
      </c>
      <c r="B158" s="1523" t="s">
        <v>4510</v>
      </c>
      <c r="C158" s="1523" t="s">
        <v>2303</v>
      </c>
      <c r="D158" s="1523" t="s">
        <v>3716</v>
      </c>
      <c r="E158" s="1640" t="s">
        <v>4511</v>
      </c>
      <c r="F158" s="1523" t="s">
        <v>2303</v>
      </c>
      <c r="G158" s="1641" t="s">
        <v>3712</v>
      </c>
      <c r="H158" s="1640" t="s">
        <v>1153</v>
      </c>
      <c r="I158" s="1640" t="s">
        <v>682</v>
      </c>
    </row>
    <row r="159" spans="1:9" x14ac:dyDescent="0.25">
      <c r="A159" s="1640" t="s">
        <v>26</v>
      </c>
      <c r="B159" s="1523" t="s">
        <v>4510</v>
      </c>
      <c r="C159" s="1523" t="s">
        <v>2303</v>
      </c>
      <c r="D159" s="1523" t="s">
        <v>3713</v>
      </c>
      <c r="E159" s="1640" t="s">
        <v>4511</v>
      </c>
      <c r="F159" s="1523" t="s">
        <v>2303</v>
      </c>
      <c r="G159" s="1641" t="s">
        <v>3712</v>
      </c>
      <c r="H159" s="1640" t="s">
        <v>1153</v>
      </c>
      <c r="I159" s="1640" t="s">
        <v>682</v>
      </c>
    </row>
    <row r="160" spans="1:9" x14ac:dyDescent="0.25">
      <c r="A160" s="1640" t="s">
        <v>26</v>
      </c>
      <c r="B160" s="1523" t="s">
        <v>4512</v>
      </c>
      <c r="C160" s="1523" t="s">
        <v>2303</v>
      </c>
      <c r="D160" s="1523" t="s">
        <v>3719</v>
      </c>
      <c r="E160" s="1640" t="s">
        <v>4513</v>
      </c>
      <c r="F160" s="1523" t="s">
        <v>2303</v>
      </c>
      <c r="G160" s="1641" t="s">
        <v>3717</v>
      </c>
      <c r="H160" s="1640" t="s">
        <v>1153</v>
      </c>
      <c r="I160" s="1640" t="s">
        <v>682</v>
      </c>
    </row>
    <row r="161" spans="1:9" x14ac:dyDescent="0.25">
      <c r="A161" s="1640" t="s">
        <v>26</v>
      </c>
      <c r="B161" s="1523" t="s">
        <v>4514</v>
      </c>
      <c r="C161" s="1523" t="s">
        <v>2304</v>
      </c>
      <c r="D161" s="1523" t="s">
        <v>3723</v>
      </c>
      <c r="E161" s="1640" t="s">
        <v>4515</v>
      </c>
      <c r="F161" s="1523" t="s">
        <v>2304</v>
      </c>
      <c r="G161" s="1641" t="s">
        <v>3721</v>
      </c>
      <c r="H161" s="1640" t="s">
        <v>1153</v>
      </c>
      <c r="I161" s="1640" t="s">
        <v>682</v>
      </c>
    </row>
    <row r="162" spans="1:9" x14ac:dyDescent="0.25">
      <c r="A162" s="1640" t="s">
        <v>26</v>
      </c>
      <c r="B162" s="1523" t="s">
        <v>4514</v>
      </c>
      <c r="C162" s="1523" t="s">
        <v>2304</v>
      </c>
      <c r="D162" s="1523" t="s">
        <v>3722</v>
      </c>
      <c r="E162" s="1640" t="s">
        <v>4515</v>
      </c>
      <c r="F162" s="1523" t="s">
        <v>2304</v>
      </c>
      <c r="G162" s="1641" t="s">
        <v>3721</v>
      </c>
      <c r="H162" s="1640" t="s">
        <v>1153</v>
      </c>
      <c r="I162" s="1640" t="s">
        <v>682</v>
      </c>
    </row>
    <row r="163" spans="1:9" x14ac:dyDescent="0.25">
      <c r="A163" s="1640" t="s">
        <v>26</v>
      </c>
      <c r="B163" s="1523" t="s">
        <v>4516</v>
      </c>
      <c r="C163" s="1523" t="s">
        <v>2307</v>
      </c>
      <c r="D163" s="1523" t="s">
        <v>3733</v>
      </c>
      <c r="E163" s="1640" t="s">
        <v>4517</v>
      </c>
      <c r="F163" s="1523" t="s">
        <v>2307</v>
      </c>
      <c r="G163" s="1641" t="s">
        <v>3730</v>
      </c>
      <c r="H163" s="1640" t="s">
        <v>1153</v>
      </c>
      <c r="I163" s="1640" t="s">
        <v>682</v>
      </c>
    </row>
    <row r="164" spans="1:9" x14ac:dyDescent="0.25">
      <c r="A164" s="1640" t="s">
        <v>26</v>
      </c>
      <c r="B164" s="1523" t="s">
        <v>7797</v>
      </c>
      <c r="C164" s="1523" t="s">
        <v>2310</v>
      </c>
      <c r="D164" s="1523" t="s">
        <v>6810</v>
      </c>
      <c r="E164" s="1640" t="s">
        <v>7798</v>
      </c>
      <c r="F164" s="1523" t="s">
        <v>2310</v>
      </c>
      <c r="G164" s="1641" t="s">
        <v>7799</v>
      </c>
      <c r="H164" s="1640" t="s">
        <v>1153</v>
      </c>
      <c r="I164" s="1640" t="s">
        <v>682</v>
      </c>
    </row>
    <row r="165" spans="1:9" x14ac:dyDescent="0.25">
      <c r="A165" s="1640" t="s">
        <v>26</v>
      </c>
      <c r="B165" s="1523" t="s">
        <v>7797</v>
      </c>
      <c r="C165" s="1523" t="s">
        <v>2310</v>
      </c>
      <c r="D165" s="1523" t="s">
        <v>6813</v>
      </c>
      <c r="E165" s="1640" t="s">
        <v>7798</v>
      </c>
      <c r="F165" s="1523" t="s">
        <v>2310</v>
      </c>
      <c r="G165" s="1641" t="s">
        <v>7799</v>
      </c>
      <c r="H165" s="1640" t="s">
        <v>1153</v>
      </c>
      <c r="I165" s="1640" t="s">
        <v>682</v>
      </c>
    </row>
    <row r="166" spans="1:9" x14ac:dyDescent="0.25">
      <c r="A166" s="1640" t="s">
        <v>26</v>
      </c>
      <c r="B166" s="1523" t="s">
        <v>4518</v>
      </c>
      <c r="C166" s="1523" t="s">
        <v>2354</v>
      </c>
      <c r="D166" s="1523" t="s">
        <v>3742</v>
      </c>
      <c r="E166" s="1640" t="s">
        <v>4519</v>
      </c>
      <c r="F166" s="1523" t="s">
        <v>2354</v>
      </c>
      <c r="G166" s="1641" t="s">
        <v>3741</v>
      </c>
      <c r="H166" s="1640" t="s">
        <v>1153</v>
      </c>
      <c r="I166" s="1640" t="s">
        <v>682</v>
      </c>
    </row>
    <row r="167" spans="1:9" x14ac:dyDescent="0.25">
      <c r="A167" s="1640" t="s">
        <v>296</v>
      </c>
      <c r="B167" s="1523" t="s">
        <v>4520</v>
      </c>
      <c r="C167" s="1523" t="s">
        <v>1184</v>
      </c>
      <c r="D167" s="1523" t="s">
        <v>3783</v>
      </c>
      <c r="E167" s="1640" t="s">
        <v>4521</v>
      </c>
      <c r="F167" s="1523" t="s">
        <v>1184</v>
      </c>
      <c r="G167" s="1641" t="s">
        <v>3782</v>
      </c>
      <c r="H167" s="1640" t="s">
        <v>1149</v>
      </c>
      <c r="I167" s="1640" t="s">
        <v>682</v>
      </c>
    </row>
    <row r="168" spans="1:9" x14ac:dyDescent="0.25">
      <c r="A168" s="1640" t="s">
        <v>296</v>
      </c>
      <c r="B168" s="1523" t="s">
        <v>4522</v>
      </c>
      <c r="C168" s="1523" t="s">
        <v>1184</v>
      </c>
      <c r="D168" s="1523" t="s">
        <v>3786</v>
      </c>
      <c r="E168" s="1640" t="s">
        <v>4523</v>
      </c>
      <c r="F168" s="1523" t="s">
        <v>1184</v>
      </c>
      <c r="G168" s="1641" t="s">
        <v>3784</v>
      </c>
      <c r="H168" s="1640" t="s">
        <v>1153</v>
      </c>
      <c r="I168" s="1640" t="s">
        <v>682</v>
      </c>
    </row>
    <row r="169" spans="1:9" x14ac:dyDescent="0.25">
      <c r="A169" s="1640" t="s">
        <v>296</v>
      </c>
      <c r="B169" s="1523" t="s">
        <v>4522</v>
      </c>
      <c r="C169" s="1523" t="s">
        <v>1184</v>
      </c>
      <c r="D169" s="1523" t="s">
        <v>3785</v>
      </c>
      <c r="E169" s="1640" t="s">
        <v>4523</v>
      </c>
      <c r="F169" s="1523" t="s">
        <v>1184</v>
      </c>
      <c r="G169" s="1641" t="s">
        <v>3784</v>
      </c>
      <c r="H169" s="1640" t="s">
        <v>1153</v>
      </c>
      <c r="I169" s="1640" t="s">
        <v>682</v>
      </c>
    </row>
    <row r="170" spans="1:9" x14ac:dyDescent="0.25">
      <c r="A170" s="1640" t="s">
        <v>296</v>
      </c>
      <c r="B170" s="1523" t="s">
        <v>7800</v>
      </c>
      <c r="C170" s="1523" t="s">
        <v>6374</v>
      </c>
      <c r="D170" s="1523" t="s">
        <v>6376</v>
      </c>
      <c r="E170" s="1640" t="s">
        <v>7801</v>
      </c>
      <c r="F170" s="1523" t="s">
        <v>6374</v>
      </c>
      <c r="G170" s="1641" t="s">
        <v>7802</v>
      </c>
      <c r="H170" s="1640" t="s">
        <v>1153</v>
      </c>
      <c r="I170" s="1640" t="s">
        <v>682</v>
      </c>
    </row>
    <row r="171" spans="1:9" x14ac:dyDescent="0.25">
      <c r="A171" s="1640" t="s">
        <v>296</v>
      </c>
      <c r="B171" s="1523" t="s">
        <v>7803</v>
      </c>
      <c r="C171" s="1523" t="s">
        <v>1230</v>
      </c>
      <c r="D171" s="1523" t="s">
        <v>6757</v>
      </c>
      <c r="E171" s="1640" t="s">
        <v>7804</v>
      </c>
      <c r="F171" s="1523" t="s">
        <v>1230</v>
      </c>
      <c r="G171" s="1641" t="s">
        <v>7805</v>
      </c>
      <c r="H171" s="1640" t="s">
        <v>1149</v>
      </c>
      <c r="I171" s="1640" t="s">
        <v>681</v>
      </c>
    </row>
    <row r="172" spans="1:9" x14ac:dyDescent="0.25">
      <c r="A172" s="1640" t="s">
        <v>296</v>
      </c>
      <c r="B172" s="1523" t="s">
        <v>4524</v>
      </c>
      <c r="C172" s="1523" t="s">
        <v>1264</v>
      </c>
      <c r="D172" s="1523" t="s">
        <v>3858</v>
      </c>
      <c r="E172" s="1640" t="s">
        <v>4525</v>
      </c>
      <c r="F172" s="1523" t="s">
        <v>1264</v>
      </c>
      <c r="G172" s="1641" t="s">
        <v>3857</v>
      </c>
      <c r="H172" s="1640" t="s">
        <v>1149</v>
      </c>
      <c r="I172" s="1640" t="s">
        <v>681</v>
      </c>
    </row>
    <row r="173" spans="1:9" x14ac:dyDescent="0.25">
      <c r="A173" s="1640" t="s">
        <v>39</v>
      </c>
      <c r="B173" s="1523" t="s">
        <v>7807</v>
      </c>
      <c r="C173" s="1523" t="s">
        <v>5152</v>
      </c>
      <c r="D173" s="1523" t="s">
        <v>5162</v>
      </c>
      <c r="E173" s="1640" t="s">
        <v>7808</v>
      </c>
      <c r="F173" s="1523" t="s">
        <v>5152</v>
      </c>
      <c r="G173" s="1641" t="s">
        <v>7806</v>
      </c>
      <c r="H173" s="1640" t="s">
        <v>1149</v>
      </c>
      <c r="I173" s="1640" t="s">
        <v>682</v>
      </c>
    </row>
    <row r="174" spans="1:9" x14ac:dyDescent="0.25">
      <c r="A174" s="1640" t="s">
        <v>39</v>
      </c>
      <c r="B174" s="1523" t="s">
        <v>7809</v>
      </c>
      <c r="C174" s="1523" t="s">
        <v>1152</v>
      </c>
      <c r="D174" s="1523" t="s">
        <v>6481</v>
      </c>
      <c r="E174" s="1640" t="s">
        <v>7810</v>
      </c>
      <c r="F174" s="1523" t="s">
        <v>1152</v>
      </c>
      <c r="G174" s="1641" t="s">
        <v>7811</v>
      </c>
      <c r="H174" s="1640" t="s">
        <v>1149</v>
      </c>
      <c r="I174" s="1640" t="s">
        <v>682</v>
      </c>
    </row>
    <row r="175" spans="1:9" x14ac:dyDescent="0.25">
      <c r="A175" s="1640" t="s">
        <v>39</v>
      </c>
      <c r="B175" s="1523" t="s">
        <v>4526</v>
      </c>
      <c r="C175" s="1523" t="s">
        <v>1152</v>
      </c>
      <c r="D175" s="1523" t="s">
        <v>3890</v>
      </c>
      <c r="E175" s="1640" t="s">
        <v>4527</v>
      </c>
      <c r="F175" s="1523" t="s">
        <v>1152</v>
      </c>
      <c r="G175" s="1641" t="s">
        <v>3889</v>
      </c>
      <c r="H175" s="1640" t="s">
        <v>1153</v>
      </c>
      <c r="I175" s="1640" t="s">
        <v>682</v>
      </c>
    </row>
    <row r="176" spans="1:9" x14ac:dyDescent="0.25">
      <c r="A176" s="1640" t="s">
        <v>647</v>
      </c>
      <c r="B176" s="1523" t="s">
        <v>4528</v>
      </c>
      <c r="C176" s="1523" t="s">
        <v>1411</v>
      </c>
      <c r="D176" s="1523" t="s">
        <v>3927</v>
      </c>
      <c r="E176" s="1640" t="s">
        <v>4529</v>
      </c>
      <c r="F176" s="1523" t="s">
        <v>1411</v>
      </c>
      <c r="G176" s="1641" t="s">
        <v>3924</v>
      </c>
      <c r="H176" s="1640" t="s">
        <v>1153</v>
      </c>
      <c r="I176" s="1640" t="s">
        <v>682</v>
      </c>
    </row>
    <row r="177" spans="1:9" x14ac:dyDescent="0.25">
      <c r="A177" s="1640" t="s">
        <v>647</v>
      </c>
      <c r="B177" s="1523" t="s">
        <v>4530</v>
      </c>
      <c r="C177" s="1523" t="s">
        <v>1446</v>
      </c>
      <c r="D177" s="1523" t="s">
        <v>3947</v>
      </c>
      <c r="E177" s="1640" t="s">
        <v>4531</v>
      </c>
      <c r="F177" s="1523" t="s">
        <v>1446</v>
      </c>
      <c r="G177" s="1641" t="s">
        <v>3946</v>
      </c>
      <c r="H177" s="1640" t="s">
        <v>1153</v>
      </c>
      <c r="I177" s="1640" t="s">
        <v>682</v>
      </c>
    </row>
    <row r="178" spans="1:9" x14ac:dyDescent="0.25">
      <c r="A178" s="1640" t="s">
        <v>647</v>
      </c>
      <c r="B178" s="1523" t="s">
        <v>4532</v>
      </c>
      <c r="C178" s="1523" t="s">
        <v>1447</v>
      </c>
      <c r="D178" s="1523" t="s">
        <v>3949</v>
      </c>
      <c r="E178" s="1640" t="s">
        <v>4533</v>
      </c>
      <c r="F178" s="1523" t="s">
        <v>1447</v>
      </c>
      <c r="G178" s="1641" t="s">
        <v>3948</v>
      </c>
      <c r="H178" s="1640" t="s">
        <v>1153</v>
      </c>
      <c r="I178" s="1640" t="s">
        <v>682</v>
      </c>
    </row>
    <row r="179" spans="1:9" x14ac:dyDescent="0.25">
      <c r="A179" s="1640" t="s">
        <v>647</v>
      </c>
      <c r="B179" s="1523" t="s">
        <v>4534</v>
      </c>
      <c r="C179" s="1523" t="s">
        <v>1448</v>
      </c>
      <c r="D179" s="1523" t="s">
        <v>3951</v>
      </c>
      <c r="E179" s="1640" t="s">
        <v>4535</v>
      </c>
      <c r="F179" s="1523" t="s">
        <v>1448</v>
      </c>
      <c r="G179" s="1641" t="s">
        <v>3950</v>
      </c>
      <c r="H179" s="1640" t="s">
        <v>1153</v>
      </c>
      <c r="I179" s="1640" t="s">
        <v>682</v>
      </c>
    </row>
    <row r="180" spans="1:9" x14ac:dyDescent="0.25">
      <c r="A180" s="1640" t="s">
        <v>647</v>
      </c>
      <c r="B180" s="1523" t="s">
        <v>4534</v>
      </c>
      <c r="C180" s="1523" t="s">
        <v>1448</v>
      </c>
      <c r="D180" s="1523" t="s">
        <v>3952</v>
      </c>
      <c r="E180" s="1640" t="s">
        <v>4535</v>
      </c>
      <c r="F180" s="1523" t="s">
        <v>1448</v>
      </c>
      <c r="G180" s="1641" t="s">
        <v>3950</v>
      </c>
      <c r="H180" s="1640" t="s">
        <v>1153</v>
      </c>
      <c r="I180" s="1640" t="s">
        <v>682</v>
      </c>
    </row>
    <row r="181" spans="1:9" x14ac:dyDescent="0.25">
      <c r="A181" s="1640" t="s">
        <v>647</v>
      </c>
      <c r="B181" s="1523" t="s">
        <v>4536</v>
      </c>
      <c r="C181" s="1523" t="s">
        <v>1449</v>
      </c>
      <c r="D181" s="1523" t="s">
        <v>3955</v>
      </c>
      <c r="E181" s="1640" t="s">
        <v>4537</v>
      </c>
      <c r="F181" s="1523" t="s">
        <v>1449</v>
      </c>
      <c r="G181" s="1641" t="s">
        <v>3953</v>
      </c>
      <c r="H181" s="1640" t="s">
        <v>1153</v>
      </c>
      <c r="I181" s="1640" t="s">
        <v>682</v>
      </c>
    </row>
    <row r="182" spans="1:9" x14ac:dyDescent="0.25">
      <c r="A182" s="1640" t="s">
        <v>647</v>
      </c>
      <c r="B182" s="1523" t="s">
        <v>4536</v>
      </c>
      <c r="C182" s="1523" t="s">
        <v>1449</v>
      </c>
      <c r="D182" s="1523" t="s">
        <v>3954</v>
      </c>
      <c r="E182" s="1640" t="s">
        <v>4537</v>
      </c>
      <c r="F182" s="1523" t="s">
        <v>1449</v>
      </c>
      <c r="G182" s="1641" t="s">
        <v>3953</v>
      </c>
      <c r="H182" s="1640" t="s">
        <v>1153</v>
      </c>
      <c r="I182" s="1640" t="s">
        <v>682</v>
      </c>
    </row>
    <row r="183" spans="1:9" x14ac:dyDescent="0.25">
      <c r="A183" s="1640" t="s">
        <v>35</v>
      </c>
      <c r="B183" s="1523" t="s">
        <v>4538</v>
      </c>
      <c r="C183" s="1523" t="s">
        <v>1718</v>
      </c>
      <c r="D183" s="1523" t="s">
        <v>3993</v>
      </c>
      <c r="E183" s="1640" t="s">
        <v>4539</v>
      </c>
      <c r="F183" s="1523" t="s">
        <v>1718</v>
      </c>
      <c r="G183" s="1641" t="s">
        <v>3992</v>
      </c>
      <c r="H183" s="1640" t="s">
        <v>1153</v>
      </c>
      <c r="I183" s="1640" t="s">
        <v>682</v>
      </c>
    </row>
    <row r="184" spans="1:9" x14ac:dyDescent="0.25">
      <c r="A184" s="1640" t="s">
        <v>35</v>
      </c>
      <c r="B184" s="1523" t="s">
        <v>4540</v>
      </c>
      <c r="C184" s="1523" t="s">
        <v>1719</v>
      </c>
      <c r="D184" s="1523" t="s">
        <v>3995</v>
      </c>
      <c r="E184" s="1640" t="s">
        <v>4541</v>
      </c>
      <c r="F184" s="1523" t="s">
        <v>1719</v>
      </c>
      <c r="G184" s="1641" t="s">
        <v>3994</v>
      </c>
      <c r="H184" s="1640" t="s">
        <v>1153</v>
      </c>
      <c r="I184" s="1640" t="s">
        <v>682</v>
      </c>
    </row>
    <row r="185" spans="1:9" x14ac:dyDescent="0.25">
      <c r="A185" s="1640" t="s">
        <v>29</v>
      </c>
      <c r="B185" s="1523" t="s">
        <v>7812</v>
      </c>
      <c r="C185" s="1523" t="s">
        <v>1336</v>
      </c>
      <c r="D185" s="1523" t="s">
        <v>6634</v>
      </c>
      <c r="E185" s="1640" t="s">
        <v>7813</v>
      </c>
      <c r="F185" s="1523" t="s">
        <v>1336</v>
      </c>
      <c r="G185" s="1641" t="s">
        <v>7814</v>
      </c>
      <c r="H185" s="1640" t="s">
        <v>1153</v>
      </c>
      <c r="I185" s="1640" t="s">
        <v>682</v>
      </c>
    </row>
    <row r="186" spans="1:9" x14ac:dyDescent="0.25">
      <c r="A186" s="1640" t="s">
        <v>29</v>
      </c>
      <c r="B186" s="1523" t="s">
        <v>4542</v>
      </c>
      <c r="C186" s="1523" t="s">
        <v>1350</v>
      </c>
      <c r="D186" s="1523" t="s">
        <v>4184</v>
      </c>
      <c r="E186" s="1640" t="s">
        <v>4543</v>
      </c>
      <c r="F186" s="1523" t="s">
        <v>1350</v>
      </c>
      <c r="G186" s="1641" t="s">
        <v>4183</v>
      </c>
      <c r="H186" s="1640" t="s">
        <v>1153</v>
      </c>
      <c r="I186" s="1640" t="s">
        <v>681</v>
      </c>
    </row>
    <row r="187" spans="1:9" x14ac:dyDescent="0.25">
      <c r="A187" s="1640" t="s">
        <v>628</v>
      </c>
      <c r="B187" s="1523" t="s">
        <v>4544</v>
      </c>
      <c r="C187" s="1523" t="s">
        <v>2455</v>
      </c>
      <c r="D187" s="1523" t="s">
        <v>4193</v>
      </c>
      <c r="E187" s="1640" t="s">
        <v>4545</v>
      </c>
      <c r="F187" s="1523" t="s">
        <v>2455</v>
      </c>
      <c r="G187" s="1641" t="s">
        <v>4192</v>
      </c>
      <c r="H187" s="1640" t="s">
        <v>1153</v>
      </c>
      <c r="I187" s="1640" t="s">
        <v>682</v>
      </c>
    </row>
    <row r="188" spans="1:9" x14ac:dyDescent="0.25">
      <c r="A188" s="1640" t="s">
        <v>628</v>
      </c>
      <c r="B188" s="1523" t="s">
        <v>4546</v>
      </c>
      <c r="C188" s="1523" t="s">
        <v>2457</v>
      </c>
      <c r="D188" s="1523" t="s">
        <v>4196</v>
      </c>
      <c r="E188" s="1640" t="s">
        <v>4547</v>
      </c>
      <c r="F188" s="1523" t="s">
        <v>2457</v>
      </c>
      <c r="G188" s="1641" t="s">
        <v>4195</v>
      </c>
      <c r="H188" s="1640" t="s">
        <v>1149</v>
      </c>
      <c r="I188" s="1640" t="s">
        <v>682</v>
      </c>
    </row>
    <row r="189" spans="1:9" x14ac:dyDescent="0.25">
      <c r="A189" s="1640" t="s">
        <v>628</v>
      </c>
      <c r="B189" s="1523" t="s">
        <v>7815</v>
      </c>
      <c r="C189" s="1523" t="s">
        <v>6148</v>
      </c>
      <c r="D189" s="1523" t="s">
        <v>6150</v>
      </c>
      <c r="E189" s="1640" t="s">
        <v>7816</v>
      </c>
      <c r="F189" s="1523" t="s">
        <v>6148</v>
      </c>
      <c r="G189" s="1641" t="s">
        <v>7817</v>
      </c>
      <c r="H189" s="1640" t="s">
        <v>1153</v>
      </c>
      <c r="I189" s="1640" t="s">
        <v>682</v>
      </c>
    </row>
  </sheetData>
  <mergeCells count="1">
    <mergeCell ref="B2:F2"/>
  </mergeCells>
  <phoneticPr fontId="129" type="noConversion"/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E5B1-629B-442E-AA3F-388F767C8156}">
  <sheetPr codeName="Sheet15">
    <pageSetUpPr fitToPage="1"/>
  </sheetPr>
  <dimension ref="A1:S105"/>
  <sheetViews>
    <sheetView workbookViewId="0"/>
  </sheetViews>
  <sheetFormatPr defaultRowHeight="15" x14ac:dyDescent="0.25"/>
  <cols>
    <col min="1" max="1" width="2.28515625" style="34" customWidth="1"/>
    <col min="2" max="3" width="11.5703125" style="1" customWidth="1"/>
    <col min="4" max="4" width="22.7109375" style="1" customWidth="1"/>
    <col min="5" max="5" width="11.7109375" style="1" customWidth="1"/>
    <col min="6" max="6" width="14.140625" style="1" customWidth="1"/>
    <col min="7" max="7" width="15" style="1" customWidth="1"/>
    <col min="8" max="8" width="36.85546875" style="1" customWidth="1"/>
    <col min="9" max="9" width="3.140625" style="1" customWidth="1"/>
    <col min="10" max="10" width="18.7109375" style="1" customWidth="1"/>
    <col min="11" max="11" width="3.28515625" style="1" bestFit="1" customWidth="1"/>
    <col min="12" max="12" width="17.5703125" style="1" customWidth="1"/>
    <col min="13" max="13" width="10.85546875" style="34" customWidth="1"/>
    <col min="14" max="14" width="11.140625" style="34" hidden="1" customWidth="1"/>
    <col min="15" max="15" width="10.140625" style="34" hidden="1" customWidth="1"/>
    <col min="16" max="19" width="9.140625" style="34" hidden="1" customWidth="1"/>
    <col min="20" max="16384" width="9.140625" style="34"/>
  </cols>
  <sheetData>
    <row r="1" spans="2:18" ht="15.75" x14ac:dyDescent="0.25">
      <c r="B1" s="2065" t="s">
        <v>297</v>
      </c>
      <c r="C1" s="2065"/>
      <c r="D1" s="2065"/>
      <c r="E1" s="2065"/>
      <c r="F1" s="2065"/>
      <c r="G1" s="2065"/>
      <c r="H1" s="2065"/>
      <c r="I1" s="2065"/>
      <c r="J1" s="2065"/>
      <c r="K1" s="2065"/>
      <c r="L1" s="2065"/>
    </row>
    <row r="2" spans="2:18" ht="51" customHeight="1" x14ac:dyDescent="0.25">
      <c r="B2" s="2068" t="s">
        <v>162</v>
      </c>
      <c r="C2" s="2065"/>
      <c r="D2" s="2065"/>
      <c r="E2" s="2065"/>
      <c r="F2" s="2065"/>
      <c r="G2" s="2065"/>
      <c r="H2" s="2065"/>
      <c r="I2" s="2065"/>
      <c r="J2" s="2065"/>
      <c r="K2" s="2065"/>
      <c r="L2" s="2065"/>
    </row>
    <row r="3" spans="2:18" s="35" customFormat="1" ht="20.100000000000001" hidden="1" customHeight="1" x14ac:dyDescent="0.3">
      <c r="B3" s="2534" t="s">
        <v>1</v>
      </c>
      <c r="C3" s="2535"/>
      <c r="D3" s="2538" t="s">
        <v>2</v>
      </c>
      <c r="E3" s="2563" t="s">
        <v>3</v>
      </c>
      <c r="F3" s="2563"/>
      <c r="G3" s="693"/>
      <c r="H3" s="694" t="s">
        <v>67</v>
      </c>
      <c r="I3" s="2542" t="s">
        <v>69</v>
      </c>
      <c r="J3" s="2542"/>
      <c r="K3" s="695"/>
      <c r="L3" s="2540" t="s">
        <v>118</v>
      </c>
    </row>
    <row r="4" spans="2:18" s="35" customFormat="1" ht="20.100000000000001" hidden="1" customHeight="1" thickBot="1" x14ac:dyDescent="0.35">
      <c r="B4" s="2536"/>
      <c r="C4" s="2537"/>
      <c r="D4" s="2539"/>
      <c r="E4" s="2554" t="s">
        <v>4</v>
      </c>
      <c r="F4" s="2554"/>
      <c r="G4" s="696"/>
      <c r="H4" s="697" t="s">
        <v>68</v>
      </c>
      <c r="I4" s="2543" t="s">
        <v>136</v>
      </c>
      <c r="J4" s="2543"/>
      <c r="K4" s="698"/>
      <c r="L4" s="2541"/>
    </row>
    <row r="5" spans="2:18" ht="27.75" customHeight="1" x14ac:dyDescent="0.3">
      <c r="B5" s="2977" t="s">
        <v>1012</v>
      </c>
      <c r="C5" s="2978"/>
      <c r="D5" s="2978"/>
      <c r="E5" s="2978"/>
      <c r="F5" s="2978"/>
      <c r="G5" s="2978"/>
      <c r="H5" s="2978"/>
      <c r="I5" s="2978"/>
      <c r="J5" s="2978"/>
      <c r="K5" s="2978"/>
      <c r="L5" s="2978"/>
    </row>
    <row r="7" spans="2:18" ht="24.95" customHeight="1" x14ac:dyDescent="0.25">
      <c r="B7" s="2979" t="s">
        <v>53</v>
      </c>
      <c r="C7" s="2979"/>
      <c r="D7" s="2979"/>
      <c r="E7" s="2979"/>
      <c r="F7" s="2979"/>
      <c r="G7" s="2979"/>
      <c r="H7" s="2979"/>
      <c r="I7" s="2979"/>
      <c r="J7" s="2979"/>
      <c r="K7" s="2979"/>
      <c r="L7" s="2979"/>
    </row>
    <row r="8" spans="2:18" ht="23.25" customHeight="1" x14ac:dyDescent="0.25">
      <c r="B8" s="2073" t="s">
        <v>5</v>
      </c>
      <c r="C8" s="2073"/>
      <c r="D8" s="2073"/>
      <c r="E8" s="2073"/>
      <c r="F8" s="2073"/>
      <c r="G8" s="2073"/>
      <c r="H8" s="2073"/>
      <c r="I8" s="2073"/>
      <c r="J8" s="2073"/>
      <c r="K8" s="2073"/>
      <c r="L8" s="2073"/>
    </row>
    <row r="9" spans="2:18" ht="24.95" customHeight="1" x14ac:dyDescent="0.25">
      <c r="B9" s="2153"/>
      <c r="C9" s="2153"/>
      <c r="D9" s="2153"/>
      <c r="E9" s="2153"/>
      <c r="F9" s="2153"/>
      <c r="G9" s="2153"/>
      <c r="H9" s="2153"/>
      <c r="I9" s="2153"/>
      <c r="J9" s="2153"/>
      <c r="K9" s="2153"/>
      <c r="L9" s="2153"/>
    </row>
    <row r="10" spans="2:18" x14ac:dyDescent="0.25">
      <c r="B10" s="2066" t="s">
        <v>6</v>
      </c>
      <c r="C10" s="2066"/>
      <c r="D10" s="2066"/>
      <c r="E10" s="2066"/>
      <c r="F10" s="2066"/>
      <c r="G10" s="2066"/>
      <c r="H10" s="2066"/>
      <c r="I10" s="2066"/>
      <c r="J10" s="2066"/>
      <c r="K10" s="2066"/>
      <c r="L10" s="2066"/>
    </row>
    <row r="11" spans="2:18" ht="15.75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2:18" ht="27.75" x14ac:dyDescent="0.4">
      <c r="B12" s="2074" t="s">
        <v>299</v>
      </c>
      <c r="C12" s="2074"/>
      <c r="D12" s="2074"/>
      <c r="E12" s="2074"/>
      <c r="F12" s="2074"/>
      <c r="G12" s="2074"/>
      <c r="H12" s="2074"/>
      <c r="I12" s="2074"/>
      <c r="J12" s="2074"/>
      <c r="K12" s="2074"/>
      <c r="L12" s="2074"/>
    </row>
    <row r="13" spans="2:18" x14ac:dyDescent="0.25">
      <c r="B13" s="2075"/>
      <c r="C13" s="2075"/>
      <c r="D13" s="2075"/>
      <c r="E13" s="2075"/>
      <c r="F13" s="2075"/>
      <c r="G13" s="2075"/>
      <c r="H13" s="2075"/>
      <c r="I13" s="2075"/>
      <c r="J13" s="2075"/>
      <c r="K13" s="33"/>
      <c r="L13" s="33"/>
      <c r="M13"/>
      <c r="N13"/>
      <c r="O13"/>
      <c r="P13"/>
      <c r="Q13"/>
      <c r="R13"/>
    </row>
    <row r="14" spans="2:18" ht="24.95" customHeight="1" x14ac:dyDescent="0.25">
      <c r="B14" s="2561" t="s">
        <v>791</v>
      </c>
      <c r="C14" s="2562"/>
      <c r="D14" s="2562"/>
      <c r="E14" s="2562"/>
      <c r="F14" s="1989"/>
      <c r="G14" s="1989"/>
      <c r="H14" s="1989"/>
      <c r="I14" s="1989"/>
      <c r="J14" s="1989"/>
      <c r="K14" s="1989"/>
      <c r="L14" s="1990"/>
      <c r="M14"/>
      <c r="N14"/>
      <c r="O14"/>
      <c r="P14"/>
      <c r="Q14"/>
      <c r="R14"/>
    </row>
    <row r="15" spans="2:18" x14ac:dyDescent="0.25">
      <c r="B15" s="1991" t="s">
        <v>614</v>
      </c>
      <c r="C15" s="1991"/>
      <c r="D15" s="1991"/>
      <c r="E15" s="1991"/>
      <c r="F15" s="1992" t="s">
        <v>615</v>
      </c>
      <c r="G15" s="1992"/>
      <c r="H15" s="1992"/>
      <c r="I15" s="1992"/>
      <c r="J15" s="1992"/>
      <c r="K15" s="1992"/>
      <c r="L15" s="1992"/>
      <c r="M15"/>
      <c r="N15"/>
      <c r="O15"/>
      <c r="P15"/>
      <c r="Q15"/>
      <c r="R15"/>
    </row>
    <row r="16" spans="2:18" x14ac:dyDescent="0.25">
      <c r="B16" s="98"/>
      <c r="C16" s="98"/>
      <c r="D16" s="98"/>
      <c r="E16" s="97"/>
      <c r="F16" s="97"/>
      <c r="G16" s="97"/>
      <c r="H16" s="97"/>
      <c r="I16" s="97"/>
      <c r="J16" s="97"/>
      <c r="K16" s="97"/>
      <c r="L16" s="97"/>
      <c r="M16"/>
      <c r="N16"/>
      <c r="O16"/>
      <c r="P16"/>
      <c r="Q16"/>
      <c r="R16"/>
    </row>
    <row r="17" spans="1:18" ht="31.5" x14ac:dyDescent="0.5">
      <c r="A17" s="156"/>
      <c r="B17" s="2556" t="s">
        <v>293</v>
      </c>
      <c r="C17" s="2556"/>
      <c r="D17" s="2556"/>
      <c r="E17" s="2083"/>
      <c r="F17" s="2084"/>
      <c r="G17" s="2084"/>
      <c r="H17" s="2084"/>
      <c r="I17" s="2084"/>
      <c r="J17" s="2084"/>
      <c r="K17" s="2084"/>
      <c r="L17" s="2085"/>
      <c r="M17"/>
      <c r="N17"/>
      <c r="O17"/>
      <c r="P17"/>
      <c r="Q17"/>
      <c r="R17"/>
    </row>
    <row r="18" spans="1:18" x14ac:dyDescent="0.25">
      <c r="B18" s="96"/>
      <c r="C18" s="96"/>
      <c r="D18" s="96"/>
      <c r="E18" s="33"/>
      <c r="F18" s="33"/>
      <c r="G18" s="33"/>
      <c r="H18" s="33"/>
      <c r="I18" s="33"/>
      <c r="J18" s="33"/>
      <c r="K18" s="33"/>
      <c r="L18" s="33"/>
      <c r="M18"/>
      <c r="N18"/>
      <c r="O18"/>
      <c r="P18"/>
      <c r="Q18"/>
      <c r="R18"/>
    </row>
    <row r="19" spans="1:18" ht="20.100000000000001" customHeight="1" x14ac:dyDescent="0.25">
      <c r="B19" s="2557" t="s">
        <v>8</v>
      </c>
      <c r="C19" s="2557"/>
      <c r="D19" s="2557"/>
      <c r="E19" s="2558" t="s">
        <v>60</v>
      </c>
      <c r="F19" s="2559"/>
      <c r="G19" s="2559"/>
      <c r="H19" s="2559"/>
      <c r="I19" s="2559"/>
      <c r="J19" s="2559"/>
      <c r="K19" s="2559"/>
      <c r="L19" s="2560"/>
      <c r="M19"/>
      <c r="N19"/>
      <c r="O19"/>
      <c r="P19"/>
      <c r="Q19"/>
      <c r="R19"/>
    </row>
    <row r="20" spans="1:18" ht="20.100000000000001" customHeight="1" x14ac:dyDescent="0.25">
      <c r="B20" s="2544" t="s">
        <v>161</v>
      </c>
      <c r="C20" s="2544"/>
      <c r="D20" s="2544"/>
      <c r="E20" s="2079" t="str">
        <f>IF(E19=0,list!B82,VLOOKUP(E19,RakovodnaDl[],2,0))</f>
        <v>няма определена</v>
      </c>
      <c r="F20" s="2079"/>
      <c r="G20" s="2079"/>
      <c r="H20" s="2079"/>
      <c r="I20" s="2079"/>
      <c r="J20" s="2079"/>
      <c r="K20" s="2079"/>
      <c r="L20" s="2079"/>
      <c r="M20"/>
      <c r="N20"/>
      <c r="O20"/>
      <c r="P20"/>
      <c r="Q20"/>
      <c r="R20"/>
    </row>
    <row r="21" spans="1:18" ht="7.5" customHeight="1" x14ac:dyDescent="0.25">
      <c r="B21" s="98"/>
      <c r="C21" s="98"/>
      <c r="D21" s="98"/>
      <c r="E21" s="97"/>
      <c r="F21" s="97"/>
      <c r="G21" s="97"/>
      <c r="H21" s="97"/>
      <c r="I21" s="97"/>
      <c r="J21" s="97"/>
      <c r="K21" s="97"/>
      <c r="L21" s="97"/>
      <c r="M21"/>
      <c r="N21"/>
      <c r="O21"/>
      <c r="P21"/>
      <c r="Q21"/>
      <c r="R21"/>
    </row>
    <row r="22" spans="1:18" ht="20.100000000000001" customHeight="1" x14ac:dyDescent="0.25">
      <c r="B22" s="342" t="s">
        <v>520</v>
      </c>
      <c r="C22" s="275" t="s">
        <v>521</v>
      </c>
      <c r="D22" s="276"/>
      <c r="E22" s="275" t="s">
        <v>522</v>
      </c>
      <c r="F22" s="2095"/>
      <c r="G22" s="2096"/>
      <c r="H22" s="2097"/>
      <c r="I22" s="275" t="s">
        <v>523</v>
      </c>
      <c r="J22" s="458"/>
      <c r="K22" s="275" t="s">
        <v>524</v>
      </c>
      <c r="L22" s="458"/>
      <c r="M22"/>
      <c r="N22"/>
      <c r="O22"/>
      <c r="P22"/>
      <c r="Q22"/>
      <c r="R22"/>
    </row>
    <row r="23" spans="1:18" ht="6.75" customHeight="1" thickBot="1" x14ac:dyDescent="0.3">
      <c r="C23" s="3"/>
      <c r="D23" s="3"/>
      <c r="E23" s="3"/>
      <c r="M23"/>
      <c r="N23"/>
      <c r="O23"/>
      <c r="P23"/>
      <c r="Q23"/>
      <c r="R23"/>
    </row>
    <row r="24" spans="1:18" ht="41.25" customHeight="1" thickBot="1" x14ac:dyDescent="0.3">
      <c r="B24" s="2972" t="s">
        <v>431</v>
      </c>
      <c r="C24" s="2973"/>
      <c r="D24" s="2974" t="str">
        <f>'1. Планд'!D23</f>
        <v>2024/2025</v>
      </c>
      <c r="E24" s="2974"/>
      <c r="F24" s="2975"/>
      <c r="G24" s="2976"/>
      <c r="H24" s="396" t="s">
        <v>438</v>
      </c>
      <c r="I24" s="2915" t="s">
        <v>504</v>
      </c>
      <c r="J24" s="2916"/>
      <c r="K24" s="2916"/>
      <c r="L24" s="2917"/>
      <c r="M24"/>
      <c r="N24"/>
      <c r="O24"/>
      <c r="P24"/>
      <c r="Q24"/>
      <c r="R24"/>
    </row>
    <row r="25" spans="1:18" s="149" customFormat="1" ht="27" customHeight="1" thickBot="1" x14ac:dyDescent="0.3">
      <c r="B25" s="2969" t="s">
        <v>9</v>
      </c>
      <c r="C25" s="2970"/>
      <c r="D25" s="2970"/>
      <c r="E25" s="2970"/>
      <c r="F25" s="2970"/>
      <c r="G25" s="2970"/>
      <c r="H25" s="2970"/>
      <c r="I25" s="2970"/>
      <c r="J25" s="2970"/>
      <c r="K25" s="2970"/>
      <c r="L25" s="2971"/>
      <c r="M25"/>
      <c r="N25"/>
      <c r="O25"/>
      <c r="P25"/>
      <c r="Q25"/>
      <c r="R25"/>
    </row>
    <row r="26" spans="1:18" ht="24.95" customHeight="1" x14ac:dyDescent="0.25">
      <c r="A26" s="820"/>
      <c r="B26" s="2503" t="s">
        <v>756</v>
      </c>
      <c r="C26" s="2496"/>
      <c r="D26" s="2496"/>
      <c r="E26" s="2496"/>
      <c r="F26" s="2496"/>
      <c r="G26" s="2496"/>
      <c r="H26" s="402">
        <f>CHOOSE(ПЕРИОД!$D$15,0,'1. Планд'!H26,'1. Планд'!I26,SUM('1. Планд'!H26:I26)*N(A$26))</f>
        <v>0</v>
      </c>
      <c r="I26" s="2918">
        <f>CHOOSE(ПЕРИОД!$D$15,0,'1. Планд'!J26,'1. Планд'!K26,SUM('1. Планд'!J26:K26)*N(A$26))</f>
        <v>0</v>
      </c>
      <c r="J26" s="2919"/>
      <c r="K26" s="2919"/>
      <c r="L26" s="2920"/>
      <c r="M26"/>
      <c r="N26"/>
      <c r="O26"/>
      <c r="P26"/>
      <c r="Q26"/>
      <c r="R26"/>
    </row>
    <row r="27" spans="1:18" ht="24.95" customHeight="1" thickBot="1" x14ac:dyDescent="0.3">
      <c r="B27" s="2462" t="s">
        <v>757</v>
      </c>
      <c r="C27" s="2463"/>
      <c r="D27" s="2463"/>
      <c r="E27" s="2463"/>
      <c r="F27" s="2463"/>
      <c r="G27" s="2463"/>
      <c r="H27" s="400">
        <f>CHOOSE(ПЕРИОД!$D$15,0,'1. Планд'!H27,'1. Планд'!I27,SUM('1. Планд'!H27:I27)*N(A$26))</f>
        <v>0</v>
      </c>
      <c r="I27" s="2531">
        <f>CHOOSE(ПЕРИОД!$D$15,0,'1. Планд'!J27,'1. Планд'!K27,SUM('1. Планд'!J27:K27)*N(A$26))</f>
        <v>0</v>
      </c>
      <c r="J27" s="2921"/>
      <c r="K27" s="2921"/>
      <c r="L27" s="2532"/>
      <c r="M27"/>
      <c r="N27"/>
      <c r="O27"/>
      <c r="P27"/>
      <c r="Q27"/>
      <c r="R27"/>
    </row>
    <row r="28" spans="1:18" ht="24.95" customHeight="1" thickTop="1" x14ac:dyDescent="0.25">
      <c r="B28" s="2495" t="s">
        <v>758</v>
      </c>
      <c r="C28" s="2496"/>
      <c r="D28" s="2496"/>
      <c r="E28" s="2496"/>
      <c r="F28" s="2496"/>
      <c r="G28" s="2496"/>
      <c r="H28" s="398">
        <f>CHOOSE(ПЕРИОД!$D$15,0,'1. Планд'!H28,'1. Планд'!I28,SUM('1. Планд'!H28:I28)*N(A$26))</f>
        <v>0</v>
      </c>
      <c r="I28" s="2533">
        <f>CHOOSE(ПЕРИОД!$D$15,0,'1. Планд'!J28,'1. Планд'!K28,SUM('1. Планд'!J28:K28)*N(A$26))</f>
        <v>0</v>
      </c>
      <c r="J28" s="2387"/>
      <c r="K28" s="2387"/>
      <c r="L28" s="2388"/>
      <c r="M28"/>
      <c r="N28"/>
      <c r="O28"/>
      <c r="P28"/>
      <c r="Q28"/>
      <c r="R28"/>
    </row>
    <row r="29" spans="1:18" ht="24.95" customHeight="1" thickBot="1" x14ac:dyDescent="0.3">
      <c r="B29" s="2513" t="s">
        <v>759</v>
      </c>
      <c r="C29" s="2514"/>
      <c r="D29" s="2514"/>
      <c r="E29" s="2514"/>
      <c r="F29" s="2514"/>
      <c r="G29" s="2514"/>
      <c r="H29" s="403">
        <f>CHOOSE(ПЕРИОД!$D$15,0,'1. Планд'!H29,'1. Планд'!I29,SUM('1. Планд'!H29:I29)*N(A$26))</f>
        <v>0</v>
      </c>
      <c r="I29" s="2922">
        <f>CHOOSE(ПЕРИОД!$D$15,0,'1. Планд'!J29,'1. Планд'!K29,SUM('1. Планд'!J29:K29)*N(A$26))</f>
        <v>0</v>
      </c>
      <c r="J29" s="2369"/>
      <c r="K29" s="2369"/>
      <c r="L29" s="2370"/>
      <c r="M29"/>
      <c r="N29"/>
      <c r="O29"/>
      <c r="P29"/>
      <c r="Q29"/>
      <c r="R29"/>
    </row>
    <row r="30" spans="1:18" s="150" customFormat="1" ht="27" customHeight="1" thickBot="1" x14ac:dyDescent="0.35">
      <c r="B30" s="2956" t="s">
        <v>10</v>
      </c>
      <c r="C30" s="2957"/>
      <c r="D30" s="2957"/>
      <c r="E30" s="2957"/>
      <c r="F30" s="2957"/>
      <c r="G30" s="2957"/>
      <c r="H30" s="2957"/>
      <c r="I30" s="2957"/>
      <c r="J30" s="2957"/>
      <c r="K30" s="2957"/>
      <c r="L30" s="2958"/>
      <c r="M30"/>
      <c r="N30"/>
      <c r="O30"/>
      <c r="P30"/>
      <c r="Q30"/>
      <c r="R30"/>
    </row>
    <row r="31" spans="1:18" ht="27" customHeight="1" thickBot="1" x14ac:dyDescent="0.35">
      <c r="A31" s="150"/>
      <c r="B31" s="2959" t="s">
        <v>760</v>
      </c>
      <c r="C31" s="2960"/>
      <c r="D31" s="2960"/>
      <c r="E31" s="2960"/>
      <c r="F31" s="2960"/>
      <c r="G31" s="2960"/>
      <c r="H31" s="397">
        <f>SUM(H32:H42)</f>
        <v>0</v>
      </c>
      <c r="I31" s="2961">
        <f>SUM(I32:J42)</f>
        <v>0</v>
      </c>
      <c r="J31" s="2962"/>
      <c r="K31" s="2963">
        <v>0</v>
      </c>
      <c r="L31" s="2964"/>
      <c r="M31"/>
      <c r="N31"/>
      <c r="O31"/>
      <c r="P31"/>
      <c r="Q31"/>
      <c r="R31"/>
    </row>
    <row r="32" spans="1:18" ht="24" customHeight="1" thickTop="1" x14ac:dyDescent="0.25">
      <c r="B32" s="2965" t="s">
        <v>761</v>
      </c>
      <c r="C32" s="2966"/>
      <c r="D32" s="2966"/>
      <c r="E32" s="2966"/>
      <c r="F32" s="2966"/>
      <c r="G32" s="2966"/>
      <c r="H32" s="707">
        <f>CHOOSE(ПЕРИОД!$D$15,0,'1. Планд'!H32,'1. Планд'!I32,SUM('1. Планд'!H32:I32))</f>
        <v>0</v>
      </c>
      <c r="I32" s="2967">
        <f>CHOOSE(ПЕРИОД!$D$15,0,'1. Планд'!J32,'1. Планд'!K32,SUM('1. Планд'!J32:K32))</f>
        <v>0</v>
      </c>
      <c r="J32" s="2968"/>
      <c r="K32" s="2365">
        <v>0</v>
      </c>
      <c r="L32" s="2366"/>
      <c r="M32"/>
      <c r="N32"/>
      <c r="O32"/>
      <c r="P32"/>
      <c r="Q32"/>
      <c r="R32"/>
    </row>
    <row r="33" spans="2:18" ht="24" customHeight="1" thickBot="1" x14ac:dyDescent="0.3">
      <c r="B33" s="2941" t="s">
        <v>762</v>
      </c>
      <c r="C33" s="2942"/>
      <c r="D33" s="2942"/>
      <c r="E33" s="2942"/>
      <c r="F33" s="2942"/>
      <c r="G33" s="2942"/>
      <c r="H33" s="708">
        <f>CHOOSE(ПЕРИОД!$D$15,0,'1. Планд'!H33,'1. Планд'!I33,SUM('1. Планд'!H33:I33))</f>
        <v>0</v>
      </c>
      <c r="I33" s="2943">
        <f>CHOOSE(ПЕРИОД!$D$15,0,'1. Планд'!J33,'1. Планд'!K33,SUM('1. Планд'!J33:K33))</f>
        <v>0</v>
      </c>
      <c r="J33" s="2944"/>
      <c r="K33" s="2343">
        <v>0</v>
      </c>
      <c r="L33" s="2344"/>
      <c r="M33"/>
      <c r="N33"/>
      <c r="O33"/>
      <c r="P33"/>
      <c r="Q33"/>
      <c r="R33"/>
    </row>
    <row r="34" spans="2:18" ht="24" customHeight="1" thickTop="1" x14ac:dyDescent="0.25">
      <c r="B34" s="2954" t="s">
        <v>885</v>
      </c>
      <c r="C34" s="2955"/>
      <c r="D34" s="2955"/>
      <c r="E34" s="2955"/>
      <c r="F34" s="2955"/>
      <c r="G34" s="2955"/>
      <c r="H34" s="710">
        <f>CHOOSE(ПЕРИОД!$D$15,0,'1. Планд'!H35,'1. Планд'!I35,SUM('1. Планд'!H35:I35))</f>
        <v>0</v>
      </c>
      <c r="I34" s="2939">
        <f>CHOOSE(ПЕРИОД!$D$15,0,'1. Планд'!J35,'1. Планд'!K35,SUM('1. Планд'!J35:K35))</f>
        <v>0</v>
      </c>
      <c r="J34" s="2940"/>
      <c r="K34" s="2349">
        <v>0</v>
      </c>
      <c r="L34" s="2350"/>
      <c r="M34"/>
      <c r="N34"/>
      <c r="O34"/>
      <c r="P34"/>
      <c r="Q34"/>
      <c r="R34"/>
    </row>
    <row r="35" spans="2:18" ht="24" customHeight="1" x14ac:dyDescent="0.25">
      <c r="B35" s="2952" t="s">
        <v>887</v>
      </c>
      <c r="C35" s="2953"/>
      <c r="D35" s="2953"/>
      <c r="E35" s="2953"/>
      <c r="F35" s="2953"/>
      <c r="G35" s="2953"/>
      <c r="H35" s="710">
        <f>CHOOSE(ПЕРИОД!$D$15,0,'1. Планд'!H36,'1. Планд'!I36,SUM('1. Планд'!H36:I36))</f>
        <v>0</v>
      </c>
      <c r="I35" s="2939">
        <f>CHOOSE(ПЕРИОД!$D$15,0,'1. Планд'!J36,'1. Планд'!K36,SUM('1. Планд'!J36:K36))</f>
        <v>0</v>
      </c>
      <c r="J35" s="2940"/>
      <c r="K35" s="2349">
        <v>0</v>
      </c>
      <c r="L35" s="2350"/>
      <c r="M35"/>
      <c r="N35"/>
      <c r="O35"/>
      <c r="P35"/>
      <c r="Q35"/>
      <c r="R35"/>
    </row>
    <row r="36" spans="2:18" ht="24" customHeight="1" x14ac:dyDescent="0.25">
      <c r="B36" s="2952" t="s">
        <v>889</v>
      </c>
      <c r="C36" s="2953"/>
      <c r="D36" s="2953"/>
      <c r="E36" s="2953"/>
      <c r="F36" s="2953"/>
      <c r="G36" s="2953"/>
      <c r="H36" s="710">
        <f>CHOOSE(ПЕРИОД!$D$15,0,'1. Планд'!H37,'1. Планд'!I37,SUM('1. Планд'!H37:I37))</f>
        <v>0</v>
      </c>
      <c r="I36" s="2939">
        <f>CHOOSE(ПЕРИОД!$D$15,0,'1. Планд'!J37,'1. Планд'!K37,SUM('1. Планд'!J37:K37))</f>
        <v>0</v>
      </c>
      <c r="J36" s="2940"/>
      <c r="K36" s="2349">
        <v>0</v>
      </c>
      <c r="L36" s="2350"/>
      <c r="M36"/>
      <c r="N36"/>
      <c r="O36"/>
      <c r="P36"/>
      <c r="Q36"/>
      <c r="R36"/>
    </row>
    <row r="37" spans="2:18" ht="24" customHeight="1" thickBot="1" x14ac:dyDescent="0.3">
      <c r="B37" s="2945" t="s">
        <v>891</v>
      </c>
      <c r="C37" s="2946"/>
      <c r="D37" s="2946"/>
      <c r="E37" s="2946"/>
      <c r="F37" s="2946"/>
      <c r="G37" s="2946"/>
      <c r="H37" s="708">
        <f>CHOOSE(ПЕРИОД!$D$15,0,'1. Планд'!H38,'1. Планд'!I38,SUM('1. Планд'!H38:I38))</f>
        <v>0</v>
      </c>
      <c r="I37" s="2943">
        <f>CHOOSE(ПЕРИОД!$D$15,0,'1. Планд'!J38,'1. Планд'!K38,SUM('1. Планд'!J38:K38))</f>
        <v>0</v>
      </c>
      <c r="J37" s="2947"/>
      <c r="K37" s="2343">
        <v>0</v>
      </c>
      <c r="L37" s="2344"/>
      <c r="M37"/>
      <c r="N37"/>
      <c r="O37"/>
      <c r="P37"/>
      <c r="Q37"/>
      <c r="R37"/>
    </row>
    <row r="38" spans="2:18" ht="24" customHeight="1" thickTop="1" x14ac:dyDescent="0.25">
      <c r="B38" s="2948" t="s">
        <v>763</v>
      </c>
      <c r="C38" s="2949"/>
      <c r="D38" s="2949"/>
      <c r="E38" s="2949"/>
      <c r="F38" s="2949"/>
      <c r="G38" s="2949"/>
      <c r="H38" s="709">
        <f>CHOOSE(ПЕРИОД!$D$15,0,'1. Планд'!H39,'1. Планд'!I39,SUM('1. Планд'!H39:I39))</f>
        <v>0</v>
      </c>
      <c r="I38" s="2950">
        <f>CHOOSE(ПЕРИОД!$D$15,0,'1. Планд'!J39,'1. Планд'!K39,SUM('1. Планд'!J39:K39))</f>
        <v>0</v>
      </c>
      <c r="J38" s="2951"/>
      <c r="K38" s="2349">
        <v>0</v>
      </c>
      <c r="L38" s="2350"/>
      <c r="M38"/>
      <c r="N38"/>
      <c r="O38"/>
      <c r="P38"/>
      <c r="Q38"/>
      <c r="R38"/>
    </row>
    <row r="39" spans="2:18" ht="35.1" customHeight="1" x14ac:dyDescent="0.25">
      <c r="B39" s="2937" t="s">
        <v>764</v>
      </c>
      <c r="C39" s="2938"/>
      <c r="D39" s="2938"/>
      <c r="E39" s="2938"/>
      <c r="F39" s="2938"/>
      <c r="G39" s="2938"/>
      <c r="H39" s="710">
        <f>CHOOSE(ПЕРИОД!$D$15,0,'1. Планд'!H40,'1. Планд'!I40,SUM('1. Планд'!H40:I40))</f>
        <v>0</v>
      </c>
      <c r="I39" s="2939">
        <f>CHOOSE(ПЕРИОД!$D$15,0,'1. Планд'!J40,'1. Планд'!K40,SUM('1. Планд'!J40:K40))</f>
        <v>0</v>
      </c>
      <c r="J39" s="2940"/>
      <c r="K39" s="2355">
        <v>0</v>
      </c>
      <c r="L39" s="2356"/>
    </row>
    <row r="40" spans="2:18" ht="24" customHeight="1" x14ac:dyDescent="0.25">
      <c r="B40" s="2937" t="s">
        <v>765</v>
      </c>
      <c r="C40" s="2938"/>
      <c r="D40" s="2938"/>
      <c r="E40" s="2938"/>
      <c r="F40" s="2938"/>
      <c r="G40" s="2938"/>
      <c r="H40" s="710">
        <f>CHOOSE(ПЕРИОД!$D$15,0,'1. Планд'!H41,'1. Планд'!I41,SUM('1. Планд'!H41:I41))</f>
        <v>0</v>
      </c>
      <c r="I40" s="2939">
        <f>CHOOSE(ПЕРИОД!$D$15,0,'1. Планд'!J41,'1. Планд'!K41,SUM('1. Планд'!J41:K41))</f>
        <v>0</v>
      </c>
      <c r="J40" s="2940"/>
      <c r="K40" s="2355">
        <v>0</v>
      </c>
      <c r="L40" s="2356"/>
    </row>
    <row r="41" spans="2:18" ht="24" customHeight="1" x14ac:dyDescent="0.25">
      <c r="B41" s="2937" t="s">
        <v>766</v>
      </c>
      <c r="C41" s="2938"/>
      <c r="D41" s="2938"/>
      <c r="E41" s="2938"/>
      <c r="F41" s="2938"/>
      <c r="G41" s="2938"/>
      <c r="H41" s="710">
        <f>CHOOSE(ПЕРИОД!$D$15,0,'1. Планд'!H42,'1. Планд'!I42,SUM('1. Планд'!H42:I42))</f>
        <v>0</v>
      </c>
      <c r="I41" s="2939">
        <f>CHOOSE(ПЕРИОД!$D$15,0,'1. Планд'!J42,'1. Планд'!K42,SUM('1. Планд'!J42:K42))</f>
        <v>0</v>
      </c>
      <c r="J41" s="2940"/>
      <c r="K41" s="2355">
        <v>0</v>
      </c>
      <c r="L41" s="2356"/>
    </row>
    <row r="42" spans="2:18" ht="24" customHeight="1" thickBot="1" x14ac:dyDescent="0.3">
      <c r="B42" s="2941" t="s">
        <v>767</v>
      </c>
      <c r="C42" s="2942"/>
      <c r="D42" s="2942"/>
      <c r="E42" s="2942"/>
      <c r="F42" s="2942"/>
      <c r="G42" s="2942"/>
      <c r="H42" s="708">
        <f>CHOOSE(ПЕРИОД!$D$15,0,'1. Планд'!H43,'1. Планд'!I43,SUM('1. Планд'!H43:I43))</f>
        <v>0</v>
      </c>
      <c r="I42" s="2943">
        <f>CHOOSE(ПЕРИОД!$D$15,0,'1. Планд'!J43,'1. Планд'!K43,SUM('1. Планд'!J43:K43))</f>
        <v>0</v>
      </c>
      <c r="J42" s="2944"/>
      <c r="K42" s="2343">
        <v>0</v>
      </c>
      <c r="L42" s="2344"/>
    </row>
    <row r="43" spans="2:18" ht="27" customHeight="1" thickTop="1" x14ac:dyDescent="0.25">
      <c r="B43" s="2935" t="s">
        <v>1013</v>
      </c>
      <c r="C43" s="2936"/>
      <c r="D43" s="2936"/>
      <c r="E43" s="2936"/>
      <c r="F43" s="2936"/>
      <c r="G43" s="2936"/>
      <c r="H43" s="398">
        <f>CHOOSE(ПЕРИОД!$D$15,0,'1. Планд'!H44,'1. Планд'!I44,SUM('1. Планд'!H44:I44))</f>
        <v>0</v>
      </c>
      <c r="I43" s="2533">
        <f>CHOOSE(ПЕРИОД!$D$15,0,'1. Планд'!J44,'1. Планд'!K44,SUM('1. Планд'!J44:K44))</f>
        <v>0</v>
      </c>
      <c r="J43" s="2387"/>
      <c r="K43" s="2383">
        <v>0</v>
      </c>
      <c r="L43" s="2384"/>
    </row>
    <row r="44" spans="2:18" ht="27" customHeight="1" x14ac:dyDescent="0.25">
      <c r="B44" s="2925" t="s">
        <v>1014</v>
      </c>
      <c r="C44" s="2926"/>
      <c r="D44" s="2926"/>
      <c r="E44" s="2926"/>
      <c r="F44" s="2926"/>
      <c r="G44" s="2926"/>
      <c r="H44" s="399">
        <f>CHOOSE(ПЕРИОД!$D$15,0,'1. Планд'!H45,'1. Планд'!I45,SUM('1. Планд'!H45:I45))</f>
        <v>0</v>
      </c>
      <c r="I44" s="2927">
        <f>CHOOSE(ПЕРИОД!$D$15,0,'1. Планд'!J45,'1. Планд'!K45,SUM('1. Планд'!J45:K45))</f>
        <v>0</v>
      </c>
      <c r="J44" s="2928"/>
      <c r="K44" s="2355">
        <v>0</v>
      </c>
      <c r="L44" s="2356"/>
    </row>
    <row r="45" spans="2:18" ht="27" customHeight="1" thickBot="1" x14ac:dyDescent="0.3">
      <c r="B45" s="2933" t="s">
        <v>1005</v>
      </c>
      <c r="C45" s="2934"/>
      <c r="D45" s="2934"/>
      <c r="E45" s="2934"/>
      <c r="F45" s="2934"/>
      <c r="G45" s="2934"/>
      <c r="H45" s="400">
        <f>CHOOSE(ПЕРИОД!$D$15,0,'1. Планд'!H46,'1. Планд'!I46,SUM('1. Планд'!H46:I46))</f>
        <v>0</v>
      </c>
      <c r="I45" s="2531">
        <f>CHOOSE(ПЕРИОД!$D$15,0,'1. Планд'!J46,'1. Планд'!K46,SUM('1. Планд'!J46:K46))</f>
        <v>0</v>
      </c>
      <c r="J45" s="2921"/>
      <c r="K45" s="2385">
        <v>0</v>
      </c>
      <c r="L45" s="2386"/>
    </row>
    <row r="46" spans="2:18" ht="27" customHeight="1" thickTop="1" x14ac:dyDescent="0.25">
      <c r="B46" s="2495" t="s">
        <v>768</v>
      </c>
      <c r="C46" s="2496"/>
      <c r="D46" s="2496"/>
      <c r="E46" s="2496"/>
      <c r="F46" s="2496"/>
      <c r="G46" s="2496"/>
      <c r="H46" s="398">
        <f>CHOOSE(ПЕРИОД!$D$15,0,'1. Планд'!H47,'1. Планд'!I47,SUM('1. Планд'!H47:I47))</f>
        <v>0</v>
      </c>
      <c r="I46" s="2533">
        <f>CHOOSE(ПЕРИОД!$D$15,0,'1. Планд'!J47,'1. Планд'!K47,SUM('1. Планд'!J47:K47))</f>
        <v>0</v>
      </c>
      <c r="J46" s="2387"/>
      <c r="K46" s="2383">
        <v>0</v>
      </c>
      <c r="L46" s="2384"/>
    </row>
    <row r="47" spans="2:18" ht="27" customHeight="1" x14ac:dyDescent="0.25">
      <c r="B47" s="2929" t="s">
        <v>1004</v>
      </c>
      <c r="C47" s="2926"/>
      <c r="D47" s="2926"/>
      <c r="E47" s="2926"/>
      <c r="F47" s="2926"/>
      <c r="G47" s="2926"/>
      <c r="H47" s="399">
        <f>CHOOSE(ПЕРИОД!$D$15,0,'1. Планд'!H48,'1. Планд'!I48,SUM('1. Планд'!H48:I48))</f>
        <v>0</v>
      </c>
      <c r="I47" s="2927">
        <f>CHOOSE(ПЕРИОД!$D$15,0,'1. Планд'!J48,'1. Планд'!K48,SUM('1. Планд'!J48:K48))</f>
        <v>0</v>
      </c>
      <c r="J47" s="2928"/>
      <c r="K47" s="2355">
        <v>0</v>
      </c>
      <c r="L47" s="2356"/>
    </row>
    <row r="48" spans="2:18" ht="27" customHeight="1" thickBot="1" x14ac:dyDescent="0.3">
      <c r="B48" s="2930" t="s">
        <v>1002</v>
      </c>
      <c r="C48" s="2931"/>
      <c r="D48" s="2931"/>
      <c r="E48" s="2931"/>
      <c r="F48" s="2931"/>
      <c r="G48" s="2932"/>
      <c r="H48" s="400">
        <f>CHOOSE(ПЕРИОД!$D$15,0,'1. Планд'!H49,'1. Планд'!I49,SUM('1. Планд'!H49:I49))</f>
        <v>0</v>
      </c>
      <c r="I48" s="2531">
        <f>CHOOSE(ПЕРИОД!$D$15,0,'1. Планд'!J49,'1. Планд'!K49,SUM('1. Планд'!J49:K49))</f>
        <v>0</v>
      </c>
      <c r="J48" s="2921"/>
      <c r="K48" s="2385">
        <v>0</v>
      </c>
      <c r="L48" s="2386"/>
    </row>
    <row r="49" spans="2:18" ht="27" customHeight="1" thickTop="1" x14ac:dyDescent="0.25">
      <c r="B49" s="2495" t="s">
        <v>769</v>
      </c>
      <c r="C49" s="2496"/>
      <c r="D49" s="2496"/>
      <c r="E49" s="2496"/>
      <c r="F49" s="2496"/>
      <c r="G49" s="2496"/>
      <c r="H49" s="398">
        <f>CHOOSE(ПЕРИОД!$D$15,0,'1. Планд'!H50,'1. Планд'!I50,0)</f>
        <v>0</v>
      </c>
      <c r="I49" s="2533">
        <f>CHOOSE(ПЕРИОД!$D$15,0,'1. Планд'!J50,'1. Планд'!K50,0)</f>
        <v>0</v>
      </c>
      <c r="J49" s="2387"/>
      <c r="K49" s="2383">
        <v>0</v>
      </c>
      <c r="L49" s="2384"/>
    </row>
    <row r="50" spans="2:18" ht="27" customHeight="1" x14ac:dyDescent="0.25">
      <c r="B50" s="2925" t="s">
        <v>1006</v>
      </c>
      <c r="C50" s="2926"/>
      <c r="D50" s="2926"/>
      <c r="E50" s="2926"/>
      <c r="F50" s="2926"/>
      <c r="G50" s="2926"/>
      <c r="H50" s="399">
        <f>CHOOSE(ПЕРИОД!$D$15,0,'1. Планд'!H51,'1. Планд'!I51,0)</f>
        <v>0</v>
      </c>
      <c r="I50" s="2927">
        <f>CHOOSE(ПЕРИОД!$D$15,0,'1. Планд'!J51,'1. Планд'!K51,0)</f>
        <v>0</v>
      </c>
      <c r="J50" s="2928"/>
      <c r="K50" s="2355">
        <v>0</v>
      </c>
      <c r="L50" s="2356"/>
    </row>
    <row r="51" spans="2:18" ht="27" customHeight="1" thickBot="1" x14ac:dyDescent="0.3">
      <c r="B51" s="2462" t="s">
        <v>771</v>
      </c>
      <c r="C51" s="2463"/>
      <c r="D51" s="2463"/>
      <c r="E51" s="2463"/>
      <c r="F51" s="2463"/>
      <c r="G51" s="2463"/>
      <c r="H51" s="400">
        <f>CHOOSE(ПЕРИОД!$D$15,0,'1. Планд'!H52,'1. Планд'!I52,0)</f>
        <v>0</v>
      </c>
      <c r="I51" s="2531">
        <f>CHOOSE(ПЕРИОД!$D$15,0,'1. Планд'!J52,'1. Планд'!K52,0)</f>
        <v>0</v>
      </c>
      <c r="J51" s="2921"/>
      <c r="K51" s="2385">
        <v>0</v>
      </c>
      <c r="L51" s="2386"/>
    </row>
    <row r="52" spans="2:18" ht="27" customHeight="1" thickTop="1" x14ac:dyDescent="0.25">
      <c r="B52" s="2464" t="s">
        <v>772</v>
      </c>
      <c r="C52" s="2465"/>
      <c r="D52" s="2465"/>
      <c r="E52" s="2465"/>
      <c r="F52" s="2465"/>
      <c r="G52" s="2466"/>
      <c r="H52" s="404">
        <v>0</v>
      </c>
      <c r="I52" s="2487">
        <v>0</v>
      </c>
      <c r="J52" s="2488"/>
      <c r="K52" s="2387">
        <f>'1. Планд'!L53</f>
        <v>0</v>
      </c>
      <c r="L52" s="2388"/>
    </row>
    <row r="53" spans="2:18" ht="27" customHeight="1" thickBot="1" x14ac:dyDescent="0.3">
      <c r="B53" s="2923" t="s">
        <v>1003</v>
      </c>
      <c r="C53" s="2924"/>
      <c r="D53" s="2924"/>
      <c r="E53" s="2924"/>
      <c r="F53" s="2924"/>
      <c r="G53" s="2924"/>
      <c r="H53" s="405">
        <v>0</v>
      </c>
      <c r="I53" s="2489">
        <v>0</v>
      </c>
      <c r="J53" s="2490"/>
      <c r="K53" s="2369">
        <f>'1. Планд'!L54</f>
        <v>0</v>
      </c>
      <c r="L53" s="2370"/>
    </row>
    <row r="54" spans="2:18" ht="27" customHeight="1" x14ac:dyDescent="0.25">
      <c r="B54" s="2469" t="s">
        <v>409</v>
      </c>
      <c r="C54" s="2470"/>
      <c r="D54" s="2470"/>
      <c r="E54" s="2470"/>
      <c r="F54" s="2470"/>
      <c r="G54" s="2471"/>
      <c r="H54" s="706">
        <f>SUM(H55,H34:H51)</f>
        <v>0</v>
      </c>
      <c r="I54" s="2491">
        <f>SUM(I55,I34:J51)</f>
        <v>0</v>
      </c>
      <c r="J54" s="2372"/>
      <c r="K54" s="2371">
        <f>IFERROR(SUM(K52:L53,K55),0)</f>
        <v>0</v>
      </c>
      <c r="L54" s="2372"/>
    </row>
    <row r="55" spans="2:18" ht="27" customHeight="1" thickBot="1" x14ac:dyDescent="0.3">
      <c r="B55" s="2472" t="s">
        <v>11</v>
      </c>
      <c r="C55" s="2473"/>
      <c r="D55" s="2473"/>
      <c r="E55" s="2473"/>
      <c r="F55" s="2473"/>
      <c r="G55" s="2474"/>
      <c r="H55" s="711">
        <f>SUM(H26:H29,H32:H33)</f>
        <v>0</v>
      </c>
      <c r="I55" s="2492">
        <f>SUM(I26:J29,I32:J33)</f>
        <v>0</v>
      </c>
      <c r="J55" s="2493"/>
      <c r="K55" s="2373">
        <f>IFERROR(SUM(K26:L29),0)</f>
        <v>0</v>
      </c>
      <c r="L55" s="2374"/>
    </row>
    <row r="56" spans="2:18" ht="27" customHeight="1" x14ac:dyDescent="0.25">
      <c r="B56" s="2475" t="s">
        <v>542</v>
      </c>
      <c r="C56" s="2476"/>
      <c r="D56" s="2476"/>
      <c r="E56" s="2476"/>
      <c r="F56" s="2476"/>
      <c r="G56" s="2477"/>
      <c r="H56" s="2481">
        <f>'1. Планд'!H57</f>
        <v>0</v>
      </c>
      <c r="I56" s="2482"/>
      <c r="J56" s="2483"/>
      <c r="K56" s="2375">
        <v>0</v>
      </c>
      <c r="L56" s="2376"/>
      <c r="N56"/>
      <c r="O56"/>
      <c r="P56"/>
      <c r="Q56"/>
      <c r="R56"/>
    </row>
    <row r="57" spans="2:18" ht="27" customHeight="1" thickBot="1" x14ac:dyDescent="0.3">
      <c r="B57" s="2478" t="s">
        <v>543</v>
      </c>
      <c r="C57" s="2479"/>
      <c r="D57" s="2479"/>
      <c r="E57" s="2479"/>
      <c r="F57" s="2479"/>
      <c r="G57" s="2480"/>
      <c r="H57" s="2484">
        <f>'1. Планд'!H58</f>
        <v>0</v>
      </c>
      <c r="I57" s="2485"/>
      <c r="J57" s="2486"/>
      <c r="K57" s="2377">
        <v>0</v>
      </c>
      <c r="L57" s="2378"/>
      <c r="N57"/>
      <c r="O57"/>
      <c r="P57"/>
      <c r="Q57"/>
      <c r="R57"/>
    </row>
    <row r="58" spans="2:18" ht="27" customHeight="1" x14ac:dyDescent="0.25">
      <c r="B58" s="2504" t="s">
        <v>410</v>
      </c>
      <c r="C58" s="2505"/>
      <c r="D58" s="2505"/>
      <c r="E58" s="2505"/>
      <c r="F58" s="2505"/>
      <c r="G58" s="2506"/>
      <c r="H58" s="2507">
        <f>IFERROR(SUM(H54:J54,H56),0)</f>
        <v>0</v>
      </c>
      <c r="I58" s="2507"/>
      <c r="J58" s="2507"/>
      <c r="K58" s="2379">
        <f>IFERROR(SUM(K59,K52:L53),0)</f>
        <v>0</v>
      </c>
      <c r="L58" s="2380"/>
      <c r="N58"/>
      <c r="O58"/>
      <c r="P58"/>
      <c r="Q58"/>
      <c r="R58"/>
    </row>
    <row r="59" spans="2:18" ht="27" customHeight="1" thickBot="1" x14ac:dyDescent="0.3">
      <c r="B59" s="2454" t="s">
        <v>408</v>
      </c>
      <c r="C59" s="2455"/>
      <c r="D59" s="2455"/>
      <c r="E59" s="2455"/>
      <c r="F59" s="2455"/>
      <c r="G59" s="2456"/>
      <c r="H59" s="2457">
        <f>IFERROR(SUM(H55:J55,H57),0)</f>
        <v>0</v>
      </c>
      <c r="I59" s="2457"/>
      <c r="J59" s="2457"/>
      <c r="K59" s="2381">
        <f>IFERROR(SUM(K26:L29),0)</f>
        <v>0</v>
      </c>
      <c r="L59" s="2382"/>
      <c r="N59"/>
      <c r="O59"/>
      <c r="P59"/>
      <c r="Q59"/>
      <c r="R59"/>
    </row>
    <row r="60" spans="2:18" ht="8.1" customHeight="1" thickBot="1" x14ac:dyDescent="0.3">
      <c r="B60" s="4"/>
      <c r="C60" s="4"/>
      <c r="D60" s="4"/>
      <c r="E60" s="4"/>
      <c r="F60" s="4"/>
      <c r="G60" s="4"/>
      <c r="H60" s="5"/>
      <c r="I60" s="5"/>
      <c r="J60" s="5"/>
      <c r="K60" s="5"/>
      <c r="L60" s="5"/>
      <c r="N60"/>
      <c r="O60"/>
      <c r="P60"/>
      <c r="Q60"/>
      <c r="R60"/>
    </row>
    <row r="61" spans="2:18" x14ac:dyDescent="0.25">
      <c r="B61" s="2458" t="s">
        <v>75</v>
      </c>
      <c r="C61" s="2459"/>
      <c r="D61" s="2459"/>
      <c r="E61" s="2459"/>
      <c r="F61" s="2459"/>
      <c r="G61" s="2459"/>
      <c r="H61" s="162" t="s">
        <v>67</v>
      </c>
      <c r="I61" s="2397" t="s">
        <v>68</v>
      </c>
      <c r="J61" s="2398"/>
      <c r="K61" s="2397" t="s">
        <v>3</v>
      </c>
      <c r="L61" s="2401"/>
      <c r="N61"/>
      <c r="O61"/>
      <c r="P61"/>
      <c r="Q61"/>
      <c r="R61"/>
    </row>
    <row r="62" spans="2:18" ht="27" customHeight="1" x14ac:dyDescent="0.25">
      <c r="B62" s="2043" t="s">
        <v>303</v>
      </c>
      <c r="C62" s="2044"/>
      <c r="D62" s="2044"/>
      <c r="E62" s="2044"/>
      <c r="F62" s="2044"/>
      <c r="G62" s="2045"/>
      <c r="H62" s="95" cm="1">
        <f t="array" ref="H62">CHOOSE(ПЕРИОД!$D$15,0,SUMPRODUCT((BAZZS[Студенти]&gt;0)*(BAZZS[Лекции]+BAZZS[Упражнения])),SUMPRODUCT((BAZLS[Студенти]&gt;0)*(BAZLS[Лекции]+BAZLS[Упражнения])),0)</f>
        <v>0</v>
      </c>
      <c r="I62" s="2393" cm="1">
        <f t="array" ref="I62">CHOOSE(ПЕРИОД!$D$15,0,SUMPRODUCT((MAZZS[Студенти]&gt;0)*(MAZZS[Лекции]+MAZZS[Упражнения])),SUMPRODUCT((MAZLS[Студенти]&gt;0)*(MAZLS[Лекции]+MAZLS[Упражнения])),0)</f>
        <v>0</v>
      </c>
      <c r="J62" s="2399"/>
      <c r="K62" s="2393">
        <f>SUM(H62:I62)</f>
        <v>0</v>
      </c>
      <c r="L62" s="2394"/>
      <c r="N62"/>
      <c r="O62"/>
      <c r="P62"/>
      <c r="Q62"/>
      <c r="R62"/>
    </row>
    <row r="63" spans="2:18" ht="27" customHeight="1" thickBot="1" x14ac:dyDescent="0.3">
      <c r="B63" s="2056" t="s">
        <v>302</v>
      </c>
      <c r="C63" s="2057"/>
      <c r="D63" s="2057"/>
      <c r="E63" s="2057"/>
      <c r="F63" s="2057"/>
      <c r="G63" s="2057"/>
      <c r="H63" s="94" cm="1">
        <f t="array" ref="H63">CHOOSE(ПЕРИОД!$D$15,0,SUMPRODUCT((BAZZS[Вид]="З")*(BAZZS[Студенти]&gt;0)*(BAZZS[Лекции]+BAZZS[Упражнения])),SUMPRODUCT((BAZLS[Вид]="З")*(BAZLS[Студенти]&gt;0)*(BAZLS[Лекции]+BAZLS[Упражнения])),0)</f>
        <v>0</v>
      </c>
      <c r="I63" s="2395" cm="1">
        <f t="array" ref="I63">CHOOSE(ПЕРИОД!$D$15,0,SUMPRODUCT((MAZZS[Вид]="З")*(MAZZS[Студенти]&gt;0)*(MAZZS[Лекции]+MAZZS[Упражнения])),SUMPRODUCT((MAZLS[Вид]="З")*(MAZLS[Студенти]&gt;0)*(MAZLS[Лекции]+MAZLS[Упражнения])),0)</f>
        <v>0</v>
      </c>
      <c r="J63" s="2453"/>
      <c r="K63" s="2395">
        <f>SUM(H63:I63)</f>
        <v>0</v>
      </c>
      <c r="L63" s="2396"/>
      <c r="N63"/>
      <c r="O63"/>
      <c r="P63"/>
      <c r="Q63"/>
      <c r="R63"/>
    </row>
    <row r="64" spans="2:18" ht="8.1" customHeight="1" thickBot="1" x14ac:dyDescent="0.3">
      <c r="B64" s="21"/>
      <c r="C64" s="21"/>
      <c r="D64" s="21"/>
      <c r="E64" s="21"/>
      <c r="F64" s="21"/>
      <c r="G64" s="21"/>
      <c r="H64" s="20"/>
      <c r="I64" s="20"/>
      <c r="J64" s="5"/>
      <c r="K64" s="5"/>
      <c r="L64" s="5"/>
      <c r="N64"/>
      <c r="O64"/>
      <c r="P64"/>
      <c r="Q64"/>
      <c r="R64"/>
    </row>
    <row r="65" spans="1:18" ht="27" customHeight="1" x14ac:dyDescent="0.25">
      <c r="B65" s="2445" t="s">
        <v>108</v>
      </c>
      <c r="C65" s="2446"/>
      <c r="D65" s="2446"/>
      <c r="E65" s="2446"/>
      <c r="F65" s="2446"/>
      <c r="G65" s="2446"/>
      <c r="H65" s="2446"/>
      <c r="I65" s="2446"/>
      <c r="J65" s="2446"/>
      <c r="K65" s="2447"/>
      <c r="L65" s="2448"/>
      <c r="N65"/>
      <c r="O65"/>
      <c r="P65"/>
      <c r="Q65"/>
      <c r="R65"/>
    </row>
    <row r="66" spans="1:18" ht="27" customHeight="1" x14ac:dyDescent="0.25">
      <c r="B66" s="2098" t="s">
        <v>109</v>
      </c>
      <c r="C66" s="2099"/>
      <c r="D66" s="2100"/>
      <c r="E66" s="2101"/>
      <c r="F66" s="2101"/>
      <c r="G66" s="2101"/>
      <c r="H66" s="2101"/>
      <c r="I66" s="2101"/>
      <c r="J66" s="2101"/>
      <c r="K66" s="2101"/>
      <c r="L66" s="2102"/>
      <c r="N66"/>
      <c r="O66"/>
      <c r="P66"/>
      <c r="Q66"/>
      <c r="R66"/>
    </row>
    <row r="67" spans="1:18" ht="46.5" customHeight="1" thickBot="1" x14ac:dyDescent="0.3">
      <c r="B67" s="2103" t="s">
        <v>110</v>
      </c>
      <c r="C67" s="2104"/>
      <c r="D67" s="2449" t="s">
        <v>73</v>
      </c>
      <c r="E67" s="2450"/>
      <c r="F67" s="2450"/>
      <c r="G67" s="2451"/>
      <c r="H67" s="2449" t="s">
        <v>74</v>
      </c>
      <c r="I67" s="2450"/>
      <c r="J67" s="2450"/>
      <c r="K67" s="2450"/>
      <c r="L67" s="2452"/>
    </row>
    <row r="68" spans="1:18" ht="8.1" customHeight="1" x14ac:dyDescent="0.25">
      <c r="B68" s="4"/>
      <c r="C68" s="4"/>
      <c r="D68" s="4"/>
      <c r="E68" s="4"/>
      <c r="F68" s="4"/>
      <c r="G68" s="4"/>
      <c r="H68" s="5"/>
      <c r="I68" s="5"/>
      <c r="J68" s="5"/>
      <c r="K68" s="5"/>
      <c r="L68" s="5"/>
    </row>
    <row r="69" spans="1:18" s="157" customFormat="1" ht="18.75" customHeight="1" x14ac:dyDescent="0.25">
      <c r="A69" s="159"/>
      <c r="B69" s="2427" t="s">
        <v>12</v>
      </c>
      <c r="C69" s="2428"/>
      <c r="D69" s="2428"/>
      <c r="E69" s="2428"/>
      <c r="F69" s="2428"/>
      <c r="G69" s="2428"/>
      <c r="H69" s="2428"/>
      <c r="I69" s="2428"/>
      <c r="J69" s="2428"/>
      <c r="K69" s="2428"/>
      <c r="L69" s="2429"/>
    </row>
    <row r="70" spans="1:18" s="157" customFormat="1" ht="31.5" x14ac:dyDescent="0.25">
      <c r="A70" s="160"/>
      <c r="B70" s="2430" t="s">
        <v>190</v>
      </c>
      <c r="C70" s="2431"/>
      <c r="D70" s="2431"/>
      <c r="E70" s="2431"/>
      <c r="F70" s="2431"/>
      <c r="G70" s="2431"/>
      <c r="H70" s="2431"/>
      <c r="I70" s="2431"/>
      <c r="J70" s="2431"/>
      <c r="K70" s="2431"/>
      <c r="L70" s="2432"/>
    </row>
    <row r="71" spans="1:18" s="157" customFormat="1" ht="23.25" x14ac:dyDescent="0.25">
      <c r="A71" s="158"/>
      <c r="B71" s="2433" t="s">
        <v>13</v>
      </c>
      <c r="C71" s="2434"/>
      <c r="D71" s="2434"/>
      <c r="E71" s="2434"/>
      <c r="F71" s="2434"/>
      <c r="G71" s="2434"/>
      <c r="H71" s="2434"/>
      <c r="I71" s="2434"/>
      <c r="J71" s="2434"/>
      <c r="K71" s="2434"/>
      <c r="L71" s="2435"/>
    </row>
    <row r="72" spans="1:18" x14ac:dyDescent="0.25"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</row>
    <row r="73" spans="1:18" ht="28.5" x14ac:dyDescent="0.25">
      <c r="B73" s="2436" t="s">
        <v>594</v>
      </c>
      <c r="C73" s="2437"/>
      <c r="D73" s="2437"/>
      <c r="E73" s="2437"/>
      <c r="F73" s="2437"/>
      <c r="G73" s="2437"/>
      <c r="H73" s="2437"/>
      <c r="I73" s="2437"/>
      <c r="J73" s="2437"/>
      <c r="K73" s="2437"/>
      <c r="L73" s="2438"/>
      <c r="N73" s="408" t="s">
        <v>582</v>
      </c>
    </row>
    <row r="74" spans="1:18" ht="28.5" x14ac:dyDescent="0.25">
      <c r="B74" s="2439" t="s">
        <v>595</v>
      </c>
      <c r="C74" s="2440"/>
      <c r="D74" s="2440"/>
      <c r="E74" s="2440"/>
      <c r="F74" s="2440"/>
      <c r="G74" s="2440"/>
      <c r="H74" s="2440"/>
      <c r="I74" s="2440"/>
      <c r="J74" s="2440"/>
      <c r="K74" s="2440"/>
      <c r="L74" s="2441"/>
      <c r="N74" s="408" t="s">
        <v>582</v>
      </c>
    </row>
    <row r="75" spans="1:18" ht="23.25" x14ac:dyDescent="0.35">
      <c r="B75" s="2439" t="s">
        <v>667</v>
      </c>
      <c r="C75" s="2440"/>
      <c r="D75" s="2440"/>
      <c r="E75" s="2440"/>
      <c r="F75" s="2440"/>
      <c r="G75" s="2440"/>
      <c r="H75" s="2440"/>
      <c r="I75" s="2440"/>
      <c r="J75" s="2440"/>
      <c r="K75" s="2440"/>
      <c r="L75" s="2441"/>
      <c r="N75" s="409" t="s">
        <v>581</v>
      </c>
    </row>
    <row r="76" spans="1:18" ht="21.75" customHeight="1" x14ac:dyDescent="0.25">
      <c r="B76" s="2442" t="s">
        <v>4</v>
      </c>
      <c r="C76" s="2443"/>
      <c r="D76" s="2443"/>
      <c r="E76" s="2443"/>
      <c r="F76" s="2443"/>
      <c r="G76" s="2443"/>
      <c r="H76" s="2443"/>
      <c r="I76" s="2443"/>
      <c r="J76" s="2443"/>
      <c r="K76" s="2443"/>
      <c r="L76" s="2444"/>
    </row>
    <row r="77" spans="1:18" x14ac:dyDescent="0.25">
      <c r="B77" s="2402" t="s">
        <v>432</v>
      </c>
      <c r="C77" s="2403"/>
      <c r="D77" s="2403"/>
      <c r="E77" s="2403"/>
      <c r="F77" s="2403"/>
      <c r="G77" s="2403"/>
      <c r="H77" s="2403"/>
      <c r="I77" s="2403"/>
      <c r="J77" s="2403"/>
      <c r="K77" s="2403"/>
      <c r="L77" s="2404"/>
    </row>
    <row r="78" spans="1:18" x14ac:dyDescent="0.25">
      <c r="B78" s="2416" t="s">
        <v>589</v>
      </c>
      <c r="C78" s="2417"/>
      <c r="D78" s="2417"/>
      <c r="E78" s="2417"/>
      <c r="F78" s="2417"/>
      <c r="G78" s="2417"/>
      <c r="H78" s="2417"/>
      <c r="I78" s="2417"/>
      <c r="J78" s="2417"/>
      <c r="K78" s="2417"/>
      <c r="L78" s="2418"/>
    </row>
    <row r="79" spans="1:18" ht="147" customHeight="1" x14ac:dyDescent="0.25">
      <c r="B79" s="2407" t="s">
        <v>678</v>
      </c>
      <c r="C79" s="2408"/>
      <c r="D79" s="2408"/>
      <c r="E79" s="2408"/>
      <c r="F79" s="2408"/>
      <c r="G79" s="2408"/>
      <c r="H79" s="2408"/>
      <c r="I79" s="2408"/>
      <c r="J79" s="2408"/>
      <c r="K79" s="2408"/>
      <c r="L79" s="2409"/>
    </row>
    <row r="80" spans="1:18" ht="50.25" customHeight="1" x14ac:dyDescent="0.25">
      <c r="B80" s="2407" t="s">
        <v>590</v>
      </c>
      <c r="C80" s="2408"/>
      <c r="D80" s="2408"/>
      <c r="E80" s="2408"/>
      <c r="F80" s="2408"/>
      <c r="G80" s="2408"/>
      <c r="H80" s="2408"/>
      <c r="I80" s="2408"/>
      <c r="J80" s="2408"/>
      <c r="K80" s="2408"/>
      <c r="L80" s="2409"/>
    </row>
    <row r="81" spans="2:12" ht="15" customHeight="1" x14ac:dyDescent="0.25">
      <c r="B81" s="406"/>
      <c r="C81" s="2425" t="s">
        <v>14</v>
      </c>
      <c r="D81" s="2426"/>
      <c r="E81" s="2410" t="s">
        <v>15</v>
      </c>
      <c r="F81" s="2410"/>
      <c r="G81" s="147"/>
      <c r="H81" s="147"/>
      <c r="I81" s="147"/>
      <c r="J81" s="2411"/>
      <c r="K81" s="2411"/>
      <c r="L81" s="2412"/>
    </row>
    <row r="82" spans="2:12" ht="15" customHeight="1" x14ac:dyDescent="0.25">
      <c r="B82" s="406"/>
      <c r="C82" s="2389" t="s">
        <v>776</v>
      </c>
      <c r="D82" s="2390"/>
      <c r="E82" s="2391">
        <v>1</v>
      </c>
      <c r="F82" s="2391"/>
      <c r="G82" s="148"/>
      <c r="H82" s="148"/>
      <c r="I82" s="148"/>
      <c r="J82" s="2392"/>
      <c r="K82" s="2392"/>
      <c r="L82" s="2392"/>
    </row>
    <row r="83" spans="2:12" ht="15" customHeight="1" x14ac:dyDescent="0.25">
      <c r="B83" s="406"/>
      <c r="C83" s="2389" t="s">
        <v>777</v>
      </c>
      <c r="D83" s="2390"/>
      <c r="E83" s="2391">
        <v>0.8</v>
      </c>
      <c r="F83" s="2391"/>
      <c r="G83" s="148"/>
      <c r="H83" s="148"/>
      <c r="I83" s="148"/>
      <c r="J83" s="2392"/>
      <c r="K83" s="2392"/>
      <c r="L83" s="2392"/>
    </row>
    <row r="84" spans="2:12" ht="15" customHeight="1" x14ac:dyDescent="0.25">
      <c r="B84" s="407"/>
      <c r="C84" s="2389" t="s">
        <v>778</v>
      </c>
      <c r="D84" s="2390"/>
      <c r="E84" s="2391">
        <v>0.6</v>
      </c>
      <c r="F84" s="2391"/>
      <c r="G84" s="148"/>
      <c r="H84" s="148"/>
      <c r="I84" s="148"/>
      <c r="J84" s="2392"/>
      <c r="K84" s="2392"/>
      <c r="L84" s="2392"/>
    </row>
    <row r="85" spans="2:12" ht="15" customHeight="1" x14ac:dyDescent="0.25">
      <c r="B85" s="406"/>
      <c r="C85" s="2389" t="s">
        <v>779</v>
      </c>
      <c r="D85" s="2390"/>
      <c r="E85" s="2391">
        <v>0.5</v>
      </c>
      <c r="F85" s="2391"/>
      <c r="G85" s="148"/>
      <c r="H85" s="148"/>
      <c r="I85" s="148"/>
      <c r="J85" s="2392"/>
      <c r="K85" s="2392"/>
      <c r="L85" s="2392"/>
    </row>
    <row r="86" spans="2:12" ht="15" customHeight="1" x14ac:dyDescent="0.25">
      <c r="B86" s="406"/>
      <c r="C86" s="2389" t="s">
        <v>780</v>
      </c>
      <c r="D86" s="2390"/>
      <c r="E86" s="2391">
        <v>0.3</v>
      </c>
      <c r="F86" s="2391"/>
      <c r="G86" s="148"/>
      <c r="H86" s="148"/>
      <c r="I86" s="148"/>
      <c r="J86" s="2392"/>
      <c r="K86" s="2392"/>
      <c r="L86" s="2392"/>
    </row>
    <row r="87" spans="2:12" ht="15" customHeight="1" x14ac:dyDescent="0.25">
      <c r="B87" s="406"/>
      <c r="C87" s="2389" t="s">
        <v>300</v>
      </c>
      <c r="D87" s="2390"/>
      <c r="E87" s="2391">
        <v>0.2</v>
      </c>
      <c r="F87" s="2391"/>
      <c r="G87" s="148"/>
      <c r="H87" s="148"/>
      <c r="I87" s="148"/>
      <c r="J87" s="2400"/>
      <c r="K87" s="2400"/>
      <c r="L87" s="2392"/>
    </row>
    <row r="88" spans="2:12" ht="31.5" customHeight="1" x14ac:dyDescent="0.25">
      <c r="B88" s="2407" t="s">
        <v>153</v>
      </c>
      <c r="C88" s="2408"/>
      <c r="D88" s="2408"/>
      <c r="E88" s="2408"/>
      <c r="F88" s="2408"/>
      <c r="G88" s="2408"/>
      <c r="H88" s="2408"/>
      <c r="I88" s="2408"/>
      <c r="J88" s="2408"/>
      <c r="K88" s="2408"/>
      <c r="L88" s="2409"/>
    </row>
    <row r="89" spans="2:12" ht="65.25" customHeight="1" x14ac:dyDescent="0.25">
      <c r="B89" s="2407" t="s">
        <v>591</v>
      </c>
      <c r="C89" s="2408"/>
      <c r="D89" s="2408"/>
      <c r="E89" s="2408"/>
      <c r="F89" s="2408"/>
      <c r="G89" s="2408"/>
      <c r="H89" s="2408"/>
      <c r="I89" s="2408"/>
      <c r="J89" s="2408"/>
      <c r="K89" s="2408"/>
      <c r="L89" s="2409"/>
    </row>
    <row r="90" spans="2:12" ht="15" customHeight="1" x14ac:dyDescent="0.25">
      <c r="B90" s="406"/>
      <c r="C90" s="2410" t="s">
        <v>14</v>
      </c>
      <c r="D90" s="2410"/>
      <c r="E90" s="2410" t="s">
        <v>15</v>
      </c>
      <c r="F90" s="2410"/>
      <c r="G90" s="147"/>
      <c r="H90" s="147"/>
      <c r="I90" s="147"/>
      <c r="J90" s="2411"/>
      <c r="K90" s="2411"/>
      <c r="L90" s="2412"/>
    </row>
    <row r="91" spans="2:12" ht="15" customHeight="1" x14ac:dyDescent="0.25">
      <c r="B91" s="406"/>
      <c r="C91" s="2405" t="s">
        <v>776</v>
      </c>
      <c r="D91" s="2405"/>
      <c r="E91" s="2391">
        <v>1</v>
      </c>
      <c r="F91" s="2391"/>
      <c r="G91" s="148"/>
      <c r="H91" s="148"/>
      <c r="I91" s="148"/>
      <c r="J91" s="2392"/>
      <c r="K91" s="2392"/>
      <c r="L91" s="2392"/>
    </row>
    <row r="92" spans="2:12" x14ac:dyDescent="0.25">
      <c r="B92" s="406"/>
      <c r="C92" s="2405" t="s">
        <v>777</v>
      </c>
      <c r="D92" s="2405"/>
      <c r="E92" s="2391">
        <v>0.8</v>
      </c>
      <c r="F92" s="2391"/>
      <c r="G92" s="148"/>
      <c r="H92" s="148"/>
      <c r="I92" s="148"/>
      <c r="J92" s="2392"/>
      <c r="K92" s="2392"/>
      <c r="L92" s="2392"/>
    </row>
    <row r="93" spans="2:12" x14ac:dyDescent="0.25">
      <c r="B93" s="407"/>
      <c r="C93" s="2405" t="s">
        <v>778</v>
      </c>
      <c r="D93" s="2405"/>
      <c r="E93" s="2391">
        <v>0.6</v>
      </c>
      <c r="F93" s="2391"/>
      <c r="G93" s="148"/>
      <c r="H93" s="148"/>
      <c r="I93" s="148"/>
      <c r="J93" s="2392"/>
      <c r="K93" s="2392"/>
      <c r="L93" s="2392"/>
    </row>
    <row r="94" spans="2:12" x14ac:dyDescent="0.25">
      <c r="B94" s="406"/>
      <c r="C94" s="2405" t="s">
        <v>779</v>
      </c>
      <c r="D94" s="2405"/>
      <c r="E94" s="2391">
        <v>0.5</v>
      </c>
      <c r="F94" s="2391"/>
      <c r="G94" s="148"/>
      <c r="H94" s="148"/>
      <c r="I94" s="148"/>
      <c r="J94" s="2392"/>
      <c r="K94" s="2392"/>
      <c r="L94" s="2392"/>
    </row>
    <row r="95" spans="2:12" x14ac:dyDescent="0.25">
      <c r="B95" s="406"/>
      <c r="C95" s="2405" t="s">
        <v>780</v>
      </c>
      <c r="D95" s="2405"/>
      <c r="E95" s="2391">
        <v>0.3</v>
      </c>
      <c r="F95" s="2391"/>
      <c r="G95" s="148"/>
      <c r="H95" s="148"/>
      <c r="I95" s="148"/>
      <c r="J95" s="2392"/>
      <c r="K95" s="2392"/>
      <c r="L95" s="2392"/>
    </row>
    <row r="96" spans="2:12" x14ac:dyDescent="0.25">
      <c r="B96" s="406"/>
      <c r="C96" s="2405" t="s">
        <v>300</v>
      </c>
      <c r="D96" s="2405"/>
      <c r="E96" s="2391">
        <v>0.2</v>
      </c>
      <c r="F96" s="2391"/>
      <c r="G96" s="148"/>
      <c r="H96" s="148"/>
      <c r="I96" s="148"/>
      <c r="J96" s="2400"/>
      <c r="K96" s="2400"/>
      <c r="L96" s="2392"/>
    </row>
    <row r="97" spans="2:12" x14ac:dyDescent="0.25">
      <c r="B97" s="26"/>
      <c r="C97" s="25"/>
      <c r="D97" s="25"/>
      <c r="E97" s="25"/>
      <c r="F97" s="25"/>
      <c r="G97" s="148"/>
      <c r="H97" s="148"/>
      <c r="I97" s="148"/>
      <c r="J97" s="148"/>
      <c r="K97" s="148"/>
      <c r="L97" s="942"/>
    </row>
    <row r="98" spans="2:12" x14ac:dyDescent="0.25">
      <c r="B98" s="2402" t="s">
        <v>433</v>
      </c>
      <c r="C98" s="2403"/>
      <c r="D98" s="2403"/>
      <c r="E98" s="2403"/>
      <c r="F98" s="2403"/>
      <c r="G98" s="2403"/>
      <c r="H98" s="2403"/>
      <c r="I98" s="2403"/>
      <c r="J98" s="2403"/>
      <c r="K98" s="2403"/>
      <c r="L98" s="2404"/>
    </row>
    <row r="99" spans="2:12" ht="33.75" customHeight="1" x14ac:dyDescent="0.25">
      <c r="B99" s="2416" t="s">
        <v>592</v>
      </c>
      <c r="C99" s="2417"/>
      <c r="D99" s="2417"/>
      <c r="E99" s="2417"/>
      <c r="F99" s="2417"/>
      <c r="G99" s="2417"/>
      <c r="H99" s="2417"/>
      <c r="I99" s="2417"/>
      <c r="J99" s="2417"/>
      <c r="K99" s="2417"/>
      <c r="L99" s="2418"/>
    </row>
    <row r="100" spans="2:12" x14ac:dyDescent="0.25">
      <c r="B100" s="406"/>
      <c r="C100" s="2410" t="s">
        <v>106</v>
      </c>
      <c r="D100" s="2410"/>
      <c r="E100" s="2410" t="s">
        <v>15</v>
      </c>
      <c r="F100" s="2410"/>
      <c r="G100" s="93"/>
      <c r="H100" s="93"/>
      <c r="I100" s="93"/>
      <c r="J100" s="2406"/>
      <c r="K100" s="2406"/>
      <c r="L100" s="2406"/>
    </row>
    <row r="101" spans="2:12" ht="15" customHeight="1" x14ac:dyDescent="0.25">
      <c r="B101" s="406"/>
      <c r="C101" s="2405" t="s">
        <v>781</v>
      </c>
      <c r="D101" s="2405"/>
      <c r="E101" s="2914">
        <v>1</v>
      </c>
      <c r="F101" s="2914"/>
      <c r="G101" s="148"/>
      <c r="H101" s="148"/>
      <c r="I101" s="148"/>
      <c r="J101" s="2406"/>
      <c r="K101" s="2406"/>
      <c r="L101" s="2406"/>
    </row>
    <row r="102" spans="2:12" x14ac:dyDescent="0.25">
      <c r="B102" s="407"/>
      <c r="C102" s="2405" t="s">
        <v>782</v>
      </c>
      <c r="D102" s="2405"/>
      <c r="E102" s="2914">
        <v>0.8</v>
      </c>
      <c r="F102" s="2914"/>
      <c r="G102" s="148"/>
      <c r="H102" s="148"/>
      <c r="I102" s="148"/>
      <c r="J102" s="2406"/>
      <c r="K102" s="2406"/>
      <c r="L102" s="2406"/>
    </row>
    <row r="103" spans="2:12" x14ac:dyDescent="0.25">
      <c r="B103" s="406"/>
      <c r="C103" s="2405" t="s">
        <v>301</v>
      </c>
      <c r="D103" s="2405"/>
      <c r="E103" s="2914">
        <v>0.6</v>
      </c>
      <c r="F103" s="2914"/>
      <c r="G103" s="148"/>
      <c r="H103" s="148"/>
      <c r="I103" s="148"/>
      <c r="J103" s="2406"/>
      <c r="K103" s="2406"/>
      <c r="L103" s="2406"/>
    </row>
    <row r="104" spans="2:12" ht="29.25" customHeight="1" x14ac:dyDescent="0.25">
      <c r="B104" s="2419" t="s">
        <v>593</v>
      </c>
      <c r="C104" s="2420"/>
      <c r="D104" s="2420"/>
      <c r="E104" s="2420"/>
      <c r="F104" s="2420"/>
      <c r="G104" s="2420"/>
      <c r="H104" s="2420"/>
      <c r="I104" s="2420"/>
      <c r="J104" s="2420"/>
      <c r="K104" s="2420"/>
      <c r="L104" s="2421"/>
    </row>
    <row r="105" spans="2:12" ht="30" customHeight="1" x14ac:dyDescent="0.25">
      <c r="B105" s="2413" t="s">
        <v>787</v>
      </c>
      <c r="C105" s="2414"/>
      <c r="D105" s="2414"/>
      <c r="E105" s="2414"/>
      <c r="F105" s="2414"/>
      <c r="G105" s="2414"/>
      <c r="H105" s="2414"/>
      <c r="I105" s="2414"/>
      <c r="J105" s="2414"/>
      <c r="K105" s="2414"/>
      <c r="L105" s="2415"/>
    </row>
  </sheetData>
  <sheetProtection formatCells="0" formatRows="0"/>
  <mergeCells count="214">
    <mergeCell ref="B1:L1"/>
    <mergeCell ref="B2:L2"/>
    <mergeCell ref="B3:C4"/>
    <mergeCell ref="D3:D4"/>
    <mergeCell ref="E3:F3"/>
    <mergeCell ref="I3:J3"/>
    <mergeCell ref="L3:L4"/>
    <mergeCell ref="E4:F4"/>
    <mergeCell ref="I4:J4"/>
    <mergeCell ref="B13:J13"/>
    <mergeCell ref="B14:E14"/>
    <mergeCell ref="F14:L14"/>
    <mergeCell ref="B15:E15"/>
    <mergeCell ref="F15:L15"/>
    <mergeCell ref="B17:D17"/>
    <mergeCell ref="E17:L17"/>
    <mergeCell ref="B5:L5"/>
    <mergeCell ref="B7:L7"/>
    <mergeCell ref="B8:L8"/>
    <mergeCell ref="B9:L9"/>
    <mergeCell ref="B10:L10"/>
    <mergeCell ref="B12:L12"/>
    <mergeCell ref="B25:L25"/>
    <mergeCell ref="B26:G26"/>
    <mergeCell ref="B27:G27"/>
    <mergeCell ref="B19:D19"/>
    <mergeCell ref="E19:L19"/>
    <mergeCell ref="B20:D20"/>
    <mergeCell ref="E20:L20"/>
    <mergeCell ref="F22:H22"/>
    <mergeCell ref="B24:C24"/>
    <mergeCell ref="D24:E24"/>
    <mergeCell ref="F24:G24"/>
    <mergeCell ref="B30:L30"/>
    <mergeCell ref="B31:G31"/>
    <mergeCell ref="I31:J31"/>
    <mergeCell ref="K31:L31"/>
    <mergeCell ref="B32:G32"/>
    <mergeCell ref="I32:J32"/>
    <mergeCell ref="K32:L32"/>
    <mergeCell ref="B28:G28"/>
    <mergeCell ref="B29:G29"/>
    <mergeCell ref="B35:G35"/>
    <mergeCell ref="I35:J35"/>
    <mergeCell ref="K35:L35"/>
    <mergeCell ref="B36:G36"/>
    <mergeCell ref="I36:J36"/>
    <mergeCell ref="K36:L36"/>
    <mergeCell ref="B33:G33"/>
    <mergeCell ref="I33:J33"/>
    <mergeCell ref="K33:L33"/>
    <mergeCell ref="B34:G34"/>
    <mergeCell ref="I34:J34"/>
    <mergeCell ref="K34:L34"/>
    <mergeCell ref="B39:G39"/>
    <mergeCell ref="I39:J39"/>
    <mergeCell ref="K39:L39"/>
    <mergeCell ref="B40:G40"/>
    <mergeCell ref="I40:J40"/>
    <mergeCell ref="K40:L40"/>
    <mergeCell ref="B37:G37"/>
    <mergeCell ref="I37:J37"/>
    <mergeCell ref="K37:L37"/>
    <mergeCell ref="B38:G38"/>
    <mergeCell ref="I38:J38"/>
    <mergeCell ref="K38:L38"/>
    <mergeCell ref="B43:G43"/>
    <mergeCell ref="I43:J43"/>
    <mergeCell ref="K43:L43"/>
    <mergeCell ref="B44:G44"/>
    <mergeCell ref="I44:J44"/>
    <mergeCell ref="K44:L44"/>
    <mergeCell ref="B41:G41"/>
    <mergeCell ref="I41:J41"/>
    <mergeCell ref="K41:L41"/>
    <mergeCell ref="B42:G42"/>
    <mergeCell ref="I42:J42"/>
    <mergeCell ref="K42:L42"/>
    <mergeCell ref="B47:G47"/>
    <mergeCell ref="I47:J47"/>
    <mergeCell ref="K47:L47"/>
    <mergeCell ref="B48:G48"/>
    <mergeCell ref="I48:J48"/>
    <mergeCell ref="K48:L48"/>
    <mergeCell ref="B45:G45"/>
    <mergeCell ref="I45:J45"/>
    <mergeCell ref="K45:L45"/>
    <mergeCell ref="B46:G46"/>
    <mergeCell ref="I46:J46"/>
    <mergeCell ref="K46:L46"/>
    <mergeCell ref="B51:G51"/>
    <mergeCell ref="I51:J51"/>
    <mergeCell ref="K51:L51"/>
    <mergeCell ref="B52:G52"/>
    <mergeCell ref="I52:J52"/>
    <mergeCell ref="K52:L52"/>
    <mergeCell ref="B49:G49"/>
    <mergeCell ref="I49:J49"/>
    <mergeCell ref="K49:L49"/>
    <mergeCell ref="B50:G50"/>
    <mergeCell ref="I50:J50"/>
    <mergeCell ref="K50:L50"/>
    <mergeCell ref="B55:G55"/>
    <mergeCell ref="I55:J55"/>
    <mergeCell ref="K55:L55"/>
    <mergeCell ref="B56:G56"/>
    <mergeCell ref="H56:J56"/>
    <mergeCell ref="K56:L56"/>
    <mergeCell ref="B53:G53"/>
    <mergeCell ref="I53:J53"/>
    <mergeCell ref="K53:L53"/>
    <mergeCell ref="B54:G54"/>
    <mergeCell ref="I54:J54"/>
    <mergeCell ref="K54:L54"/>
    <mergeCell ref="B59:G59"/>
    <mergeCell ref="H59:J59"/>
    <mergeCell ref="K59:L59"/>
    <mergeCell ref="B61:G61"/>
    <mergeCell ref="I61:J61"/>
    <mergeCell ref="K61:L61"/>
    <mergeCell ref="B57:G57"/>
    <mergeCell ref="H57:J57"/>
    <mergeCell ref="K57:L57"/>
    <mergeCell ref="B58:G58"/>
    <mergeCell ref="H58:J58"/>
    <mergeCell ref="K58:L58"/>
    <mergeCell ref="B65:L65"/>
    <mergeCell ref="B66:C66"/>
    <mergeCell ref="D66:L66"/>
    <mergeCell ref="B67:C67"/>
    <mergeCell ref="D67:G67"/>
    <mergeCell ref="H67:L67"/>
    <mergeCell ref="B62:G62"/>
    <mergeCell ref="I62:J62"/>
    <mergeCell ref="K62:L62"/>
    <mergeCell ref="B63:G63"/>
    <mergeCell ref="I63:J63"/>
    <mergeCell ref="K63:L63"/>
    <mergeCell ref="B76:L76"/>
    <mergeCell ref="B77:L77"/>
    <mergeCell ref="B78:L78"/>
    <mergeCell ref="B79:L79"/>
    <mergeCell ref="B80:L80"/>
    <mergeCell ref="C81:D81"/>
    <mergeCell ref="E81:F81"/>
    <mergeCell ref="J81:L81"/>
    <mergeCell ref="B69:L69"/>
    <mergeCell ref="B70:L70"/>
    <mergeCell ref="B71:L71"/>
    <mergeCell ref="B73:L73"/>
    <mergeCell ref="B74:L74"/>
    <mergeCell ref="B75:L75"/>
    <mergeCell ref="C84:D84"/>
    <mergeCell ref="E84:F84"/>
    <mergeCell ref="J84:L84"/>
    <mergeCell ref="C85:D85"/>
    <mergeCell ref="E85:F85"/>
    <mergeCell ref="J85:L85"/>
    <mergeCell ref="C82:D82"/>
    <mergeCell ref="E82:F82"/>
    <mergeCell ref="J82:L82"/>
    <mergeCell ref="C83:D83"/>
    <mergeCell ref="E83:F83"/>
    <mergeCell ref="J83:L83"/>
    <mergeCell ref="B88:L88"/>
    <mergeCell ref="B89:L89"/>
    <mergeCell ref="C90:D90"/>
    <mergeCell ref="E90:F90"/>
    <mergeCell ref="J90:L90"/>
    <mergeCell ref="C91:D91"/>
    <mergeCell ref="E91:F91"/>
    <mergeCell ref="J91:L91"/>
    <mergeCell ref="C86:D86"/>
    <mergeCell ref="E86:F86"/>
    <mergeCell ref="J86:L86"/>
    <mergeCell ref="C87:D87"/>
    <mergeCell ref="E87:F87"/>
    <mergeCell ref="J87:L87"/>
    <mergeCell ref="C94:D94"/>
    <mergeCell ref="E94:F94"/>
    <mergeCell ref="J94:L94"/>
    <mergeCell ref="C95:D95"/>
    <mergeCell ref="E95:F95"/>
    <mergeCell ref="J95:L95"/>
    <mergeCell ref="C92:D92"/>
    <mergeCell ref="E92:F92"/>
    <mergeCell ref="J92:L92"/>
    <mergeCell ref="C93:D93"/>
    <mergeCell ref="E93:F93"/>
    <mergeCell ref="J93:L93"/>
    <mergeCell ref="C103:D103"/>
    <mergeCell ref="E103:F103"/>
    <mergeCell ref="J103:L103"/>
    <mergeCell ref="B104:L104"/>
    <mergeCell ref="B105:L105"/>
    <mergeCell ref="I24:L24"/>
    <mergeCell ref="I26:L26"/>
    <mergeCell ref="I27:L27"/>
    <mergeCell ref="I28:L28"/>
    <mergeCell ref="I29:L29"/>
    <mergeCell ref="C101:D101"/>
    <mergeCell ref="E101:F101"/>
    <mergeCell ref="J101:L101"/>
    <mergeCell ref="C102:D102"/>
    <mergeCell ref="E102:F102"/>
    <mergeCell ref="J102:L102"/>
    <mergeCell ref="C96:D96"/>
    <mergeCell ref="E96:F96"/>
    <mergeCell ref="J96:L96"/>
    <mergeCell ref="B98:L98"/>
    <mergeCell ref="B99:L99"/>
    <mergeCell ref="C100:D100"/>
    <mergeCell ref="E100:F100"/>
    <mergeCell ref="J100:L100"/>
  </mergeCells>
  <conditionalFormatting sqref="B14:E14">
    <cfRule type="expression" dxfId="8" priority="4">
      <formula>LEN($B$14)=0</formula>
    </cfRule>
  </conditionalFormatting>
  <conditionalFormatting sqref="B7:L7">
    <cfRule type="expression" dxfId="7" priority="6">
      <formula>LEN($B$7)=0</formula>
    </cfRule>
  </conditionalFormatting>
  <conditionalFormatting sqref="B9:L9">
    <cfRule type="expression" dxfId="6" priority="5">
      <formula>LEN($B$9)=0</formula>
    </cfRule>
  </conditionalFormatting>
  <conditionalFormatting sqref="C22:L22">
    <cfRule type="expression" dxfId="5" priority="7">
      <formula>NOT(Лекторат)</formula>
    </cfRule>
  </conditionalFormatting>
  <conditionalFormatting sqref="E19:L19">
    <cfRule type="expression" dxfId="4" priority="2">
      <formula>LEN($E$19)=0</formula>
    </cfRule>
  </conditionalFormatting>
  <conditionalFormatting sqref="F14:L14">
    <cfRule type="expression" dxfId="3" priority="3">
      <formula>LEN($F$14)=0</formula>
    </cfRule>
  </conditionalFormatting>
  <conditionalFormatting sqref="H32:I42">
    <cfRule type="expression" dxfId="2" priority="1">
      <formula>N(H32)&gt;0</formula>
    </cfRule>
  </conditionalFormatting>
  <conditionalFormatting sqref="J22">
    <cfRule type="expression" dxfId="1" priority="9">
      <formula>AND(NOT(nGetLogData1),nGetLenData1&gt;0)</formula>
    </cfRule>
  </conditionalFormatting>
  <conditionalFormatting sqref="L22">
    <cfRule type="expression" dxfId="0" priority="8">
      <formula>AND(NOT(nGetLogData2),nGetLenData2&gt;0)</formula>
    </cfRule>
  </conditionalFormatting>
  <dataValidations count="4">
    <dataValidation allowBlank="1" showInputMessage="1" showErrorMessage="1" promptTitle="Попълване на избраното поле!" prompt="Въведете цялото наименование на катедрата." sqref="B9:L9" xr:uid="{69828949-3A67-4210-8BAA-6AC987056B50}"/>
    <dataValidation allowBlank="1" showInputMessage="1" showErrorMessage="1" promptTitle="Попълване на избраното поле!" prompt="Въведете само вашите три имена (име, презиме и фамилия) без академична длъжност и научна степен._x000a__x000a_Всички допълнителни пояснения и уточнения се попълват в полето &quot;Допълнителна забележка, ....&quot;." sqref="F14:L14" xr:uid="{697AEC50-97B4-426F-9417-70DD817B7A5F}"/>
    <dataValidation allowBlank="1" showInputMessage="1" showErrorMessage="1" promptTitle="Формат за въвеждане на дата" prompt="дд.мм.гггг_x000a_Пример: 01.09.2020_x000a_" sqref="L22" xr:uid="{CC4766C0-C2B1-477D-BFE3-D2AB925C831E}"/>
    <dataValidation type="textLength" allowBlank="1" showInputMessage="1" showErrorMessage="1" promptTitle="Формат за въвеждане на дата" prompt="дд.мм.гггг_x000a_Пример: 01.09.2019" sqref="J22" xr:uid="{EB07F399-B943-4461-945B-8CFDA73BFF0D}">
      <formula1>0</formula1>
      <formula2>10</formula2>
    </dataValidation>
  </dataValidations>
  <hyperlinks>
    <hyperlink ref="E3" location="BMHomeTotal" display="Общо" xr:uid="{FAD820A0-602F-4459-BC59-3620A6AEBA7D}"/>
    <hyperlink ref="D3" location="IPBMD" display="Начало" xr:uid="{7991FEB7-B0F3-4EC3-8A4D-FF5FB60740EF}"/>
    <hyperlink ref="E4:F4" location="'1. Отчет'!B72" display="Общи положения" xr:uid="{A3F0C51C-E197-4BFE-801E-959D04DF7E23}"/>
    <hyperlink ref="H3" location="'2. ОКС &quot;бакалавър&quot;'!N24" tooltip="ОКС &quot;бакалавър&quot;" display="ОКС &quot;бакалавър&quot;" xr:uid="{B8057B81-EF7A-4B14-A8D4-6CC5002F83EB}"/>
    <hyperlink ref="I3" location="ONSDr" display="ОНС &quot;доктор&quot;" xr:uid="{239BD78E-6C62-4878-89A1-1B9010E1919E}"/>
    <hyperlink ref="L3" r:id="rId1" xr:uid="{4CED59CB-D93F-4845-88CB-06B997B97CBC}"/>
    <hyperlink ref="H4" location="'3. ОКС &quot;магистър&quot;'!N24" tooltip="ОКС &quot;магистър&quot;" display="ОКС &quot;магистър&quot;" xr:uid="{DC0D0FC3-8141-4C3E-9BF1-8611FCB242E2}"/>
    <hyperlink ref="I3:J3" location="'4. ОНС &quot;доктор&quot;'!B21" tooltip="ОНС &quot;доктор&quot;" display="ОНС &quot;доктор&quot;" xr:uid="{D3EB5212-C033-4C4D-A0BD-9E26F860AFB4}"/>
    <hyperlink ref="I4:J4" location="'5. Подготовка на курс'!B23" tooltip="Подготовка на курс" display="Подготовка на курс" xr:uid="{8B40178D-6F43-43F5-BF26-325DA4EC2FD7}"/>
    <hyperlink ref="L3:L4" r:id="rId2" tooltip="ipio@uni-sofia.bg" display="Помощ" xr:uid="{D1A48E8F-0300-4A07-B11A-C6F916230A95}"/>
    <hyperlink ref="E3:F3" location="'1. Отчет'!B54" display="Общо" xr:uid="{F73217EB-344C-4DB7-8A80-D45E7DC9ED51}"/>
    <hyperlink ref="D3:D4" location="'1. Отчет'!B14" tooltip="Начало" display="Начало" xr:uid="{3796EAF8-AAEF-424F-98E3-34F609335D61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portrait" r:id="rId3"/>
  <headerFooter>
    <oddFooter xml:space="preserve">&amp;L&amp;"-,Bold"Преподавател: &amp;"-,Regular"............................
&amp;D&amp;C&amp;"-,Bold"Ръководител катедра:&amp;"-,Regular" ............................
&amp;R&amp;"-,Bold"Декан:&amp;"-,Regular" ............................
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6" name="Check Box 1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9525</xdr:rowOff>
                  </from>
                  <to>
                    <xdr:col>1</xdr:col>
                    <xdr:colOff>295275</xdr:colOff>
                    <xdr:row>21</xdr:row>
                    <xdr:rowOff>228600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Попълване на избраното поле!" prompt="Изберете заеманата академична длъжност в СУ без научна степен." xr:uid="{C8098E9F-9EF5-434C-B8CF-59F60674E07C}">
          <x14:formula1>
            <xm:f>ПЕРИОД!$F$48:$F$57</xm:f>
          </x14:formula1>
          <xm:sqref>B14:E14</xm:sqref>
        </x14:dataValidation>
        <x14:dataValidation type="list" allowBlank="1" showInputMessage="1" showErrorMessage="1" xr:uid="{80C838F4-50E1-4079-967D-BE6AF1C37BBB}">
          <x14:formula1>
            <xm:f>list!$A$82:$A$87</xm:f>
          </x14:formula1>
          <xm:sqref>E19:L19</xm:sqref>
        </x14:dataValidation>
        <x14:dataValidation type="list" allowBlank="1" showInputMessage="1" showErrorMessage="1" xr:uid="{A9915C68-5C5E-403C-A2B4-2EEDA4D72B7D}">
          <x14:formula1>
            <xm:f>list!$A$2:$A$21</xm:f>
          </x14:formula1>
          <xm:sqref>B7:L7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rgb="FFFF5050"/>
  </sheetPr>
  <dimension ref="C2:R112"/>
  <sheetViews>
    <sheetView workbookViewId="0"/>
  </sheetViews>
  <sheetFormatPr defaultRowHeight="15" x14ac:dyDescent="0.25"/>
  <cols>
    <col min="1" max="2" width="2.42578125" customWidth="1"/>
    <col min="3" max="3" width="26.85546875" bestFit="1" customWidth="1"/>
    <col min="4" max="4" width="58.42578125" bestFit="1" customWidth="1"/>
    <col min="5" max="5" width="11" customWidth="1"/>
    <col min="6" max="6" width="33.140625" bestFit="1" customWidth="1"/>
    <col min="7" max="7" width="35.7109375" bestFit="1" customWidth="1"/>
    <col min="8" max="8" width="24.42578125" customWidth="1"/>
    <col min="9" max="9" width="16.42578125" bestFit="1" customWidth="1"/>
    <col min="10" max="10" width="6.140625" customWidth="1"/>
    <col min="11" max="11" width="16.85546875" customWidth="1"/>
    <col min="12" max="12" width="6" customWidth="1"/>
    <col min="13" max="13" width="12.140625" customWidth="1"/>
    <col min="14" max="14" width="47.5703125" customWidth="1"/>
    <col min="15" max="15" width="32.140625" bestFit="1" customWidth="1"/>
    <col min="16" max="16" width="14" bestFit="1" customWidth="1"/>
    <col min="17" max="17" width="15.140625" bestFit="1" customWidth="1"/>
    <col min="18" max="18" width="24.42578125" bestFit="1" customWidth="1"/>
  </cols>
  <sheetData>
    <row r="2" spans="3:18" x14ac:dyDescent="0.25">
      <c r="C2" s="394" t="s">
        <v>577</v>
      </c>
      <c r="D2" s="395">
        <v>44606</v>
      </c>
      <c r="G2" s="63" t="s">
        <v>465</v>
      </c>
      <c r="H2" s="63"/>
      <c r="I2" s="63"/>
      <c r="K2" t="s">
        <v>461</v>
      </c>
    </row>
    <row r="3" spans="3:18" x14ac:dyDescent="0.25">
      <c r="G3" s="63" t="s">
        <v>435</v>
      </c>
      <c r="H3" s="63" t="s">
        <v>406</v>
      </c>
      <c r="I3" s="63" t="s">
        <v>407</v>
      </c>
      <c r="K3" t="s">
        <v>436</v>
      </c>
      <c r="M3" t="s">
        <v>135</v>
      </c>
      <c r="N3" t="s">
        <v>441</v>
      </c>
      <c r="O3" t="s">
        <v>18</v>
      </c>
      <c r="P3" t="s">
        <v>439</v>
      </c>
      <c r="Q3" t="s">
        <v>639</v>
      </c>
      <c r="R3" t="s">
        <v>440</v>
      </c>
    </row>
    <row r="4" spans="3:18" x14ac:dyDescent="0.25">
      <c r="G4" s="172" t="s">
        <v>147</v>
      </c>
      <c r="H4" s="172" t="str">
        <f>G4</f>
        <v>зимен</v>
      </c>
      <c r="I4" s="172" t="str">
        <f>G5</f>
        <v>летен</v>
      </c>
      <c r="K4" s="91" t="s">
        <v>7820</v>
      </c>
      <c r="M4" t="s">
        <v>438</v>
      </c>
      <c r="N4" t="str">
        <f>T(O4)&amp;" / "&amp;T(P4)&amp;" / "&amp;IFERROR(VLOOKUP(T_Семестри[[#This Row],[Акад. длъжн]],T_АкадДлъж1[[Академична длъжност в СУ]:[акад. длъж]],2,0),T_Семестри[[#This Row],[Акад. длъжн]])&amp;" "&amp;T(R4)</f>
        <v>Факултет / катедра / акад. длъж.,  Преподавател</v>
      </c>
      <c r="O4" t="str">
        <f>IF('1. План'!$B$7&lt;&gt;0,'1. План'!$B$7,"Факултет")</f>
        <v>Факултет</v>
      </c>
      <c r="P4" t="str">
        <f>IF('1. План'!$B$9&lt;&gt;0,'1. План'!$B$9,"катедра")</f>
        <v>катедра</v>
      </c>
      <c r="Q4" t="str">
        <f>IF('1. План'!B$14&lt;&gt;0,'1. План'!B$14,"акад. длъж., ")</f>
        <v xml:space="preserve">акад. длъж., </v>
      </c>
      <c r="R4" t="str">
        <f>IF('1. План'!$F$14=0,"Преподавател",'1. План'!$F$14)</f>
        <v>Преподавател</v>
      </c>
    </row>
    <row r="5" spans="3:18" x14ac:dyDescent="0.25">
      <c r="C5" s="164" t="s">
        <v>4554</v>
      </c>
      <c r="D5" s="1540" t="s">
        <v>707</v>
      </c>
      <c r="G5" s="172" t="s">
        <v>148</v>
      </c>
      <c r="K5" s="91" t="s">
        <v>7819</v>
      </c>
      <c r="M5" t="s">
        <v>406</v>
      </c>
      <c r="N5" t="str">
        <f>T(O5)&amp;" / "&amp;T(P5)&amp;" / "&amp;IFERROR(VLOOKUP(T_Семестри[[#This Row],[Акад. длъжн]],T_АкадДлъж1[[Академична длъжност в СУ]:[акад. длъж]],2,0),T_Семестри[[#This Row],[Акад. длъжн]])&amp;" "&amp;T(R5)</f>
        <v>Факултет / катедра / акад. длъж.,  Преподавател</v>
      </c>
      <c r="O5" t="str">
        <f>IF('1. Отчет'!$B$7&lt;&gt;"",'1. Отчет'!$B$7,"Факултет")</f>
        <v>Факултет</v>
      </c>
      <c r="P5" t="str">
        <f>IF('1. Отчет'!B9&lt;&gt;0,'1. Отчет'!B9,"катедра")</f>
        <v>катедра</v>
      </c>
      <c r="Q5" t="str">
        <f>IF('1. Отчет'!$B$14&lt;&gt;0,'1. Отчет'!$B$14,"акад. длъж., ")</f>
        <v xml:space="preserve">акад. длъж., </v>
      </c>
      <c r="R5" t="str">
        <f>IF('1. Отчет'!$F$14=0,"Преподавател",'1. Отчет'!F$14)</f>
        <v>Преподавател</v>
      </c>
    </row>
    <row r="6" spans="3:18" x14ac:dyDescent="0.25">
      <c r="K6" s="91" t="s">
        <v>7818</v>
      </c>
      <c r="M6" t="s">
        <v>407</v>
      </c>
      <c r="N6" t="str">
        <f>T(O6)&amp;" / "&amp;T(P6)&amp;" / "&amp;IFERROR(VLOOKUP(T_Семестри[[#This Row],[Акад. длъжн]],T_АкадДлъж1[[Академична длъжност в СУ]:[акад. длъж]],2,0),T_Семестри[[#This Row],[Акад. длъжн]])&amp;" "&amp;T(R6)</f>
        <v>Факултет / катедра / акад. длъж.,  Преподавател</v>
      </c>
      <c r="O6" t="str">
        <f>IF('1. Отчет'!$B$7&lt;&gt;"",'1. Отчет'!$B$7,"Факултет")</f>
        <v>Факултет</v>
      </c>
      <c r="P6" t="str">
        <f>P5</f>
        <v>катедра</v>
      </c>
      <c r="Q6" t="str">
        <f>IF('1. Отчет'!$B$14&lt;&gt;0,'1. Отчет'!$B$14,"акад. длъж., ")</f>
        <v xml:space="preserve">акад. длъж., </v>
      </c>
      <c r="R6" t="str">
        <f>IF('1. Отчет'!$F$14=0,"Преподавател",'1. Отчет'!F$14)</f>
        <v>Преподавател</v>
      </c>
    </row>
    <row r="7" spans="3:18" x14ac:dyDescent="0.25">
      <c r="C7" s="164" t="s">
        <v>2811</v>
      </c>
      <c r="D7" s="169" t="s">
        <v>4553</v>
      </c>
      <c r="G7" s="165" t="s">
        <v>135</v>
      </c>
      <c r="K7" s="91" t="s">
        <v>724</v>
      </c>
      <c r="M7" t="s">
        <v>435</v>
      </c>
      <c r="N7" t="str">
        <f>T(O7)&amp;" / "&amp;T(P7)&amp;" / "&amp;IFERROR(VLOOKUP(T_Семестри[[#This Row],[Акад. длъжн]],T_АкадДлъж1[[Академична длъжност в СУ]:[акад. длъж]],2,0),T_Семестри[[#This Row],[Акад. длъжн]])&amp;" "&amp;T(R7)</f>
        <v>Факултет / катедра / акад. длъж.,  Преподавател</v>
      </c>
      <c r="O7" t="str">
        <f>IF('1. Отчет'!$B$7&lt;&gt;"",'1. Отчет'!$B$7,"Факултет")</f>
        <v>Факултет</v>
      </c>
      <c r="P7" t="str">
        <f>P6</f>
        <v>катедра</v>
      </c>
      <c r="Q7" t="str">
        <f>IF('1. Отчет'!$B$14&lt;&gt;0,'1. Отчет'!$B$14,"акад. длъж., ")</f>
        <v xml:space="preserve">акад. длъж., </v>
      </c>
      <c r="R7" t="str">
        <f>IF('1. Отчет'!$F$14=0,"Преподавател",'1. Отчет'!F$14)</f>
        <v>Преподавател</v>
      </c>
    </row>
    <row r="8" spans="3:18" x14ac:dyDescent="0.25">
      <c r="G8" s="166" t="s">
        <v>438</v>
      </c>
      <c r="H8" t="s">
        <v>454</v>
      </c>
      <c r="I8" t="s">
        <v>507</v>
      </c>
      <c r="K8" s="91" t="s">
        <v>723</v>
      </c>
    </row>
    <row r="9" spans="3:18" x14ac:dyDescent="0.25">
      <c r="C9" s="164" t="s">
        <v>431</v>
      </c>
      <c r="D9" s="169" t="s">
        <v>7819</v>
      </c>
      <c r="G9" s="167" t="s">
        <v>406</v>
      </c>
      <c r="H9" t="s">
        <v>456</v>
      </c>
      <c r="I9" t="s">
        <v>508</v>
      </c>
      <c r="K9" s="91" t="s">
        <v>722</v>
      </c>
    </row>
    <row r="10" spans="3:18" x14ac:dyDescent="0.25">
      <c r="C10" s="164" t="s">
        <v>434</v>
      </c>
      <c r="D10" s="169" t="s">
        <v>435</v>
      </c>
      <c r="G10" s="166" t="s">
        <v>407</v>
      </c>
      <c r="H10" t="s">
        <v>457</v>
      </c>
      <c r="I10" t="s">
        <v>509</v>
      </c>
      <c r="K10" s="91" t="s">
        <v>437</v>
      </c>
    </row>
    <row r="11" spans="3:18" x14ac:dyDescent="0.25">
      <c r="G11" s="167" t="s">
        <v>435</v>
      </c>
      <c r="H11" t="s">
        <v>454</v>
      </c>
      <c r="I11" t="s">
        <v>510</v>
      </c>
      <c r="K11" s="91" t="s">
        <v>292</v>
      </c>
    </row>
    <row r="12" spans="3:18" ht="30.75" customHeight="1" x14ac:dyDescent="0.25">
      <c r="C12" s="168" t="s">
        <v>441</v>
      </c>
      <c r="D12" s="170" t="str">
        <f>VLOOKUP(D10,T_Семестри[#Data],2,0)</f>
        <v>Факултет / катедра / акад. длъж.,  Преподавател</v>
      </c>
    </row>
    <row r="13" spans="3:18" ht="30.75" customHeight="1" x14ac:dyDescent="0.25">
      <c r="C13" s="168" t="s">
        <v>18</v>
      </c>
      <c r="D13" s="170" t="str">
        <f>IF(E13&lt;&gt;0,E13,"")</f>
        <v>Факултет</v>
      </c>
      <c r="E13" t="str">
        <f>VLOOKUP(D10,T_Семестри[#Data],3,0)</f>
        <v>Факултет</v>
      </c>
      <c r="L13" s="286"/>
    </row>
    <row r="14" spans="3:18" x14ac:dyDescent="0.25">
      <c r="C14" s="168" t="s">
        <v>455</v>
      </c>
      <c r="D14" s="171" t="str">
        <f>VLOOKUP(D10,G8:H11,2,0)</f>
        <v>nЗименЛетен</v>
      </c>
    </row>
    <row r="15" spans="3:18" x14ac:dyDescent="0.25">
      <c r="C15" s="168" t="s">
        <v>458</v>
      </c>
      <c r="D15" s="171">
        <f t="array" ref="D15">SUM(ROW(1:4)*(G8:G11=D10))</f>
        <v>4</v>
      </c>
    </row>
    <row r="16" spans="3:18" ht="30" x14ac:dyDescent="0.25">
      <c r="C16" s="168" t="s">
        <v>459</v>
      </c>
      <c r="D16" s="171" t="str">
        <f>CHOOSE(D15,"--",G16,H16,I16)</f>
        <v>СЕПТЕМВРИЙСКА
СЕСИЯ</v>
      </c>
      <c r="G16" s="712" t="s">
        <v>460</v>
      </c>
      <c r="H16" s="712" t="s">
        <v>325</v>
      </c>
      <c r="I16" s="712" t="s">
        <v>512</v>
      </c>
    </row>
    <row r="17" spans="3:13" x14ac:dyDescent="0.25">
      <c r="C17" s="168" t="s">
        <v>503</v>
      </c>
      <c r="D17" s="171" t="str">
        <f>"Индивидуален "&amp;IF(D10="План","план","отчет")</f>
        <v>Индивидуален отчет</v>
      </c>
      <c r="K17">
        <v>1</v>
      </c>
      <c r="L17">
        <v>5</v>
      </c>
      <c r="M17">
        <v>5</v>
      </c>
    </row>
    <row r="18" spans="3:13" x14ac:dyDescent="0.25">
      <c r="K18">
        <v>1</v>
      </c>
      <c r="L18">
        <v>6</v>
      </c>
      <c r="M18">
        <v>5</v>
      </c>
    </row>
    <row r="19" spans="3:13" x14ac:dyDescent="0.25">
      <c r="D19" s="171" t="str">
        <f>"Бланка-"&amp;D20&amp;"-"&amp;D21&amp;"-"&amp;D17</f>
        <v>Бланка-2024-2025-IO-3-SU-Индивидуален отчет</v>
      </c>
      <c r="F19" s="63" t="s">
        <v>438</v>
      </c>
      <c r="K19">
        <v>1</v>
      </c>
      <c r="L19">
        <v>5</v>
      </c>
      <c r="M19">
        <v>5</v>
      </c>
    </row>
    <row r="20" spans="3:13" x14ac:dyDescent="0.25">
      <c r="D20" t="str">
        <f>VALUE(LEFT(Учебна_година,4))&amp;"-"&amp;VALUE(LEFT(Учебна_година,4))+1</f>
        <v>2024-2025</v>
      </c>
      <c r="E20">
        <v>1</v>
      </c>
      <c r="F20" t="s">
        <v>504</v>
      </c>
      <c r="K20">
        <v>1</v>
      </c>
      <c r="L20">
        <v>56</v>
      </c>
      <c r="M20">
        <v>6</v>
      </c>
    </row>
    <row r="21" spans="3:13" x14ac:dyDescent="0.25">
      <c r="D21" t="str">
        <f>VLOOKUP(Семестър,$G$8:$I$11,3,0)</f>
        <v>IO-3-SU</v>
      </c>
      <c r="E21">
        <v>2</v>
      </c>
      <c r="F21" t="s">
        <v>442</v>
      </c>
      <c r="K21">
        <v>1</v>
      </c>
      <c r="L21">
        <v>6</v>
      </c>
      <c r="M21">
        <v>5</v>
      </c>
    </row>
    <row r="22" spans="3:13" x14ac:dyDescent="0.25">
      <c r="E22">
        <v>3</v>
      </c>
      <c r="F22" t="s">
        <v>443</v>
      </c>
      <c r="K22">
        <v>1</v>
      </c>
      <c r="L22">
        <v>5</v>
      </c>
      <c r="M22">
        <v>6</v>
      </c>
    </row>
    <row r="23" spans="3:13" x14ac:dyDescent="0.25">
      <c r="E23">
        <v>4</v>
      </c>
      <c r="F23" t="s">
        <v>444</v>
      </c>
      <c r="K23">
        <v>2</v>
      </c>
      <c r="L23">
        <v>5</v>
      </c>
      <c r="M23">
        <v>7</v>
      </c>
    </row>
    <row r="24" spans="3:13" x14ac:dyDescent="0.25">
      <c r="E24">
        <v>5</v>
      </c>
      <c r="F24" t="s">
        <v>445</v>
      </c>
      <c r="K24">
        <v>3</v>
      </c>
      <c r="L24">
        <v>65</v>
      </c>
      <c r="M24">
        <v>56</v>
      </c>
    </row>
    <row r="25" spans="3:13" x14ac:dyDescent="0.25">
      <c r="K25">
        <v>4</v>
      </c>
      <c r="L25">
        <v>6</v>
      </c>
      <c r="M25">
        <v>756</v>
      </c>
    </row>
    <row r="26" spans="3:13" x14ac:dyDescent="0.25">
      <c r="F26" s="63" t="s">
        <v>406</v>
      </c>
      <c r="G26" s="411" t="s">
        <v>634</v>
      </c>
      <c r="H26" s="411" t="s">
        <v>636</v>
      </c>
    </row>
    <row r="27" spans="3:13" ht="15.75" x14ac:dyDescent="0.25">
      <c r="D27" s="538" t="s">
        <v>677</v>
      </c>
      <c r="E27">
        <v>1</v>
      </c>
      <c r="F27" t="s">
        <v>504</v>
      </c>
    </row>
    <row r="28" spans="3:13" x14ac:dyDescent="0.25">
      <c r="D28" t="str">
        <f>D20&amp;D21&amp;"-Факултет-Катедра-Име_Презиме_Фамилия"</f>
        <v>2024-2025IO-3-SU-Факултет-Катедра-Име_Презиме_Фамилия</v>
      </c>
      <c r="E28">
        <v>2</v>
      </c>
      <c r="F28" t="s">
        <v>446</v>
      </c>
      <c r="G28" t="s">
        <v>637</v>
      </c>
      <c r="H28" t="s">
        <v>635</v>
      </c>
    </row>
    <row r="29" spans="3:13" x14ac:dyDescent="0.25">
      <c r="E29">
        <v>3</v>
      </c>
      <c r="F29" t="s">
        <v>447</v>
      </c>
      <c r="G29" t="s">
        <v>637</v>
      </c>
      <c r="H29" t="s">
        <v>635</v>
      </c>
    </row>
    <row r="30" spans="3:13" x14ac:dyDescent="0.25">
      <c r="E30">
        <v>4</v>
      </c>
      <c r="F30" t="s">
        <v>448</v>
      </c>
    </row>
    <row r="31" spans="3:13" x14ac:dyDescent="0.25">
      <c r="E31">
        <v>5</v>
      </c>
      <c r="F31" t="s">
        <v>449</v>
      </c>
    </row>
    <row r="33" spans="4:8" x14ac:dyDescent="0.25">
      <c r="D33" t="s">
        <v>689</v>
      </c>
      <c r="F33" s="63" t="s">
        <v>407</v>
      </c>
      <c r="G33" s="411" t="s">
        <v>634</v>
      </c>
      <c r="H33" s="411" t="s">
        <v>636</v>
      </c>
    </row>
    <row r="34" spans="4:8" x14ac:dyDescent="0.25">
      <c r="D34" t="s">
        <v>721</v>
      </c>
      <c r="E34">
        <v>1</v>
      </c>
      <c r="F34" t="s">
        <v>504</v>
      </c>
    </row>
    <row r="35" spans="4:8" x14ac:dyDescent="0.25">
      <c r="D35" t="s">
        <v>684</v>
      </c>
      <c r="E35">
        <v>2</v>
      </c>
      <c r="F35" t="s">
        <v>450</v>
      </c>
      <c r="G35" t="s">
        <v>635</v>
      </c>
      <c r="H35" t="s">
        <v>637</v>
      </c>
    </row>
    <row r="36" spans="4:8" x14ac:dyDescent="0.25">
      <c r="D36" t="s">
        <v>685</v>
      </c>
      <c r="E36">
        <v>3</v>
      </c>
      <c r="F36" t="s">
        <v>451</v>
      </c>
      <c r="G36" t="s">
        <v>635</v>
      </c>
      <c r="H36" t="s">
        <v>637</v>
      </c>
    </row>
    <row r="37" spans="4:8" x14ac:dyDescent="0.25">
      <c r="D37" t="s">
        <v>686</v>
      </c>
      <c r="E37">
        <v>4</v>
      </c>
      <c r="F37" t="s">
        <v>452</v>
      </c>
    </row>
    <row r="38" spans="4:8" x14ac:dyDescent="0.25">
      <c r="D38" t="s">
        <v>687</v>
      </c>
      <c r="E38">
        <v>5</v>
      </c>
      <c r="F38" t="s">
        <v>453</v>
      </c>
    </row>
    <row r="39" spans="4:8" x14ac:dyDescent="0.25">
      <c r="D39" t="s">
        <v>688</v>
      </c>
    </row>
    <row r="40" spans="4:8" x14ac:dyDescent="0.25">
      <c r="F40" s="63" t="s">
        <v>435</v>
      </c>
      <c r="G40" s="411" t="s">
        <v>634</v>
      </c>
      <c r="H40" s="411" t="s">
        <v>636</v>
      </c>
    </row>
    <row r="41" spans="4:8" x14ac:dyDescent="0.25">
      <c r="E41">
        <v>1</v>
      </c>
      <c r="F41" t="s">
        <v>504</v>
      </c>
    </row>
    <row r="42" spans="4:8" x14ac:dyDescent="0.25">
      <c r="E42" s="64">
        <v>2</v>
      </c>
      <c r="F42" s="64" t="s">
        <v>442</v>
      </c>
      <c r="G42" s="442" t="s">
        <v>638</v>
      </c>
    </row>
    <row r="43" spans="4:8" x14ac:dyDescent="0.25">
      <c r="E43" s="64">
        <v>3</v>
      </c>
      <c r="F43" s="64" t="s">
        <v>443</v>
      </c>
      <c r="G43" s="442" t="s">
        <v>638</v>
      </c>
    </row>
    <row r="44" spans="4:8" x14ac:dyDescent="0.25">
      <c r="E44">
        <v>4</v>
      </c>
      <c r="F44" s="64" t="s">
        <v>444</v>
      </c>
    </row>
    <row r="47" spans="4:8" x14ac:dyDescent="0.25">
      <c r="E47" t="s">
        <v>573</v>
      </c>
      <c r="F47" t="s">
        <v>601</v>
      </c>
      <c r="G47" t="s">
        <v>602</v>
      </c>
    </row>
    <row r="48" spans="4:8" x14ac:dyDescent="0.25">
      <c r="E48" s="15">
        <v>1</v>
      </c>
      <c r="F48" t="s">
        <v>596</v>
      </c>
      <c r="G48" t="s">
        <v>603</v>
      </c>
    </row>
    <row r="49" spans="3:9" x14ac:dyDescent="0.25">
      <c r="E49" s="15">
        <v>2</v>
      </c>
      <c r="F49" t="s">
        <v>597</v>
      </c>
      <c r="G49" t="s">
        <v>604</v>
      </c>
    </row>
    <row r="50" spans="3:9" x14ac:dyDescent="0.25">
      <c r="E50" s="15">
        <v>3</v>
      </c>
      <c r="F50" t="s">
        <v>598</v>
      </c>
      <c r="G50" t="s">
        <v>605</v>
      </c>
    </row>
    <row r="51" spans="3:9" x14ac:dyDescent="0.25">
      <c r="E51" s="15">
        <v>4</v>
      </c>
      <c r="F51" t="s">
        <v>599</v>
      </c>
      <c r="G51" t="s">
        <v>606</v>
      </c>
    </row>
    <row r="52" spans="3:9" x14ac:dyDescent="0.25">
      <c r="E52" s="15">
        <v>5</v>
      </c>
      <c r="F52" t="s">
        <v>608</v>
      </c>
      <c r="G52" t="s">
        <v>609</v>
      </c>
    </row>
    <row r="53" spans="3:9" x14ac:dyDescent="0.25">
      <c r="E53" s="15">
        <v>6</v>
      </c>
      <c r="F53" t="s">
        <v>600</v>
      </c>
      <c r="G53" t="s">
        <v>607</v>
      </c>
    </row>
    <row r="54" spans="3:9" x14ac:dyDescent="0.25">
      <c r="E54" s="15">
        <v>7</v>
      </c>
      <c r="F54" t="s">
        <v>788</v>
      </c>
      <c r="G54" t="s">
        <v>610</v>
      </c>
    </row>
    <row r="55" spans="3:9" x14ac:dyDescent="0.25">
      <c r="E55" s="15">
        <v>8</v>
      </c>
      <c r="F55" t="s">
        <v>789</v>
      </c>
      <c r="G55" t="s">
        <v>611</v>
      </c>
    </row>
    <row r="56" spans="3:9" x14ac:dyDescent="0.25">
      <c r="E56" s="15">
        <v>9</v>
      </c>
      <c r="F56" t="s">
        <v>790</v>
      </c>
      <c r="G56" t="s">
        <v>612</v>
      </c>
    </row>
    <row r="57" spans="3:9" x14ac:dyDescent="0.25">
      <c r="E57" s="15">
        <v>10</v>
      </c>
      <c r="F57" t="s">
        <v>791</v>
      </c>
      <c r="G57" t="s">
        <v>613</v>
      </c>
    </row>
    <row r="59" spans="3:9" x14ac:dyDescent="0.25">
      <c r="D59" s="15" t="s">
        <v>135</v>
      </c>
      <c r="E59" s="15" t="s">
        <v>709</v>
      </c>
      <c r="F59" s="15" t="s">
        <v>719</v>
      </c>
      <c r="G59" t="s">
        <v>720</v>
      </c>
      <c r="H59" t="s">
        <v>718</v>
      </c>
      <c r="I59" t="s">
        <v>2827</v>
      </c>
    </row>
    <row r="60" spans="3:9" x14ac:dyDescent="0.25">
      <c r="D60" s="394" t="s">
        <v>706</v>
      </c>
      <c r="E60" s="15" t="s">
        <v>707</v>
      </c>
      <c r="F60" s="15" t="s">
        <v>717</v>
      </c>
      <c r="G60" t="s">
        <v>692</v>
      </c>
      <c r="H60" t="s">
        <v>716</v>
      </c>
      <c r="I60" t="s">
        <v>2828</v>
      </c>
    </row>
    <row r="61" spans="3:9" x14ac:dyDescent="0.25">
      <c r="D61" s="394" t="s">
        <v>706</v>
      </c>
      <c r="E61" s="15" t="s">
        <v>707</v>
      </c>
      <c r="F61" s="15" t="s">
        <v>717</v>
      </c>
      <c r="G61" t="s">
        <v>693</v>
      </c>
      <c r="H61" t="s">
        <v>710</v>
      </c>
      <c r="I61" t="s">
        <v>2828</v>
      </c>
    </row>
    <row r="62" spans="3:9" x14ac:dyDescent="0.25">
      <c r="D62" s="394" t="s">
        <v>706</v>
      </c>
      <c r="E62" s="15" t="s">
        <v>707</v>
      </c>
      <c r="F62" s="15" t="s">
        <v>717</v>
      </c>
      <c r="G62" t="s">
        <v>694</v>
      </c>
      <c r="H62" t="s">
        <v>711</v>
      </c>
      <c r="I62" t="s">
        <v>2828</v>
      </c>
    </row>
    <row r="63" spans="3:9" x14ac:dyDescent="0.25">
      <c r="D63" s="1538" t="s">
        <v>706</v>
      </c>
      <c r="E63" s="1539" t="str">
        <f>shНАЦИД</f>
        <v>h</v>
      </c>
      <c r="F63" s="1539" t="s">
        <v>717</v>
      </c>
      <c r="G63" s="65" t="s">
        <v>4550</v>
      </c>
      <c r="H63" s="65" t="s">
        <v>711</v>
      </c>
      <c r="I63" s="65" t="s">
        <v>2828</v>
      </c>
    </row>
    <row r="64" spans="3:9" x14ac:dyDescent="0.25">
      <c r="C64" s="394"/>
      <c r="D64" s="394" t="s">
        <v>706</v>
      </c>
      <c r="E64" s="15" t="s">
        <v>707</v>
      </c>
      <c r="F64" s="15" t="s">
        <v>717</v>
      </c>
      <c r="G64" t="s">
        <v>695</v>
      </c>
      <c r="H64" t="s">
        <v>712</v>
      </c>
      <c r="I64" t="s">
        <v>2828</v>
      </c>
    </row>
    <row r="65" spans="3:17" x14ac:dyDescent="0.25">
      <c r="C65" s="394"/>
      <c r="D65" s="1538" t="s">
        <v>706</v>
      </c>
      <c r="E65" s="1539" t="str">
        <f>shНАЦИД</f>
        <v>h</v>
      </c>
      <c r="F65" s="1539" t="s">
        <v>717</v>
      </c>
      <c r="G65" s="65" t="s">
        <v>4551</v>
      </c>
      <c r="H65" s="65" t="s">
        <v>712</v>
      </c>
      <c r="I65" s="65" t="s">
        <v>2828</v>
      </c>
    </row>
    <row r="66" spans="3:17" x14ac:dyDescent="0.25">
      <c r="C66" s="394"/>
      <c r="D66" s="394" t="s">
        <v>706</v>
      </c>
      <c r="E66" s="15" t="s">
        <v>707</v>
      </c>
      <c r="F66" s="15" t="s">
        <v>717</v>
      </c>
      <c r="G66" t="s">
        <v>696</v>
      </c>
      <c r="H66" t="s">
        <v>713</v>
      </c>
      <c r="I66" t="s">
        <v>2828</v>
      </c>
    </row>
    <row r="67" spans="3:17" x14ac:dyDescent="0.25">
      <c r="C67" s="394"/>
      <c r="D67" s="394" t="s">
        <v>706</v>
      </c>
      <c r="E67" s="15" t="s">
        <v>707</v>
      </c>
      <c r="F67" s="15" t="s">
        <v>717</v>
      </c>
      <c r="G67" t="s">
        <v>697</v>
      </c>
      <c r="H67" t="s">
        <v>714</v>
      </c>
      <c r="I67" t="s">
        <v>2828</v>
      </c>
    </row>
    <row r="68" spans="3:17" x14ac:dyDescent="0.25">
      <c r="C68" s="394"/>
      <c r="D68" s="394" t="s">
        <v>406</v>
      </c>
      <c r="E68" s="15" t="s">
        <v>707</v>
      </c>
      <c r="F68" s="15" t="s">
        <v>725</v>
      </c>
      <c r="G68" t="s">
        <v>751</v>
      </c>
      <c r="H68" t="s">
        <v>711</v>
      </c>
      <c r="I68" t="s">
        <v>2828</v>
      </c>
    </row>
    <row r="69" spans="3:17" x14ac:dyDescent="0.25">
      <c r="C69" s="394"/>
      <c r="D69" s="394" t="s">
        <v>406</v>
      </c>
      <c r="E69" s="15" t="s">
        <v>708</v>
      </c>
      <c r="F69" s="15" t="s">
        <v>725</v>
      </c>
      <c r="G69" t="s">
        <v>699</v>
      </c>
      <c r="H69" t="s">
        <v>711</v>
      </c>
      <c r="I69" t="s">
        <v>2828</v>
      </c>
    </row>
    <row r="70" spans="3:17" x14ac:dyDescent="0.25">
      <c r="C70" s="394"/>
      <c r="D70" s="394" t="s">
        <v>407</v>
      </c>
      <c r="E70" s="15" t="s">
        <v>707</v>
      </c>
      <c r="F70" s="15" t="s">
        <v>725</v>
      </c>
      <c r="G70" t="s">
        <v>751</v>
      </c>
      <c r="H70" t="s">
        <v>711</v>
      </c>
      <c r="I70" t="s">
        <v>2828</v>
      </c>
    </row>
    <row r="71" spans="3:17" x14ac:dyDescent="0.25">
      <c r="C71" s="394"/>
      <c r="D71" s="394" t="s">
        <v>726</v>
      </c>
      <c r="E71" s="15" t="s">
        <v>708</v>
      </c>
      <c r="F71" s="15" t="s">
        <v>725</v>
      </c>
      <c r="G71" t="s">
        <v>700</v>
      </c>
      <c r="H71" t="s">
        <v>711</v>
      </c>
      <c r="I71" t="s">
        <v>2828</v>
      </c>
    </row>
    <row r="72" spans="3:17" x14ac:dyDescent="0.25">
      <c r="D72" s="394" t="s">
        <v>435</v>
      </c>
      <c r="E72" s="15" t="s">
        <v>707</v>
      </c>
      <c r="F72" s="15" t="s">
        <v>725</v>
      </c>
      <c r="G72" t="s">
        <v>751</v>
      </c>
      <c r="H72" t="s">
        <v>711</v>
      </c>
      <c r="I72" t="s">
        <v>2828</v>
      </c>
    </row>
    <row r="73" spans="3:17" x14ac:dyDescent="0.25">
      <c r="D73" s="394" t="s">
        <v>435</v>
      </c>
      <c r="E73" s="15" t="s">
        <v>708</v>
      </c>
      <c r="F73" s="15" t="s">
        <v>725</v>
      </c>
      <c r="G73" t="s">
        <v>727</v>
      </c>
      <c r="H73" t="s">
        <v>711</v>
      </c>
      <c r="I73" t="s">
        <v>2828</v>
      </c>
    </row>
    <row r="74" spans="3:17" x14ac:dyDescent="0.25">
      <c r="D74" s="394" t="s">
        <v>435</v>
      </c>
      <c r="E74" s="15" t="s">
        <v>707</v>
      </c>
      <c r="F74" s="15" t="s">
        <v>725</v>
      </c>
      <c r="G74" t="s">
        <v>730</v>
      </c>
      <c r="H74" t="s">
        <v>711</v>
      </c>
      <c r="I74" t="s">
        <v>2828</v>
      </c>
    </row>
    <row r="75" spans="3:17" x14ac:dyDescent="0.25">
      <c r="D75" s="394" t="s">
        <v>438</v>
      </c>
      <c r="E75" s="15" t="s">
        <v>708</v>
      </c>
      <c r="F75" s="15" t="s">
        <v>725</v>
      </c>
      <c r="G75" t="s">
        <v>690</v>
      </c>
      <c r="H75" t="s">
        <v>711</v>
      </c>
      <c r="I75" t="s">
        <v>2828</v>
      </c>
    </row>
    <row r="76" spans="3:17" x14ac:dyDescent="0.25">
      <c r="D76" s="394" t="s">
        <v>438</v>
      </c>
      <c r="E76" s="15" t="s">
        <v>707</v>
      </c>
      <c r="F76" s="15" t="s">
        <v>725</v>
      </c>
      <c r="G76" t="s">
        <v>691</v>
      </c>
      <c r="H76" t="s">
        <v>711</v>
      </c>
      <c r="I76" t="s">
        <v>2828</v>
      </c>
    </row>
    <row r="77" spans="3:17" x14ac:dyDescent="0.25">
      <c r="D77" s="394" t="s">
        <v>706</v>
      </c>
      <c r="E77" s="15" t="s">
        <v>707</v>
      </c>
      <c r="F77" s="15" t="s">
        <v>725</v>
      </c>
      <c r="G77" t="s">
        <v>698</v>
      </c>
      <c r="H77" t="s">
        <v>711</v>
      </c>
      <c r="I77" t="s">
        <v>2828</v>
      </c>
    </row>
    <row r="78" spans="3:17" x14ac:dyDescent="0.25">
      <c r="D78" s="394" t="s">
        <v>406</v>
      </c>
      <c r="E78" s="15" t="s">
        <v>707</v>
      </c>
      <c r="F78" s="15" t="s">
        <v>725</v>
      </c>
      <c r="G78" t="s">
        <v>752</v>
      </c>
      <c r="H78" t="s">
        <v>712</v>
      </c>
      <c r="I78" t="s">
        <v>2828</v>
      </c>
      <c r="L78" s="1966" t="s">
        <v>648</v>
      </c>
      <c r="M78" s="1967"/>
      <c r="N78" s="1967"/>
      <c r="O78" s="1967"/>
      <c r="P78" s="1967"/>
      <c r="Q78" s="1968"/>
    </row>
    <row r="79" spans="3:17" x14ac:dyDescent="0.25">
      <c r="D79" s="394" t="s">
        <v>406</v>
      </c>
      <c r="E79" s="15" t="s">
        <v>708</v>
      </c>
      <c r="F79" s="15" t="s">
        <v>725</v>
      </c>
      <c r="G79" t="s">
        <v>702</v>
      </c>
      <c r="H79" t="s">
        <v>712</v>
      </c>
      <c r="I79" t="s">
        <v>2828</v>
      </c>
    </row>
    <row r="80" spans="3:17" x14ac:dyDescent="0.25">
      <c r="D80" s="394" t="s">
        <v>407</v>
      </c>
      <c r="E80" s="15" t="s">
        <v>707</v>
      </c>
      <c r="F80" s="15" t="s">
        <v>725</v>
      </c>
      <c r="G80" t="s">
        <v>752</v>
      </c>
      <c r="H80" t="s">
        <v>712</v>
      </c>
      <c r="I80" t="s">
        <v>2828</v>
      </c>
    </row>
    <row r="81" spans="4:9" x14ac:dyDescent="0.25">
      <c r="D81" s="394" t="s">
        <v>407</v>
      </c>
      <c r="E81" s="15" t="s">
        <v>708</v>
      </c>
      <c r="F81" s="15" t="s">
        <v>725</v>
      </c>
      <c r="G81" t="s">
        <v>703</v>
      </c>
      <c r="H81" t="s">
        <v>712</v>
      </c>
      <c r="I81" t="s">
        <v>2828</v>
      </c>
    </row>
    <row r="82" spans="4:9" x14ac:dyDescent="0.25">
      <c r="D82" s="394" t="s">
        <v>435</v>
      </c>
      <c r="E82" s="15" t="s">
        <v>707</v>
      </c>
      <c r="F82" s="15" t="s">
        <v>725</v>
      </c>
      <c r="G82" t="s">
        <v>752</v>
      </c>
      <c r="H82" t="s">
        <v>712</v>
      </c>
      <c r="I82" t="s">
        <v>2828</v>
      </c>
    </row>
    <row r="83" spans="4:9" x14ac:dyDescent="0.25">
      <c r="D83" s="394" t="s">
        <v>435</v>
      </c>
      <c r="E83" s="15" t="s">
        <v>708</v>
      </c>
      <c r="F83" s="15" t="s">
        <v>725</v>
      </c>
      <c r="G83" t="s">
        <v>728</v>
      </c>
      <c r="H83" t="s">
        <v>712</v>
      </c>
      <c r="I83" t="s">
        <v>2828</v>
      </c>
    </row>
    <row r="84" spans="4:9" x14ac:dyDescent="0.25">
      <c r="D84" s="394" t="s">
        <v>435</v>
      </c>
      <c r="E84" s="15" t="s">
        <v>707</v>
      </c>
      <c r="F84" s="15" t="s">
        <v>725</v>
      </c>
      <c r="G84" t="s">
        <v>729</v>
      </c>
      <c r="H84" t="s">
        <v>712</v>
      </c>
      <c r="I84" t="s">
        <v>2828</v>
      </c>
    </row>
    <row r="85" spans="4:9" x14ac:dyDescent="0.25">
      <c r="D85" s="394" t="s">
        <v>438</v>
      </c>
      <c r="E85" s="15" t="s">
        <v>708</v>
      </c>
      <c r="F85" s="15" t="s">
        <v>725</v>
      </c>
      <c r="G85" t="s">
        <v>704</v>
      </c>
      <c r="H85" t="s">
        <v>712</v>
      </c>
      <c r="I85" t="s">
        <v>2828</v>
      </c>
    </row>
    <row r="86" spans="4:9" x14ac:dyDescent="0.25">
      <c r="D86" s="394" t="s">
        <v>438</v>
      </c>
      <c r="E86" s="15" t="s">
        <v>707</v>
      </c>
      <c r="F86" s="15" t="s">
        <v>725</v>
      </c>
      <c r="G86" t="s">
        <v>705</v>
      </c>
      <c r="H86" t="s">
        <v>712</v>
      </c>
      <c r="I86" t="s">
        <v>2828</v>
      </c>
    </row>
    <row r="87" spans="4:9" x14ac:dyDescent="0.25">
      <c r="D87" s="394" t="s">
        <v>706</v>
      </c>
      <c r="E87" s="15" t="s">
        <v>707</v>
      </c>
      <c r="F87" s="15" t="s">
        <v>725</v>
      </c>
      <c r="G87" t="s">
        <v>701</v>
      </c>
      <c r="H87" t="s">
        <v>712</v>
      </c>
      <c r="I87" t="s">
        <v>2828</v>
      </c>
    </row>
    <row r="88" spans="4:9" x14ac:dyDescent="0.25">
      <c r="D88" s="394" t="s">
        <v>706</v>
      </c>
      <c r="E88" s="15" t="s">
        <v>707</v>
      </c>
      <c r="F88" s="15" t="s">
        <v>725</v>
      </c>
      <c r="G88" t="s">
        <v>2794</v>
      </c>
      <c r="H88" t="s">
        <v>713</v>
      </c>
      <c r="I88" t="s">
        <v>2828</v>
      </c>
    </row>
    <row r="89" spans="4:9" x14ac:dyDescent="0.25">
      <c r="D89" s="394" t="s">
        <v>2795</v>
      </c>
      <c r="E89" s="15" t="s">
        <v>707</v>
      </c>
      <c r="F89" s="15" t="s">
        <v>725</v>
      </c>
      <c r="G89" t="s">
        <v>2796</v>
      </c>
      <c r="H89" t="s">
        <v>714</v>
      </c>
      <c r="I89" t="s">
        <v>2828</v>
      </c>
    </row>
    <row r="90" spans="4:9" x14ac:dyDescent="0.25">
      <c r="D90" s="394" t="s">
        <v>438</v>
      </c>
      <c r="E90" s="15" t="s">
        <v>708</v>
      </c>
      <c r="F90" s="15" t="s">
        <v>718</v>
      </c>
      <c r="G90" t="s">
        <v>710</v>
      </c>
      <c r="H90" t="s">
        <v>710</v>
      </c>
      <c r="I90" t="s">
        <v>2828</v>
      </c>
    </row>
    <row r="91" spans="4:9" x14ac:dyDescent="0.25">
      <c r="D91" s="394" t="s">
        <v>715</v>
      </c>
      <c r="E91" s="15" t="s">
        <v>708</v>
      </c>
      <c r="F91" s="15" t="s">
        <v>718</v>
      </c>
      <c r="G91" t="s">
        <v>716</v>
      </c>
      <c r="H91" t="s">
        <v>716</v>
      </c>
      <c r="I91" t="s">
        <v>2828</v>
      </c>
    </row>
    <row r="92" spans="4:9" x14ac:dyDescent="0.25">
      <c r="D92" s="394" t="s">
        <v>706</v>
      </c>
      <c r="E92" s="15" t="s">
        <v>708</v>
      </c>
      <c r="F92" s="15" t="s">
        <v>718</v>
      </c>
      <c r="G92" t="s">
        <v>711</v>
      </c>
      <c r="H92" t="s">
        <v>711</v>
      </c>
      <c r="I92" t="s">
        <v>2828</v>
      </c>
    </row>
    <row r="93" spans="4:9" x14ac:dyDescent="0.25">
      <c r="D93" s="394" t="s">
        <v>706</v>
      </c>
      <c r="E93" s="15" t="s">
        <v>708</v>
      </c>
      <c r="F93" s="15" t="s">
        <v>718</v>
      </c>
      <c r="G93" t="s">
        <v>712</v>
      </c>
      <c r="H93" t="s">
        <v>712</v>
      </c>
      <c r="I93" t="s">
        <v>2828</v>
      </c>
    </row>
    <row r="94" spans="4:9" x14ac:dyDescent="0.25">
      <c r="D94" s="394" t="s">
        <v>706</v>
      </c>
      <c r="E94" s="15" t="s">
        <v>708</v>
      </c>
      <c r="F94" s="15" t="s">
        <v>718</v>
      </c>
      <c r="G94" t="s">
        <v>713</v>
      </c>
      <c r="H94" t="s">
        <v>713</v>
      </c>
      <c r="I94" t="s">
        <v>2828</v>
      </c>
    </row>
    <row r="95" spans="4:9" x14ac:dyDescent="0.25">
      <c r="D95" s="394" t="s">
        <v>2795</v>
      </c>
      <c r="E95" s="15" t="s">
        <v>708</v>
      </c>
      <c r="F95" s="15" t="s">
        <v>718</v>
      </c>
      <c r="G95" t="s">
        <v>714</v>
      </c>
      <c r="H95" t="s">
        <v>714</v>
      </c>
      <c r="I95" t="s">
        <v>2828</v>
      </c>
    </row>
    <row r="96" spans="4:9" x14ac:dyDescent="0.25">
      <c r="D96" s="394" t="s">
        <v>2795</v>
      </c>
      <c r="E96" s="15" t="s">
        <v>708</v>
      </c>
      <c r="F96" s="15" t="s">
        <v>718</v>
      </c>
      <c r="G96" t="s">
        <v>2826</v>
      </c>
      <c r="H96" t="s">
        <v>2826</v>
      </c>
      <c r="I96" t="s">
        <v>2829</v>
      </c>
    </row>
    <row r="97" spans="4:9" x14ac:dyDescent="0.25">
      <c r="D97" s="1538" t="s">
        <v>706</v>
      </c>
      <c r="E97" s="1539" t="str">
        <f>shНАЦИД</f>
        <v>h</v>
      </c>
      <c r="F97" s="1539" t="s">
        <v>718</v>
      </c>
      <c r="G97" s="65" t="s">
        <v>4321</v>
      </c>
      <c r="H97" s="65" t="s">
        <v>4321</v>
      </c>
      <c r="I97" s="65" t="s">
        <v>2828</v>
      </c>
    </row>
    <row r="98" spans="4:9" x14ac:dyDescent="0.25">
      <c r="D98" s="1538" t="s">
        <v>706</v>
      </c>
      <c r="E98" s="1539" t="str">
        <f>shНАЦИД</f>
        <v>h</v>
      </c>
      <c r="F98" s="1539" t="s">
        <v>718</v>
      </c>
      <c r="G98" s="65" t="s">
        <v>4322</v>
      </c>
      <c r="H98" s="65" t="s">
        <v>4322</v>
      </c>
      <c r="I98" s="65" t="s">
        <v>2828</v>
      </c>
    </row>
    <row r="99" spans="4:9" x14ac:dyDescent="0.25">
      <c r="D99" s="394" t="s">
        <v>438</v>
      </c>
      <c r="E99" s="15" t="s">
        <v>732</v>
      </c>
      <c r="F99" s="15" t="s">
        <v>731</v>
      </c>
      <c r="G99" t="s">
        <v>733</v>
      </c>
      <c r="H99" t="s">
        <v>711</v>
      </c>
      <c r="I99" t="s">
        <v>2828</v>
      </c>
    </row>
    <row r="100" spans="4:9" x14ac:dyDescent="0.25">
      <c r="D100" s="394" t="s">
        <v>438</v>
      </c>
      <c r="E100" s="15" t="s">
        <v>732</v>
      </c>
      <c r="F100" s="15" t="s">
        <v>731</v>
      </c>
      <c r="G100" t="s">
        <v>734</v>
      </c>
      <c r="H100" t="s">
        <v>712</v>
      </c>
      <c r="I100" t="s">
        <v>2828</v>
      </c>
    </row>
    <row r="101" spans="4:9" x14ac:dyDescent="0.25">
      <c r="D101" s="394" t="s">
        <v>406</v>
      </c>
      <c r="E101" s="15" t="s">
        <v>732</v>
      </c>
      <c r="F101" s="15" t="s">
        <v>731</v>
      </c>
      <c r="G101" t="s">
        <v>735</v>
      </c>
      <c r="H101" t="s">
        <v>711</v>
      </c>
      <c r="I101" t="s">
        <v>2828</v>
      </c>
    </row>
    <row r="102" spans="4:9" x14ac:dyDescent="0.25">
      <c r="D102" s="394" t="s">
        <v>406</v>
      </c>
      <c r="E102" s="15" t="s">
        <v>732</v>
      </c>
      <c r="F102" s="15" t="s">
        <v>731</v>
      </c>
      <c r="G102" t="s">
        <v>736</v>
      </c>
      <c r="H102" t="s">
        <v>712</v>
      </c>
      <c r="I102" t="s">
        <v>2828</v>
      </c>
    </row>
    <row r="103" spans="4:9" x14ac:dyDescent="0.25">
      <c r="D103" s="394" t="s">
        <v>407</v>
      </c>
      <c r="E103" s="15" t="s">
        <v>732</v>
      </c>
      <c r="F103" s="15" t="s">
        <v>731</v>
      </c>
      <c r="G103" t="s">
        <v>737</v>
      </c>
      <c r="H103" t="s">
        <v>711</v>
      </c>
      <c r="I103" t="s">
        <v>2828</v>
      </c>
    </row>
    <row r="104" spans="4:9" x14ac:dyDescent="0.25">
      <c r="D104" s="394" t="s">
        <v>407</v>
      </c>
      <c r="E104" s="15" t="s">
        <v>732</v>
      </c>
      <c r="F104" s="15" t="s">
        <v>731</v>
      </c>
      <c r="G104" t="s">
        <v>738</v>
      </c>
      <c r="H104" t="s">
        <v>712</v>
      </c>
      <c r="I104" t="s">
        <v>2828</v>
      </c>
    </row>
    <row r="105" spans="4:9" x14ac:dyDescent="0.25">
      <c r="D105" s="394" t="s">
        <v>435</v>
      </c>
      <c r="E105" s="15" t="s">
        <v>732</v>
      </c>
      <c r="F105" s="15" t="s">
        <v>731</v>
      </c>
      <c r="G105" t="s">
        <v>739</v>
      </c>
      <c r="H105" t="s">
        <v>711</v>
      </c>
      <c r="I105" t="s">
        <v>2828</v>
      </c>
    </row>
    <row r="106" spans="4:9" x14ac:dyDescent="0.25">
      <c r="D106" s="394" t="s">
        <v>435</v>
      </c>
      <c r="E106" s="15" t="s">
        <v>732</v>
      </c>
      <c r="F106" s="15" t="s">
        <v>731</v>
      </c>
      <c r="G106" t="s">
        <v>740</v>
      </c>
      <c r="H106" t="s">
        <v>712</v>
      </c>
      <c r="I106" t="s">
        <v>2828</v>
      </c>
    </row>
    <row r="112" spans="4:9" x14ac:dyDescent="0.25">
      <c r="G112" s="1225" t="s">
        <v>2794</v>
      </c>
      <c r="H112" s="1226" t="s">
        <v>713</v>
      </c>
    </row>
  </sheetData>
  <mergeCells count="1">
    <mergeCell ref="L78:Q78"/>
  </mergeCells>
  <phoneticPr fontId="129" type="noConversion"/>
  <dataValidations count="5">
    <dataValidation type="list" allowBlank="1" showInputMessage="1" showErrorMessage="1" sqref="D10" xr:uid="{00000000-0002-0000-0200-000000000000}">
      <formula1>INDIRECT("T_Семестри[Семестър]")</formula1>
    </dataValidation>
    <dataValidation type="list" allowBlank="1" showInputMessage="1" showErrorMessage="1" sqref="D9" xr:uid="{00000000-0002-0000-0200-000001000000}">
      <formula1>INDIRECT("T_УчебнаГодина")</formula1>
    </dataValidation>
    <dataValidation allowBlank="1" showInputMessage="1" showErrorMessage="1" promptTitle="ожгжогожг" sqref="L78" xr:uid="{A14D9D93-D208-4526-8FAE-5426D28141E9}"/>
    <dataValidation type="list" allowBlank="1" showInputMessage="1" showErrorMessage="1" sqref="D7" xr:uid="{0FAF9A34-4B0F-420D-AF1B-EB5878AC908F}">
      <formula1>"Щатен,Хоноруван"</formula1>
    </dataValidation>
    <dataValidation type="list" allowBlank="1" showInputMessage="1" showErrorMessage="1" sqref="D5" xr:uid="{D5F5F1F9-AFE3-40BF-8E05-B1D188DBD477}">
      <formula1>"s,h"</formula1>
    </dataValidation>
  </dataValidations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0000"/>
  </sheetPr>
  <dimension ref="A1:G30"/>
  <sheetViews>
    <sheetView workbookViewId="0"/>
  </sheetViews>
  <sheetFormatPr defaultRowHeight="15" x14ac:dyDescent="0.25"/>
  <cols>
    <col min="1" max="1" width="10.140625" bestFit="1" customWidth="1"/>
    <col min="2" max="2" width="61.42578125" style="66" customWidth="1"/>
    <col min="4" max="4" width="5.85546875" customWidth="1"/>
    <col min="5" max="5" width="78.85546875" customWidth="1"/>
  </cols>
  <sheetData>
    <row r="1" spans="1:7" x14ac:dyDescent="0.25">
      <c r="B1" s="1970" t="s">
        <v>172</v>
      </c>
      <c r="C1" s="1970"/>
      <c r="D1" s="1970"/>
      <c r="E1" s="1970"/>
    </row>
    <row r="4" spans="1:7" x14ac:dyDescent="0.25">
      <c r="A4" t="s">
        <v>505</v>
      </c>
      <c r="B4" s="67" t="s">
        <v>170</v>
      </c>
      <c r="E4" s="63" t="s">
        <v>171</v>
      </c>
      <c r="G4" t="s">
        <v>505</v>
      </c>
    </row>
    <row r="5" spans="1:7" ht="39.75" customHeight="1" x14ac:dyDescent="0.25">
      <c r="A5" s="211">
        <v>43678</v>
      </c>
      <c r="B5" s="215" t="s">
        <v>506</v>
      </c>
      <c r="E5" s="1969" t="s">
        <v>176</v>
      </c>
    </row>
    <row r="6" spans="1:7" ht="20.25" customHeight="1" x14ac:dyDescent="0.25">
      <c r="A6" s="211">
        <v>43374</v>
      </c>
      <c r="B6" s="212" t="s">
        <v>174</v>
      </c>
      <c r="E6" s="1969"/>
    </row>
    <row r="7" spans="1:7" ht="43.5" customHeight="1" x14ac:dyDescent="0.25">
      <c r="A7" s="211">
        <v>43374</v>
      </c>
      <c r="B7" s="213" t="s">
        <v>175</v>
      </c>
      <c r="E7" s="1969"/>
    </row>
    <row r="8" spans="1:7" ht="22.5" customHeight="1" x14ac:dyDescent="0.25">
      <c r="A8" s="211">
        <v>43374</v>
      </c>
      <c r="B8" s="212" t="s">
        <v>177</v>
      </c>
      <c r="E8" s="68"/>
    </row>
    <row r="9" spans="1:7" ht="22.5" customHeight="1" x14ac:dyDescent="0.25">
      <c r="A9" s="211">
        <v>43374</v>
      </c>
      <c r="B9" s="213" t="s">
        <v>168</v>
      </c>
      <c r="E9" s="1969"/>
    </row>
    <row r="10" spans="1:7" ht="35.25" customHeight="1" x14ac:dyDescent="0.25">
      <c r="A10" s="211">
        <v>43374</v>
      </c>
      <c r="B10" s="213" t="s">
        <v>169</v>
      </c>
      <c r="E10" s="1969"/>
    </row>
    <row r="11" spans="1:7" ht="35.25" customHeight="1" x14ac:dyDescent="0.25">
      <c r="A11" s="211">
        <v>43374</v>
      </c>
      <c r="B11" s="212" t="s">
        <v>173</v>
      </c>
      <c r="E11" s="68"/>
    </row>
    <row r="12" spans="1:7" ht="38.25" customHeight="1" x14ac:dyDescent="0.25">
      <c r="A12" s="211">
        <v>43374</v>
      </c>
      <c r="B12" s="212" t="s">
        <v>188</v>
      </c>
      <c r="E12" s="68"/>
    </row>
    <row r="13" spans="1:7" s="64" customFormat="1" ht="42" customHeight="1" x14ac:dyDescent="0.25">
      <c r="A13" s="211">
        <v>43374</v>
      </c>
      <c r="B13" s="212" t="s">
        <v>179</v>
      </c>
      <c r="E13" s="68"/>
    </row>
    <row r="14" spans="1:7" ht="38.25" customHeight="1" x14ac:dyDescent="0.25">
      <c r="A14" s="211">
        <v>43374</v>
      </c>
      <c r="B14" s="212" t="s">
        <v>183</v>
      </c>
    </row>
    <row r="15" spans="1:7" ht="25.5" customHeight="1" x14ac:dyDescent="0.25">
      <c r="A15" s="211">
        <v>43374</v>
      </c>
      <c r="B15" s="212" t="s">
        <v>182</v>
      </c>
    </row>
    <row r="16" spans="1:7" ht="36" customHeight="1" x14ac:dyDescent="0.25">
      <c r="A16" s="211">
        <v>43374</v>
      </c>
      <c r="B16" s="213" t="s">
        <v>186</v>
      </c>
    </row>
    <row r="17" spans="1:5" ht="57" customHeight="1" x14ac:dyDescent="0.25">
      <c r="A17" s="211">
        <v>43374</v>
      </c>
      <c r="B17" s="212" t="s">
        <v>187</v>
      </c>
    </row>
    <row r="18" spans="1:5" ht="39" customHeight="1" x14ac:dyDescent="0.25">
      <c r="A18" s="211">
        <v>43374</v>
      </c>
      <c r="B18" s="212" t="s">
        <v>192</v>
      </c>
    </row>
    <row r="19" spans="1:5" ht="19.5" customHeight="1" x14ac:dyDescent="0.25">
      <c r="A19" s="211">
        <v>43374</v>
      </c>
      <c r="B19" s="212" t="s">
        <v>193</v>
      </c>
    </row>
    <row r="20" spans="1:5" ht="19.5" customHeight="1" x14ac:dyDescent="0.25">
      <c r="A20" s="211">
        <v>43374</v>
      </c>
      <c r="B20" s="213" t="s">
        <v>194</v>
      </c>
    </row>
    <row r="21" spans="1:5" ht="19.5" customHeight="1" x14ac:dyDescent="0.25">
      <c r="A21" s="211">
        <v>43374</v>
      </c>
      <c r="B21" s="214" t="s">
        <v>199</v>
      </c>
    </row>
    <row r="22" spans="1:5" ht="19.5" customHeight="1" x14ac:dyDescent="0.25">
      <c r="A22" s="211">
        <v>43374</v>
      </c>
      <c r="B22" s="212" t="s">
        <v>195</v>
      </c>
    </row>
    <row r="23" spans="1:5" ht="19.5" customHeight="1" x14ac:dyDescent="0.25">
      <c r="A23" s="211">
        <v>43374</v>
      </c>
      <c r="B23" s="213" t="s">
        <v>196</v>
      </c>
    </row>
    <row r="24" spans="1:5" x14ac:dyDescent="0.25">
      <c r="A24" s="211">
        <v>43374</v>
      </c>
      <c r="B24" s="213" t="s">
        <v>197</v>
      </c>
    </row>
    <row r="25" spans="1:5" ht="30" x14ac:dyDescent="0.25">
      <c r="A25" s="211">
        <v>43374</v>
      </c>
      <c r="B25" s="73" t="s">
        <v>200</v>
      </c>
    </row>
    <row r="26" spans="1:5" x14ac:dyDescent="0.25">
      <c r="A26" s="211">
        <v>43374</v>
      </c>
      <c r="B26" s="66" t="s">
        <v>201</v>
      </c>
    </row>
    <row r="27" spans="1:5" x14ac:dyDescent="0.25">
      <c r="A27" s="211">
        <v>43374</v>
      </c>
      <c r="B27" s="66" t="s">
        <v>204</v>
      </c>
    </row>
    <row r="28" spans="1:5" x14ac:dyDescent="0.25">
      <c r="A28" s="211">
        <v>43374</v>
      </c>
      <c r="B28" s="66" t="s">
        <v>209</v>
      </c>
      <c r="E28" t="s">
        <v>205</v>
      </c>
    </row>
    <row r="29" spans="1:5" ht="45" x14ac:dyDescent="0.25">
      <c r="A29" s="211">
        <v>43374</v>
      </c>
      <c r="B29" s="73" t="s">
        <v>210</v>
      </c>
    </row>
    <row r="30" spans="1:5" ht="45" x14ac:dyDescent="0.25">
      <c r="A30" s="211">
        <v>43374</v>
      </c>
      <c r="B30" s="86" t="s">
        <v>291</v>
      </c>
    </row>
  </sheetData>
  <mergeCells count="3">
    <mergeCell ref="E9:E10"/>
    <mergeCell ref="B1:E1"/>
    <mergeCell ref="E5:E7"/>
  </mergeCells>
  <pageMargins left="0.7" right="0.7" top="0.75" bottom="0.75" header="0.3" footer="0.3"/>
  <pageSetup orientation="portrait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9" tint="-0.249977111117893"/>
    <pageSetUpPr fitToPage="1"/>
  </sheetPr>
  <dimension ref="A1:AO94"/>
  <sheetViews>
    <sheetView workbookViewId="0"/>
  </sheetViews>
  <sheetFormatPr defaultRowHeight="15" x14ac:dyDescent="0.25"/>
  <cols>
    <col min="1" max="1" width="2.5703125" style="34" customWidth="1"/>
    <col min="2" max="3" width="11.5703125" style="1" customWidth="1"/>
    <col min="4" max="4" width="16.5703125" style="1" customWidth="1"/>
    <col min="5" max="7" width="14.140625" style="1" customWidth="1"/>
    <col min="8" max="8" width="14.28515625" style="1" customWidth="1"/>
    <col min="9" max="9" width="14.7109375" style="1" customWidth="1"/>
    <col min="10" max="11" width="14.28515625" style="1" customWidth="1"/>
    <col min="12" max="12" width="13.85546875" style="1" bestFit="1" customWidth="1"/>
    <col min="13" max="13" width="8.7109375" customWidth="1"/>
    <col min="14" max="14" width="4.140625" style="34" hidden="1" customWidth="1"/>
    <col min="15" max="16" width="10.7109375" style="34" hidden="1" customWidth="1"/>
    <col min="17" max="17" width="6.140625" style="34" hidden="1" customWidth="1"/>
    <col min="18" max="18" width="9.42578125" style="34" hidden="1" customWidth="1"/>
    <col min="19" max="19" width="3.7109375" style="34" hidden="1" customWidth="1"/>
    <col min="20" max="20" width="5.28515625" style="34" customWidth="1"/>
    <col min="21" max="21" width="22.7109375" style="34" bestFit="1" customWidth="1"/>
    <col min="22" max="16384" width="9.140625" style="34"/>
  </cols>
  <sheetData>
    <row r="1" spans="2:41" ht="15.75" x14ac:dyDescent="0.25">
      <c r="B1" s="2065" t="s">
        <v>0</v>
      </c>
      <c r="C1" s="2065"/>
      <c r="D1" s="2065"/>
      <c r="E1" s="2065"/>
      <c r="F1" s="2065"/>
      <c r="G1" s="2065"/>
      <c r="H1" s="2065"/>
      <c r="I1" s="2065"/>
      <c r="J1" s="2065"/>
      <c r="K1" s="2065"/>
      <c r="L1" s="2065"/>
    </row>
    <row r="2" spans="2:41" ht="51" customHeight="1" x14ac:dyDescent="0.25">
      <c r="B2" s="2068" t="s">
        <v>162</v>
      </c>
      <c r="C2" s="2065"/>
      <c r="D2" s="2065"/>
      <c r="E2" s="2065"/>
      <c r="F2" s="2065"/>
      <c r="G2" s="2065"/>
      <c r="H2" s="2065"/>
      <c r="I2" s="2065"/>
      <c r="J2" s="2065"/>
      <c r="K2" s="2065"/>
      <c r="L2" s="2065"/>
    </row>
    <row r="3" spans="2:41" s="35" customFormat="1" ht="42.75" customHeight="1" x14ac:dyDescent="0.3">
      <c r="B3" s="2069" t="s">
        <v>1</v>
      </c>
      <c r="C3" s="2070"/>
      <c r="D3" s="460" t="s">
        <v>2</v>
      </c>
      <c r="E3" s="460" t="s">
        <v>3</v>
      </c>
      <c r="F3" s="2064" t="s">
        <v>127</v>
      </c>
      <c r="G3" s="2064"/>
      <c r="H3" s="461" t="s">
        <v>67</v>
      </c>
      <c r="I3" s="461" t="s">
        <v>150</v>
      </c>
      <c r="J3" s="461" t="s">
        <v>131</v>
      </c>
      <c r="K3" s="461" t="s">
        <v>149</v>
      </c>
      <c r="L3" s="462" t="s">
        <v>118</v>
      </c>
      <c r="M3"/>
    </row>
    <row r="4" spans="2:41" ht="18" x14ac:dyDescent="0.25">
      <c r="B4" s="2072" t="s">
        <v>294</v>
      </c>
      <c r="C4" s="2072"/>
      <c r="D4" s="2072"/>
      <c r="E4" s="2072"/>
      <c r="F4" s="2072"/>
      <c r="G4" s="2072"/>
      <c r="H4" s="2072"/>
      <c r="I4" s="2072"/>
      <c r="J4" s="2072"/>
      <c r="K4" s="2072"/>
      <c r="L4" s="2072"/>
    </row>
    <row r="6" spans="2:41" ht="18" x14ac:dyDescent="0.25">
      <c r="B6" s="2067" t="str">
        <f>T(IF(Семестър="План",'1. План'!B7,'1. Отчет'!B7))</f>
        <v/>
      </c>
      <c r="C6" s="2067" t="e">
        <f>IF(Семестър="План",'1. План'!#REF!,'1. Отчет'!#REF!)</f>
        <v>#REF!</v>
      </c>
      <c r="D6" s="2067" t="e">
        <f>IF(Семестър="План",'1. План'!#REF!,'1. Отчет'!#REF!)</f>
        <v>#REF!</v>
      </c>
      <c r="E6" s="2067" t="e">
        <f>IF(Семестър="План",'1. План'!#REF!,'1. Отчет'!#REF!)</f>
        <v>#REF!</v>
      </c>
      <c r="F6" s="2067" t="e">
        <f>IF(Семестър="План",'1. План'!#REF!,'1. Отчет'!#REF!)</f>
        <v>#REF!</v>
      </c>
      <c r="G6" s="2067" t="e">
        <f>IF(Семестър="План",'1. План'!#REF!,'1. Отчет'!#REF!)</f>
        <v>#REF!</v>
      </c>
      <c r="H6" s="2067" t="e">
        <f>IF(Семестър="План",'1. План'!#REF!,'1. Отчет'!#REF!)</f>
        <v>#REF!</v>
      </c>
      <c r="I6" s="2067" t="e">
        <f>IF(Семестър="План",'1. План'!#REF!,'1. Отчет'!#REF!)</f>
        <v>#REF!</v>
      </c>
      <c r="J6" s="2067" t="e">
        <f>IF(Семестър="План",'1. План'!#REF!,'1. Отчет'!#REF!)</f>
        <v>#REF!</v>
      </c>
      <c r="K6" s="2067" t="e">
        <f>IF(Семестър="План",'1. План'!#REF!,'1. Отчет'!#REF!)</f>
        <v>#REF!</v>
      </c>
      <c r="L6" s="2067" t="e">
        <f>IF(Семестър="План",'1. План'!#REF!,'1. Отчет'!#REF!)</f>
        <v>#REF!</v>
      </c>
      <c r="O6"/>
      <c r="P6"/>
      <c r="Q6"/>
      <c r="R6"/>
      <c r="S6"/>
      <c r="T6"/>
      <c r="U6"/>
    </row>
    <row r="7" spans="2:41" ht="21" customHeight="1" x14ac:dyDescent="0.25">
      <c r="B7" s="2073" t="s">
        <v>5</v>
      </c>
      <c r="C7" s="2073"/>
      <c r="D7" s="2073"/>
      <c r="E7" s="2073"/>
      <c r="F7" s="2073"/>
      <c r="G7" s="2073"/>
      <c r="H7" s="2073"/>
      <c r="I7" s="2073"/>
      <c r="J7" s="2073"/>
      <c r="K7" s="2073"/>
      <c r="L7" s="2073"/>
      <c r="O7"/>
      <c r="P7"/>
      <c r="Q7"/>
      <c r="R7"/>
      <c r="S7"/>
      <c r="T7"/>
      <c r="U7"/>
    </row>
    <row r="8" spans="2:41" ht="18" x14ac:dyDescent="0.25">
      <c r="B8" s="2071" t="str">
        <f>T(IF(Семестър="План",'1. План'!B9,'1. Отчет'!B9))</f>
        <v/>
      </c>
      <c r="C8" s="2071"/>
      <c r="D8" s="2071"/>
      <c r="E8" s="2071"/>
      <c r="F8" s="2071"/>
      <c r="G8" s="2071"/>
      <c r="H8" s="2071"/>
      <c r="I8" s="2071"/>
      <c r="J8" s="2071"/>
      <c r="K8" s="2071"/>
      <c r="L8" s="2071"/>
      <c r="O8"/>
      <c r="P8"/>
      <c r="Q8"/>
      <c r="R8"/>
      <c r="S8"/>
      <c r="T8"/>
      <c r="U8"/>
    </row>
    <row r="9" spans="2:41" x14ac:dyDescent="0.25">
      <c r="B9" s="2066" t="s">
        <v>6</v>
      </c>
      <c r="C9" s="2066"/>
      <c r="D9" s="2066"/>
      <c r="E9" s="2066"/>
      <c r="F9" s="2066"/>
      <c r="G9" s="2066"/>
      <c r="H9" s="2066"/>
      <c r="I9" s="2066"/>
      <c r="J9" s="2066"/>
      <c r="K9" s="2066"/>
      <c r="L9" s="2066"/>
      <c r="O9"/>
      <c r="P9"/>
      <c r="Q9"/>
      <c r="R9"/>
      <c r="S9"/>
      <c r="T9"/>
      <c r="U9"/>
    </row>
    <row r="10" spans="2:41" ht="15.75" x14ac:dyDescent="0.2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O10"/>
      <c r="P10"/>
      <c r="Q10"/>
      <c r="R10"/>
      <c r="S10"/>
      <c r="T10"/>
      <c r="U10"/>
    </row>
    <row r="11" spans="2:41" ht="27.75" x14ac:dyDescent="0.4">
      <c r="B11" s="2074" t="s">
        <v>7</v>
      </c>
      <c r="C11" s="2074"/>
      <c r="D11" s="2074"/>
      <c r="E11" s="2074"/>
      <c r="F11" s="2074"/>
      <c r="G11" s="2074"/>
      <c r="H11" s="2074"/>
      <c r="I11" s="2074"/>
      <c r="J11" s="2074"/>
      <c r="K11" s="2074"/>
      <c r="L11" s="2074"/>
      <c r="O11"/>
      <c r="P11"/>
      <c r="Q11"/>
      <c r="R11"/>
      <c r="S11"/>
      <c r="T11"/>
      <c r="U11"/>
    </row>
    <row r="12" spans="2:41" x14ac:dyDescent="0.25">
      <c r="B12" s="2075"/>
      <c r="C12" s="2075"/>
      <c r="D12" s="2075"/>
      <c r="E12" s="2075"/>
      <c r="F12" s="2075"/>
      <c r="G12" s="2075"/>
      <c r="H12" s="2075"/>
      <c r="I12" s="2075"/>
      <c r="J12" s="2075"/>
      <c r="K12" s="33"/>
      <c r="L12" s="33"/>
      <c r="N12" s="501"/>
      <c r="O12" s="501" t="b">
        <f>IFERROR(AND(O13:P13,Q14),FALSE)</f>
        <v>0</v>
      </c>
      <c r="P12" s="501"/>
      <c r="Q12" s="501"/>
      <c r="R12" s="501"/>
      <c r="S12"/>
      <c r="T12"/>
      <c r="U12"/>
    </row>
    <row r="13" spans="2:41" ht="23.25" x14ac:dyDescent="0.25">
      <c r="B13" s="1986" t="str">
        <f>T(IF(Семестър="План",'1. План'!B14,'1. Отчет'!B14))</f>
        <v/>
      </c>
      <c r="C13" s="1987"/>
      <c r="D13" s="1987"/>
      <c r="E13" s="1987"/>
      <c r="F13" s="1988" t="str">
        <f>T(IF(Семестър="План",'1. План'!F14,'1. Отчет'!F14))</f>
        <v/>
      </c>
      <c r="G13" s="1989"/>
      <c r="H13" s="1989"/>
      <c r="I13" s="1989"/>
      <c r="J13" s="1989"/>
      <c r="K13" s="1989"/>
      <c r="L13" s="1990"/>
      <c r="N13" s="501"/>
      <c r="O13" s="510" t="b">
        <f>IFERROR(AND(O15:O19,O14),FALSE)</f>
        <v>0</v>
      </c>
      <c r="P13" s="510" t="b">
        <f>IFERROR(AND(P15:P19,Q14),FALSE)</f>
        <v>0</v>
      </c>
      <c r="Q13" s="501"/>
      <c r="R13" s="501"/>
      <c r="S13"/>
      <c r="T13"/>
      <c r="U13"/>
    </row>
    <row r="14" spans="2:41" x14ac:dyDescent="0.25">
      <c r="B14" s="1991" t="s">
        <v>614</v>
      </c>
      <c r="C14" s="1991"/>
      <c r="D14" s="1991"/>
      <c r="E14" s="1991"/>
      <c r="F14" s="1992" t="s">
        <v>615</v>
      </c>
      <c r="G14" s="1992"/>
      <c r="H14" s="1992"/>
      <c r="I14" s="1992"/>
      <c r="J14" s="1992"/>
      <c r="K14" s="1992"/>
      <c r="L14" s="1992"/>
      <c r="N14" s="501"/>
      <c r="O14" s="502">
        <f>IFERROR(DATE(O19,O18,O17),0)</f>
        <v>0</v>
      </c>
      <c r="P14" s="502">
        <f>IFERROR(DATE(P19,P18,P17),0)</f>
        <v>0</v>
      </c>
      <c r="Q14" s="501" t="b">
        <f>O14&lt;P14</f>
        <v>0</v>
      </c>
      <c r="R14" s="501"/>
      <c r="S14"/>
      <c r="T14"/>
      <c r="U14"/>
    </row>
    <row r="15" spans="2:41" x14ac:dyDescent="0.25"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N15" s="501"/>
      <c r="O15" s="501">
        <f>IFERROR(SEARCH(".",J21),0)</f>
        <v>0</v>
      </c>
      <c r="P15" s="501">
        <f>IFERROR(SEARCH(".",L21),0)</f>
        <v>0</v>
      </c>
      <c r="Q15" s="501"/>
      <c r="R15" s="501"/>
      <c r="S15"/>
      <c r="T15"/>
      <c r="U15"/>
    </row>
    <row r="16" spans="2:41" ht="30" customHeight="1" x14ac:dyDescent="0.25">
      <c r="B16" s="2082" t="s">
        <v>293</v>
      </c>
      <c r="C16" s="2082"/>
      <c r="D16" s="2082"/>
      <c r="E16" s="2083"/>
      <c r="F16" s="2084"/>
      <c r="G16" s="2084"/>
      <c r="H16" s="2084"/>
      <c r="I16" s="2084"/>
      <c r="J16" s="2084"/>
      <c r="K16" s="2084"/>
      <c r="L16" s="2085"/>
      <c r="N16" s="501"/>
      <c r="O16" s="501">
        <f>IFERROR(SEARCH(".",J21,O15+1),0)</f>
        <v>0</v>
      </c>
      <c r="P16" s="501">
        <f>IFERROR(SEARCH(".",L21,P15+1),0)</f>
        <v>0</v>
      </c>
      <c r="Q16" s="501"/>
      <c r="R16" s="501"/>
      <c r="S16"/>
      <c r="T16"/>
      <c r="U16"/>
      <c r="AJ16"/>
      <c r="AK16"/>
      <c r="AO16" s="100">
        <f>$AO$6</f>
        <v>0</v>
      </c>
    </row>
    <row r="17" spans="2:37" x14ac:dyDescent="0.25"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N17" s="506" t="s">
        <v>544</v>
      </c>
      <c r="O17" s="501">
        <f>IF(AND(Q17&gt;=1,Q17&lt;=DAY(DATE(O19,O18+1,0))),Q17,0)</f>
        <v>0</v>
      </c>
      <c r="P17" s="501">
        <f>IF(AND(R17&gt;=1,R17&lt;=DAY(DATE(P19,P18+1,0))),R17,0)</f>
        <v>0</v>
      </c>
      <c r="Q17" s="501">
        <f>IFERROR(VALUE(LEFT(J21,O15-1)),0)</f>
        <v>0</v>
      </c>
      <c r="R17" s="501">
        <f>IFERROR(VALUE(LEFT(L21,P15-1)),0)</f>
        <v>0</v>
      </c>
      <c r="S17"/>
      <c r="T17"/>
      <c r="U17"/>
      <c r="AJ17"/>
      <c r="AK17"/>
    </row>
    <row r="18" spans="2:37" ht="16.5" customHeight="1" x14ac:dyDescent="0.25">
      <c r="B18" s="2076" t="s">
        <v>8</v>
      </c>
      <c r="C18" s="2076"/>
      <c r="D18" s="2076"/>
      <c r="E18" s="2078" t="str">
        <f>IF(Семестър="План",'1. План'!E19,'1. Отчет'!E19)</f>
        <v>Не</v>
      </c>
      <c r="F18" s="2078"/>
      <c r="G18" s="2078"/>
      <c r="H18" s="2078"/>
      <c r="I18" s="2078"/>
      <c r="J18" s="2078"/>
      <c r="K18" s="2078"/>
      <c r="L18" s="2078"/>
      <c r="N18" s="506" t="s">
        <v>545</v>
      </c>
      <c r="O18" s="501">
        <f>IF(AND(Q18&gt;=1,Q18&lt;=12),Q18,0)</f>
        <v>0</v>
      </c>
      <c r="P18" s="501">
        <f>IF(AND(R18&gt;=1,R18&lt;=12),R18,0)</f>
        <v>0</v>
      </c>
      <c r="Q18" s="501">
        <f>IFERROR(VALUE(MID(J21,O15+1,O16-O15-1)),0)</f>
        <v>0</v>
      </c>
      <c r="R18" s="501">
        <f>IFERROR(VALUE(MID(L21,P15+1,P16-P15-1)),0)</f>
        <v>0</v>
      </c>
      <c r="S18"/>
      <c r="T18"/>
      <c r="U18"/>
    </row>
    <row r="19" spans="2:37" x14ac:dyDescent="0.25">
      <c r="B19" s="2077" t="s">
        <v>161</v>
      </c>
      <c r="C19" s="2077"/>
      <c r="D19" s="2077"/>
      <c r="E19" s="2079" t="str">
        <f>IF(E18=0,list!B82,VLOOKUP(E18,RakovodnaDl[],2,0))</f>
        <v>няма определена</v>
      </c>
      <c r="F19" s="2079"/>
      <c r="G19" s="2079"/>
      <c r="H19" s="2079"/>
      <c r="I19" s="2079"/>
      <c r="J19" s="2079"/>
      <c r="K19" s="2079"/>
      <c r="L19" s="2079"/>
      <c r="N19" s="506" t="s">
        <v>546</v>
      </c>
      <c r="O19" s="501">
        <f>IF(AND(Q19&gt;=YEAR(O23)-1,Q19&lt;=YEAR(P23)),Q19,0)</f>
        <v>0</v>
      </c>
      <c r="P19" s="501">
        <f>IF(R19&gt;=YEAR(O23),R19,0)</f>
        <v>0</v>
      </c>
      <c r="Q19" s="501">
        <f>IFERROR(VALUE(RIGHT(J21,O21-O16)),0)</f>
        <v>0</v>
      </c>
      <c r="R19" s="501">
        <f>IFERROR(VALUE(RIGHT(L21,P21-P16)),0)</f>
        <v>0</v>
      </c>
      <c r="S19"/>
      <c r="T19"/>
      <c r="U19"/>
    </row>
    <row r="20" spans="2:37" ht="9.9499999999999993" customHeight="1" x14ac:dyDescent="0.25">
      <c r="B20"/>
      <c r="C20"/>
      <c r="D20"/>
      <c r="E20"/>
      <c r="F20"/>
      <c r="G20"/>
      <c r="H20"/>
      <c r="I20"/>
      <c r="J20"/>
      <c r="K20"/>
      <c r="L20"/>
      <c r="N20" s="503"/>
      <c r="O20" s="503"/>
      <c r="P20" s="503"/>
      <c r="Q20" s="503"/>
      <c r="R20" s="503"/>
      <c r="S20"/>
      <c r="T20"/>
      <c r="U20"/>
    </row>
    <row r="21" spans="2:37" s="273" customFormat="1" ht="20.100000000000001" customHeight="1" x14ac:dyDescent="0.3">
      <c r="B21" s="274" t="s">
        <v>520</v>
      </c>
      <c r="C21" s="275" t="s">
        <v>521</v>
      </c>
      <c r="D21" s="276" t="str">
        <f>IF(Семестър="План",T('1. План'!D22),T('1. Отчет'!D22))</f>
        <v/>
      </c>
      <c r="E21" s="275" t="s">
        <v>522</v>
      </c>
      <c r="F21" s="2095" t="str">
        <f>IF(Семестър="План",T('1. План'!F22),T('1. Отчет'!F22:H22))</f>
        <v/>
      </c>
      <c r="G21" s="2096"/>
      <c r="H21" s="2097"/>
      <c r="I21" s="275" t="s">
        <v>523</v>
      </c>
      <c r="J21" s="277" t="str">
        <f>IF(Семестър="План",T('1. План'!J22),T('1. Отчет'!J22))</f>
        <v/>
      </c>
      <c r="K21" s="278" t="s">
        <v>524</v>
      </c>
      <c r="L21" s="277" t="str">
        <f>IF(Семестър="План",T('1. План'!L22),T('1. Отчет'!L22))</f>
        <v/>
      </c>
      <c r="M21"/>
      <c r="N21" s="504"/>
      <c r="O21" s="511">
        <f>LEN(J21)</f>
        <v>0</v>
      </c>
      <c r="P21" s="511">
        <f>LEN(L21)</f>
        <v>0</v>
      </c>
      <c r="Q21" s="505"/>
      <c r="R21" s="505"/>
      <c r="S21"/>
      <c r="T21"/>
      <c r="U21"/>
    </row>
    <row r="22" spans="2:37" customFormat="1" ht="9.9499999999999993" customHeight="1" thickBot="1" x14ac:dyDescent="0.3"/>
    <row r="23" spans="2:37" ht="33" customHeight="1" x14ac:dyDescent="0.25">
      <c r="B23" s="2090" t="s">
        <v>431</v>
      </c>
      <c r="C23" s="2091"/>
      <c r="D23" s="2086" t="str">
        <f>ПЕРИОД!D9</f>
        <v>2024/2025</v>
      </c>
      <c r="E23" s="2086"/>
      <c r="F23" s="2086"/>
      <c r="G23" s="2087"/>
      <c r="H23" s="2080" t="s">
        <v>154</v>
      </c>
      <c r="I23" s="2081"/>
      <c r="J23" s="2094" t="s">
        <v>68</v>
      </c>
      <c r="K23" s="2094"/>
      <c r="L23" s="1993" t="s">
        <v>69</v>
      </c>
      <c r="O23" s="499">
        <f>DATE(VALUE(LEFT(D23,4)),10,1)</f>
        <v>45566</v>
      </c>
      <c r="P23" s="499">
        <f>DATE(VALUE(RIGHT(D23,4)),10,1)</f>
        <v>45931</v>
      </c>
    </row>
    <row r="24" spans="2:37" ht="16.5" customHeight="1" thickBot="1" x14ac:dyDescent="0.3">
      <c r="B24" s="2092"/>
      <c r="C24" s="2093"/>
      <c r="D24" s="2088"/>
      <c r="E24" s="2088"/>
      <c r="F24" s="2088"/>
      <c r="G24" s="2089"/>
      <c r="H24" s="291" t="s">
        <v>531</v>
      </c>
      <c r="I24" s="292" t="s">
        <v>532</v>
      </c>
      <c r="J24" s="492" t="str">
        <f>H24</f>
        <v>зимен сем.</v>
      </c>
      <c r="K24" s="493" t="str">
        <f>I24</f>
        <v>летен сем.</v>
      </c>
      <c r="L24" s="1994"/>
      <c r="O24" s="500">
        <f>IF(O13,IF(O14&gt;=O23,O14,O23),0)</f>
        <v>0</v>
      </c>
      <c r="P24" s="500">
        <f>IF(P13,IF(P14&lt;=P23,P14,P23),0)</f>
        <v>0</v>
      </c>
    </row>
    <row r="25" spans="2:37" s="92" customFormat="1" ht="24.95" customHeight="1" thickBot="1" x14ac:dyDescent="0.3">
      <c r="B25" s="2124" t="s">
        <v>9</v>
      </c>
      <c r="C25" s="2125"/>
      <c r="D25" s="2125"/>
      <c r="E25" s="2125"/>
      <c r="F25" s="2125"/>
      <c r="G25" s="2125"/>
      <c r="H25" s="2125"/>
      <c r="I25" s="2125"/>
      <c r="J25" s="2125"/>
      <c r="K25" s="2125"/>
      <c r="L25" s="2126"/>
      <c r="M25"/>
      <c r="N25" s="34"/>
      <c r="O25"/>
      <c r="P25"/>
      <c r="Q25" s="34"/>
      <c r="R25" s="34"/>
    </row>
    <row r="26" spans="2:37" ht="20.100000000000001" customHeight="1" thickBot="1" x14ac:dyDescent="0.3">
      <c r="B26" s="2130" t="s">
        <v>420</v>
      </c>
      <c r="C26" s="2131"/>
      <c r="D26" s="2131"/>
      <c r="E26" s="2131"/>
      <c r="F26" s="2131"/>
      <c r="G26" s="2131"/>
      <c r="H26" s="490">
        <f>IFERROR(ROUND(SUMIF(BAZZS[Език],"БЕ",BAZZS[чЛекции]),1),0)</f>
        <v>0</v>
      </c>
      <c r="I26" s="279">
        <f>IFERROR(ROUND(SUMIF(BAZLS[Език],"БЕ",BAZLS[чЛекции]),1),0)</f>
        <v>0</v>
      </c>
      <c r="J26" s="488">
        <f>IFERROR(ROUND(SUMIF(MAZZS[Език],"БЕ",MAZZS[чЛекции]),1),0)</f>
        <v>0</v>
      </c>
      <c r="K26" s="484">
        <f>IFERROR(ROUND(SUMIF(MAZLS[Език],"БЕ",MAZLS[чЛекции]),1),0)</f>
        <v>0</v>
      </c>
      <c r="L26" s="486">
        <f>IFERROR(ROUND(SUMIF(DrAZ[кСеместър],CHOOSE(ПЕРИОД!D15,"*","зимен","летен","*")&amp;"|БЕ",DrAZ[чЛекции]),1),0)</f>
        <v>0</v>
      </c>
      <c r="O26"/>
      <c r="P26"/>
      <c r="Q26" s="508" t="b">
        <v>0</v>
      </c>
      <c r="R26" s="509" t="s">
        <v>520</v>
      </c>
    </row>
    <row r="27" spans="2:37" ht="20.100000000000001" customHeight="1" x14ac:dyDescent="0.25">
      <c r="B27" s="2007" t="s">
        <v>421</v>
      </c>
      <c r="C27" s="2008"/>
      <c r="D27" s="2008"/>
      <c r="E27" s="2008"/>
      <c r="F27" s="2008"/>
      <c r="G27" s="2008"/>
      <c r="H27" s="491">
        <f>IFERROR(ROUND(SUMIF(BAZZS[Език],"БЕ",BAZZS[чУпражнения]),1),0)</f>
        <v>0</v>
      </c>
      <c r="I27" s="104">
        <f>IFERROR(ROUND(SUMIF(BAZLS[Език],"БЕ",BAZLS[чУпражнения]),1),0)</f>
        <v>0</v>
      </c>
      <c r="J27" s="489">
        <f>IFERROR(ROUND(SUMIF(MAZZS[Език],"БЕ",MAZZS[чУпражнения]),1),0)</f>
        <v>0</v>
      </c>
      <c r="K27" s="485">
        <f>IFERROR(ROUND(SUMIF(MAZLS[Език],"БЕ",MAZLS[чУпражнения]),1),0)</f>
        <v>0</v>
      </c>
      <c r="L27" s="487">
        <f>IFERROR(ROUND(SUMIF(DrAZ[кСеместър],CHOOSE(ПЕРИОД!D15,"*","зимен","летен","*")&amp;"|БЕ",DrAZ[чУпражнения]),1),0)</f>
        <v>0</v>
      </c>
      <c r="O27"/>
      <c r="P27"/>
    </row>
    <row r="28" spans="2:37" ht="20.100000000000001" customHeight="1" x14ac:dyDescent="0.25">
      <c r="B28" s="2007" t="s">
        <v>422</v>
      </c>
      <c r="C28" s="2008"/>
      <c r="D28" s="2008"/>
      <c r="E28" s="2008"/>
      <c r="F28" s="2008"/>
      <c r="G28" s="2008"/>
      <c r="H28" s="491">
        <f>IFERROR(ROUND(SUMIF(BAZZS[Език],"чужд",BAZZS[чЛекции]),1)+IFERROR(SUMIF(BAZZS[Език],"ФЧЕ",BAZZS[чЛекции]),1),0)</f>
        <v>0</v>
      </c>
      <c r="I28" s="104">
        <f>IFERROR(ROUND(SUMIF(BAZLS[Език],"чужд",BAZLS[чЛекции]),1)+IFERROR(SUMIF(BAZLS[Език],"ФЧЕ",BAZLS[чЛекции]),1),0)</f>
        <v>0</v>
      </c>
      <c r="J28" s="489">
        <f>IFERROR(ROUND(SUMIF(MAZZS[Език],"чужд",MAZZS[чЛекции]),1)+IFERROR(SUMIF(MAZZS[Език],"ФЧЕ",MAZZS[чЛекции]),1),0)</f>
        <v>0</v>
      </c>
      <c r="K28" s="485">
        <f>IFERROR(ROUND(SUMIF(MAZLS[Език],"чужд",MAZLS[чЛекции]),1)+IFERROR(SUMIF(MAZLS[Език],"ФЧЕ",MAZLS[чЛекции]),1),0)</f>
        <v>0</v>
      </c>
      <c r="L28" s="487">
        <f>IFERROR(ROUND(SUMIF(DrAZ[кСеместър],CHOOSE(ПЕРИОД!D15,"*","зимен","летен","*")&amp;"|чужд",DrAZ[чЛекции]),1),0)</f>
        <v>0</v>
      </c>
      <c r="O28"/>
      <c r="P28"/>
    </row>
    <row r="29" spans="2:37" ht="20.100000000000001" customHeight="1" thickBot="1" x14ac:dyDescent="0.3">
      <c r="B29" s="2143" t="s">
        <v>423</v>
      </c>
      <c r="C29" s="2144"/>
      <c r="D29" s="2144"/>
      <c r="E29" s="2144"/>
      <c r="F29" s="2144"/>
      <c r="G29" s="2144"/>
      <c r="H29" s="494">
        <f>IFERROR(ROUND(SUMIF(BAZZS[Език],"чужд",BAZZS[чУпражнения]),1)+IFERROR(SUMIF(BAZZS[Език],"ФЧЕ",BAZZS[чУпражнения]),1),0)</f>
        <v>0</v>
      </c>
      <c r="I29" s="495">
        <f>IFERROR(ROUND(SUMIF(BAZLS[Език],"чужд",BAZLS[чУпражнения]),1)+IFERROR(SUMIF(BAZLS[Език],"ФЧЕ",BAZLS[чУпражнения]),1),0)</f>
        <v>0</v>
      </c>
      <c r="J29" s="496">
        <f>IFERROR(ROUND(SUMIF(MAZZS[Език],"чужд",MAZZS[чУпражнения]),1)+IFERROR(SUMIF(MAZZS[Език],"ФЧЕ",MAZZS[чУпражнения]),1),0)</f>
        <v>0</v>
      </c>
      <c r="K29" s="497">
        <f>IFERROR(ROUND(SUMIF(MAZLS[Език],"чужд",MAZLS[чУпражнения]),1)+IFERROR(SUMIF(MAZLS[Език],"ФЧЕ",MAZLS[чУпражнения]),1),0)</f>
        <v>0</v>
      </c>
      <c r="L29" s="498">
        <f>IFERROR(ROUND(SUMIF(DrAZ[кСеместър],CHOOSE(ПЕРИОД!D15,"*","зимен","летен","*")&amp;"|чужд",DrAZ[чУпражнения]),1),0)</f>
        <v>0</v>
      </c>
      <c r="O29"/>
      <c r="P29"/>
    </row>
    <row r="30" spans="2:37" ht="27" customHeight="1" thickBot="1" x14ac:dyDescent="0.3">
      <c r="B30" s="2127" t="s">
        <v>10</v>
      </c>
      <c r="C30" s="2128"/>
      <c r="D30" s="2128"/>
      <c r="E30" s="2128"/>
      <c r="F30" s="2128"/>
      <c r="G30" s="2128"/>
      <c r="H30" s="2128"/>
      <c r="I30" s="2128"/>
      <c r="J30" s="2128"/>
      <c r="K30" s="2128"/>
      <c r="L30" s="2129"/>
    </row>
    <row r="31" spans="2:37" ht="27" customHeight="1" thickBot="1" x14ac:dyDescent="0.3">
      <c r="B31" s="2140" t="s">
        <v>525</v>
      </c>
      <c r="C31" s="2141"/>
      <c r="D31" s="2141"/>
      <c r="E31" s="2141"/>
      <c r="F31" s="2141"/>
      <c r="G31" s="2141"/>
      <c r="H31" s="384">
        <f>SUM(H39:H43)</f>
        <v>0</v>
      </c>
      <c r="I31" s="1141">
        <f>SUM(I39:I43)</f>
        <v>0</v>
      </c>
      <c r="J31" s="384">
        <f>SUM(J39:J43)</f>
        <v>0</v>
      </c>
      <c r="K31" s="385">
        <f>SUM(K39:K43)</f>
        <v>0</v>
      </c>
      <c r="L31" s="1142">
        <v>0</v>
      </c>
      <c r="P31" s="34" t="s">
        <v>853</v>
      </c>
      <c r="Q31" s="34" t="s">
        <v>1121</v>
      </c>
      <c r="U31" s="381" t="s">
        <v>568</v>
      </c>
      <c r="V31" s="381" t="s">
        <v>570</v>
      </c>
      <c r="W31" s="381" t="s">
        <v>618</v>
      </c>
      <c r="X31" s="381" t="s">
        <v>547</v>
      </c>
      <c r="Y31" s="381" t="s">
        <v>564</v>
      </c>
    </row>
    <row r="32" spans="2:37" ht="24.95" customHeight="1" thickTop="1" thickBot="1" x14ac:dyDescent="0.3">
      <c r="B32" s="2142" t="s">
        <v>632</v>
      </c>
      <c r="C32" s="2006"/>
      <c r="D32" s="2006"/>
      <c r="E32" s="2006"/>
      <c r="F32" s="2006"/>
      <c r="G32" s="2006"/>
      <c r="H32" s="386">
        <f>IFERROR(ROUND(SUMIF(BPZS[ВидПрактика],$U32,BPZS[чПрактика]),1),0)</f>
        <v>0</v>
      </c>
      <c r="I32" s="1140">
        <f>IFERROR(ROUND(SUMIF(BPLS[ВидПрактика],$U32,BPLS[чПрактика]),1),0)</f>
        <v>0</v>
      </c>
      <c r="J32" s="386">
        <f>IFERROR(ROUND(SUMIF(MPZS[ВидПрактика],$U32,MPZS[чПрактика]),1),0)</f>
        <v>0</v>
      </c>
      <c r="K32" s="387">
        <f>IFERROR(ROUND(SUMIF(MPLS[ВидПрактика],$U32,MPLS[чПрактика]),1),0)</f>
        <v>0</v>
      </c>
      <c r="L32" s="288">
        <v>0</v>
      </c>
      <c r="Q32" s="463">
        <v>0.75</v>
      </c>
      <c r="R32" s="463">
        <v>0.25</v>
      </c>
      <c r="U32" s="382" t="str">
        <f>Coef!P4</f>
        <v>Хоспитиране</v>
      </c>
      <c r="V32" s="383">
        <f>VLOOKUP($U32,T_УчПрактики[[Практика и курсова работа]:[Ден]],COLUMN(B1),0)</f>
        <v>30</v>
      </c>
      <c r="W32" s="383">
        <f>VLOOKUP($U32,T_УчПрактики[[Практика и курсова работа]:[Ден]],COLUMN(C1),0)</f>
        <v>0</v>
      </c>
      <c r="X32" s="383">
        <f>VLOOKUP($U32,T_УчПрактики[[Практика и курсова работа]:[Ден]],COLUMN(D1),0)</f>
        <v>1</v>
      </c>
      <c r="Y32" s="383">
        <f>VLOOKUP($U32,T_УчПрактики[[Практика и курсова работа]:[Ден]],COLUMN(E1),0)</f>
        <v>0</v>
      </c>
    </row>
    <row r="33" spans="2:25" ht="24.95" customHeight="1" thickBot="1" x14ac:dyDescent="0.3">
      <c r="B33" s="1997" t="s">
        <v>633</v>
      </c>
      <c r="C33" s="1998"/>
      <c r="D33" s="1998"/>
      <c r="E33" s="1998"/>
      <c r="F33" s="1998"/>
      <c r="G33" s="1998"/>
      <c r="H33" s="388">
        <f>IFERROR(ROUND(SUMIF(BPZS[ВидПрактика],$U33,BPZS[чПрактика]),1),0)</f>
        <v>0</v>
      </c>
      <c r="I33" s="800">
        <f>IFERROR(ROUND(SUMIF(BPLS[ВидПрактика],$U33,BPLS[чПрактика]),1),0)</f>
        <v>0</v>
      </c>
      <c r="J33" s="388">
        <f>IFERROR(ROUND(SUMIF(MPZS[ВидПрактика],$U33,MPZS[чПрактика]),1),0)</f>
        <v>0</v>
      </c>
      <c r="K33" s="389">
        <f>IFERROR(ROUND(SUMIF(MPLS[ВидПрактика],$U33,MPLS[чПрактика]),1),0)</f>
        <v>0</v>
      </c>
      <c r="L33" s="289">
        <v>0</v>
      </c>
      <c r="O33" s="1201" t="s">
        <v>1119</v>
      </c>
      <c r="P33" s="464">
        <f>IFERROR(IF(AND(Лекторат,O13),IF(DAYS360(VALUE($O$24),VALUE($P$24))&lt;=360,DAYS360(VALUE($O$24),VALUE($P$24)),360),0),0)</f>
        <v>0</v>
      </c>
      <c r="Q33" s="465">
        <f>IFERROR(IF(Лекторат,ROUND(P33*75%,2),0),0)</f>
        <v>0</v>
      </c>
      <c r="R33" s="466">
        <f>P33-Q33</f>
        <v>0</v>
      </c>
      <c r="U33" s="382" t="str">
        <f>Coef!P5</f>
        <v>Тeкуща педагог. п-ка</v>
      </c>
      <c r="V33" s="383">
        <f>VLOOKUP($U33,T_УчПрактики[[Практика и курсова работа]:[Ден]],COLUMN(B2),0)</f>
        <v>60</v>
      </c>
      <c r="W33" s="383">
        <f>VLOOKUP($U33,T_УчПрактики[[Практика и курсова работа]:[Ден]],COLUMN(C2),0)</f>
        <v>0</v>
      </c>
      <c r="X33" s="383">
        <f>VLOOKUP($U33,T_УчПрактики[[Практика и курсова работа]:[Ден]],COLUMN(D2),0)</f>
        <v>1</v>
      </c>
      <c r="Y33" s="383">
        <f>VLOOKUP($U33,T_УчПрактики[[Практика и курсова работа]:[Ден]],COLUMN(E2),0)</f>
        <v>0</v>
      </c>
    </row>
    <row r="34" spans="2:25" ht="24.95" customHeight="1" thickBot="1" x14ac:dyDescent="0.3">
      <c r="B34" s="2138" t="s">
        <v>1075</v>
      </c>
      <c r="C34" s="2139"/>
      <c r="D34" s="2139"/>
      <c r="E34" s="2139"/>
      <c r="F34" s="2139"/>
      <c r="G34" s="2139"/>
      <c r="H34" s="1093">
        <f>IFERROR(ROUND(SUMIF(BPZS[ВидПрактика],$U34,BPZS[чПрактика]),1),0)</f>
        <v>0</v>
      </c>
      <c r="I34" s="1094">
        <f>IFERROR(ROUND(SUMIF(BPLS[ВидПрактика],$U34,BPLS[чПрактика]),1),0)</f>
        <v>0</v>
      </c>
      <c r="J34" s="1093">
        <f>IFERROR(ROUND(SUMIF(MPZS[ВидПрактика],$U34,MPZS[чПрактика]),1),0)</f>
        <v>0</v>
      </c>
      <c r="K34" s="1095">
        <f>IFERROR(ROUND(SUMIF(MPLS[ВидПрактика],$U34,MPLS[чПрактика]),1),0)</f>
        <v>0</v>
      </c>
      <c r="L34" s="1096">
        <v>0</v>
      </c>
      <c r="O34" s="340" t="s">
        <v>1120</v>
      </c>
      <c r="P34" s="464">
        <f>ROUND(IFERROR(IF(AND(Лекторат,O13,LEN(B13)),IF(DAYS360(VALUE($O$24),VALUE($P$24))&lt;=360,DAYS360(VALUE($O$24),VALUE($P$24))*(560/360),560),0),0),2)</f>
        <v>0</v>
      </c>
      <c r="Q34" s="465">
        <f>IFERROR(IF(Лекторат,ROUND(P34*(520/560),2),0),0)</f>
        <v>0</v>
      </c>
      <c r="R34" s="466">
        <f>P34-Q34</f>
        <v>0</v>
      </c>
      <c r="U34" s="382" t="s">
        <v>1074</v>
      </c>
      <c r="V34" s="383">
        <f>VLOOKUP($U34,T_УчПрактики[[Практика и курсова работа]:[Ден]],COLUMN(B3),0)</f>
        <v>3</v>
      </c>
      <c r="W34" s="383">
        <f>VLOOKUP($U34,T_УчПрактики[[Практика и курсова работа]:[Ден]],COLUMN(C3),0)</f>
        <v>0</v>
      </c>
      <c r="X34" s="383">
        <f>VLOOKUP($U34,T_УчПрактики[[Практика и курсова работа]:[Ден]],COLUMN(D3),0)</f>
        <v>1</v>
      </c>
      <c r="Y34" s="383">
        <f>VLOOKUP($U34,T_УчПрактики[[Практика и курсова работа]:[Ден]],COLUMN(E3),0)</f>
        <v>1</v>
      </c>
    </row>
    <row r="35" spans="2:25" ht="24.95" customHeight="1" thickTop="1" x14ac:dyDescent="0.25">
      <c r="B35" s="2132" t="s">
        <v>885</v>
      </c>
      <c r="C35" s="2133"/>
      <c r="D35" s="2133"/>
      <c r="E35" s="2133"/>
      <c r="F35" s="2133"/>
      <c r="G35" s="2133"/>
      <c r="H35" s="467">
        <f>IFERROR(ROUND(SUMIF(BPZS[ВидПрактика],$U35,BPZS[чПрактика]),1),0)</f>
        <v>0</v>
      </c>
      <c r="I35" s="802">
        <f>IFERROR(ROUND(SUMIF(BPLS[ВидПрактика],$U35,BPLS[чПрактика]),1),)</f>
        <v>0</v>
      </c>
      <c r="J35" s="467">
        <f>IFERROR(ROUND(SUMIF(MPZS[ВидПрактика],$U35,MPZS[чПрактика]),1),0)</f>
        <v>0</v>
      </c>
      <c r="K35" s="468">
        <f>IFERROR(ROUND(SUMIF(MPLS[ВидПрактика],$U35,MPLS[чПрактика]),1),0)</f>
        <v>0</v>
      </c>
      <c r="L35" s="288">
        <v>0</v>
      </c>
      <c r="O35" s="340" t="s">
        <v>520</v>
      </c>
      <c r="P35" s="798"/>
      <c r="Q35" s="798"/>
      <c r="R35" s="799"/>
      <c r="U35" s="382" t="str">
        <f>Coef!P7</f>
        <v>Учебна п-ка</v>
      </c>
      <c r="V35" s="383">
        <f>VLOOKUP($U35,T_УчПрактики[[Практика и курсова работа]:[Ден]],COLUMN(B4),0)</f>
        <v>15</v>
      </c>
      <c r="W35" s="383">
        <f>VLOOKUP($U35,T_УчПрактики[[Практика и курсова работа]:[Ден]],COLUMN(C4),0)</f>
        <v>0</v>
      </c>
      <c r="X35" s="383">
        <f>VLOOKUP($U35,T_УчПрактики[[Практика и курсова работа]:[Ден]],COLUMN(D4),0)</f>
        <v>1</v>
      </c>
      <c r="Y35" s="383">
        <f>VLOOKUP($U35,T_УчПрактики[[Практика и курсова работа]:[Ден]],COLUMN(E4),0)</f>
        <v>0</v>
      </c>
    </row>
    <row r="36" spans="2:25" ht="24.95" customHeight="1" x14ac:dyDescent="0.25">
      <c r="B36" s="2134" t="s">
        <v>887</v>
      </c>
      <c r="C36" s="2135"/>
      <c r="D36" s="2135"/>
      <c r="E36" s="2135"/>
      <c r="F36" s="2135"/>
      <c r="G36" s="2135"/>
      <c r="H36" s="388">
        <f>IFERROR(ROUND(SUMIF(BPZS[ВидПрактика],$U36,BPZS[чПрактика]),1),0)</f>
        <v>0</v>
      </c>
      <c r="I36" s="800">
        <f>IFERROR(ROUND(SUMIF(BPLS[ВидПрактика],$U36,BPLS[чПрактика]),1),)</f>
        <v>0</v>
      </c>
      <c r="J36" s="388">
        <f>IFERROR(ROUND(SUMIF(MPZS[ВидПрактика],$U36,MPZS[чПрактика]),1),0)</f>
        <v>0</v>
      </c>
      <c r="K36" s="389">
        <f>IFERROR(ROUND(SUMIF(MPLS[ВидПрактика],$U36,MPLS[чПрактика]),1),0)</f>
        <v>0</v>
      </c>
      <c r="L36" s="289">
        <v>0</v>
      </c>
      <c r="O36" s="340"/>
      <c r="P36" s="798"/>
      <c r="Q36" s="798"/>
      <c r="R36" s="799"/>
      <c r="U36" s="382" t="str">
        <f>Coef!P8</f>
        <v>Учебно-произв. п-ка</v>
      </c>
      <c r="V36" s="383">
        <f>VLOOKUP($U36,T_УчПрактики[[Практика и курсова работа]:[Ден]],COLUMN(B5),0)</f>
        <v>60</v>
      </c>
      <c r="W36" s="383">
        <f>VLOOKUP($U36,T_УчПрактики[[Практика и курсова работа]:[Ден]],COLUMN(C5),0)</f>
        <v>0</v>
      </c>
      <c r="X36" s="383">
        <f>VLOOKUP($U36,T_УчПрактики[[Практика и курсова работа]:[Ден]],COLUMN(D5),0)</f>
        <v>1</v>
      </c>
      <c r="Y36" s="383">
        <f>VLOOKUP($U36,T_УчПрактики[[Практика и курсова работа]:[Ден]],COLUMN(E5),0)</f>
        <v>0</v>
      </c>
    </row>
    <row r="37" spans="2:25" ht="24.95" customHeight="1" x14ac:dyDescent="0.25">
      <c r="B37" s="2134" t="s">
        <v>889</v>
      </c>
      <c r="C37" s="2135"/>
      <c r="D37" s="2135"/>
      <c r="E37" s="2135"/>
      <c r="F37" s="2135"/>
      <c r="G37" s="2135"/>
      <c r="H37" s="388">
        <f>IFERROR(ROUND(SUMIF(BPZS[ВидПрактика],$U37,BPZS[чПрактика]),1),0)</f>
        <v>0</v>
      </c>
      <c r="I37" s="800">
        <f>IFERROR(ROUND(SUMIF(BPLS[ВидПрактика],$U37,BPLS[чПрактика]),1),)</f>
        <v>0</v>
      </c>
      <c r="J37" s="388">
        <f>IFERROR(ROUND(SUMIF(MPZS[ВидПрактика],$U37,MPZS[чПрактика]),1),0)</f>
        <v>0</v>
      </c>
      <c r="K37" s="389">
        <f>IFERROR(ROUND(SUMIF(MPLS[ВидПрактика],$U37,MPLS[чПрактика]),1),0)</f>
        <v>0</v>
      </c>
      <c r="L37" s="289">
        <v>0</v>
      </c>
      <c r="O37" s="340"/>
      <c r="P37" s="798"/>
      <c r="Q37" s="798"/>
      <c r="R37" s="799"/>
      <c r="U37" s="382" t="str">
        <f>Coef!P9</f>
        <v>Научно-изслед. п-ка/стаж</v>
      </c>
      <c r="V37" s="383">
        <f>VLOOKUP($U37,T_УчПрактики[[Практика и курсова работа]:[Ден]],COLUMN(B6),0)</f>
        <v>3</v>
      </c>
      <c r="W37" s="383">
        <f>VLOOKUP($U37,T_УчПрактики[[Практика и курсова работа]:[Ден]],COLUMN(C6),0)</f>
        <v>1</v>
      </c>
      <c r="X37" s="383">
        <f>VLOOKUP($U37,T_УчПрактики[[Практика и курсова работа]:[Ден]],COLUMN(D6),0)</f>
        <v>0</v>
      </c>
      <c r="Y37" s="383">
        <f>VLOOKUP($U37,T_УчПрактики[[Практика и курсова работа]:[Ден]],COLUMN(E6),0)</f>
        <v>1</v>
      </c>
    </row>
    <row r="38" spans="2:25" ht="24.95" customHeight="1" thickBot="1" x14ac:dyDescent="0.3">
      <c r="B38" s="2136" t="s">
        <v>891</v>
      </c>
      <c r="C38" s="2137"/>
      <c r="D38" s="2137"/>
      <c r="E38" s="2137"/>
      <c r="F38" s="2137"/>
      <c r="G38" s="2137"/>
      <c r="H38" s="390">
        <f>IFERROR(ROUND(SUMIF(BPZS[ВидПрактика],$U38,BPZS[чПрактика]),1),0)</f>
        <v>0</v>
      </c>
      <c r="I38" s="801">
        <f>IFERROR(ROUND(SUMIF(BPLS[ВидПрактика],$U38,BPLS[чПрактика]),1),)</f>
        <v>0</v>
      </c>
      <c r="J38" s="390">
        <f>IFERROR(ROUND(SUMIF(MPZS[ВидПрактика],$U38,MPZS[чПрактика]),1),0)</f>
        <v>0</v>
      </c>
      <c r="K38" s="391">
        <f>IFERROR(ROUND(SUMIF(MPLS[ВидПрактика],$U38,MPLS[чПрактика]),1),0)</f>
        <v>0</v>
      </c>
      <c r="L38" s="290">
        <v>0</v>
      </c>
      <c r="O38" s="340"/>
      <c r="P38" s="798"/>
      <c r="Q38" s="798"/>
      <c r="R38" s="799"/>
      <c r="U38" s="382" t="str">
        <f>Coef!P10</f>
        <v>Изслед. п-ка с курсов проект</v>
      </c>
      <c r="V38" s="383">
        <f>VLOOKUP($U38,T_УчПрактики[[Практика и курсова работа]:[Ден]],COLUMN(B7),0)</f>
        <v>3</v>
      </c>
      <c r="W38" s="383">
        <f>VLOOKUP($U38,T_УчПрактики[[Практика и курсова работа]:[Ден]],COLUMN(C7),0)</f>
        <v>1</v>
      </c>
      <c r="X38" s="383">
        <f>VLOOKUP($U38,T_УчПрактики[[Практика и курсова работа]:[Ден]],COLUMN(D7),0)</f>
        <v>0</v>
      </c>
      <c r="Y38" s="383">
        <f>VLOOKUP($U38,T_УчПрактики[[Практика и курсова работа]:[Ден]],COLUMN(E7),0)</f>
        <v>1</v>
      </c>
    </row>
    <row r="39" spans="2:25" ht="24.95" customHeight="1" thickTop="1" x14ac:dyDescent="0.25">
      <c r="B39" s="2005" t="s">
        <v>526</v>
      </c>
      <c r="C39" s="2006"/>
      <c r="D39" s="2006"/>
      <c r="E39" s="2006"/>
      <c r="F39" s="2006"/>
      <c r="G39" s="2006"/>
      <c r="H39" s="467">
        <f>IFERROR(ROUND(SUMIF(BPZS[ВидПрактика],$U39,BPZS[чПрактика]),1),0)</f>
        <v>0</v>
      </c>
      <c r="I39" s="802">
        <f>IFERROR(ROUND(SUMIF(BPLS[ВидПрактика],$U39,BPLS[чПрактика]),1),)</f>
        <v>0</v>
      </c>
      <c r="J39" s="467">
        <f>IFERROR(ROUND(SUMIF(MPZS[ВидПрактика],$U39,MPZS[чПрактика]),1),0)</f>
        <v>0</v>
      </c>
      <c r="K39" s="468">
        <f>IFERROR(ROUND(SUMIF(MPLS[ВидПрактика],$U39,MPLS[чПрактика]),1),0)</f>
        <v>0</v>
      </c>
      <c r="L39" s="288">
        <v>0</v>
      </c>
      <c r="R39" s="507"/>
      <c r="U39" s="382" t="str">
        <f>Coef!P11</f>
        <v>Научно-произв. п-ка</v>
      </c>
      <c r="V39" s="383">
        <f>VLOOKUP($U39,T_УчПрактики[[Практика и курсова работа]:[Ден]],COLUMN(B8),0)</f>
        <v>3</v>
      </c>
      <c r="W39" s="383">
        <f>VLOOKUP($U39,T_УчПрактики[[Практика и курсова работа]:[Ден]],COLUMN(C8),0)</f>
        <v>0</v>
      </c>
      <c r="X39" s="383">
        <f>VLOOKUP($U39,T_УчПрактики[[Практика и курсова работа]:[Ден]],COLUMN(D8),0)</f>
        <v>1</v>
      </c>
      <c r="Y39" s="383">
        <f>VLOOKUP($U39,T_УчПрактики[[Практика и курсова работа]:[Ден]],COLUMN(E8),0)</f>
        <v>1</v>
      </c>
    </row>
    <row r="40" spans="2:25" ht="35.1" customHeight="1" x14ac:dyDescent="0.25">
      <c r="B40" s="1997" t="s">
        <v>527</v>
      </c>
      <c r="C40" s="1998"/>
      <c r="D40" s="1998"/>
      <c r="E40" s="1998"/>
      <c r="F40" s="1998"/>
      <c r="G40" s="1998"/>
      <c r="H40" s="388">
        <f>IFERROR(ROUND(SUMIF(BPZS[ВидПрактика],$U40,BPZS[чПрактика]),1),0)</f>
        <v>0</v>
      </c>
      <c r="I40" s="800">
        <f>IFERROR(ROUND(SUMIF(BPLS[ВидПрактика],$U40,BPLS[чПрактика]),1),0)</f>
        <v>0</v>
      </c>
      <c r="J40" s="388">
        <f>IFERROR(ROUND(SUMIF(MPZS[ВидПрактика],$U40,MPZS[чПрактика]),1),0)</f>
        <v>0</v>
      </c>
      <c r="K40" s="389">
        <f>IFERROR(ROUND(SUMIF(MPLS[ВидПрактика],$U40,MPLS[чПрактика]),1),0)</f>
        <v>0</v>
      </c>
      <c r="L40" s="289">
        <v>0</v>
      </c>
      <c r="U40" s="382" t="str">
        <f>Coef!P12</f>
        <v>Преддипл. стаж/п-ка</v>
      </c>
      <c r="V40" s="383">
        <f>VLOOKUP($U40,T_УчПрактики[[Практика и курсова работа]:[Ден]],COLUMN(B9),0)</f>
        <v>3</v>
      </c>
      <c r="W40" s="383">
        <f>VLOOKUP($U40,T_УчПрактики[[Практика и курсова работа]:[Ден]],COLUMN(C9),0)</f>
        <v>0</v>
      </c>
      <c r="X40" s="383">
        <f>VLOOKUP($U40,T_УчПрактики[[Практика и курсова работа]:[Ден]],COLUMN(D9),0)</f>
        <v>1</v>
      </c>
      <c r="Y40" s="383">
        <f>VLOOKUP($U40,T_УчПрактики[[Практика и курсова работа]:[Ден]],COLUMN(E9),0)</f>
        <v>0</v>
      </c>
    </row>
    <row r="41" spans="2:25" ht="24.95" customHeight="1" x14ac:dyDescent="0.25">
      <c r="B41" s="1997" t="s">
        <v>528</v>
      </c>
      <c r="C41" s="1998"/>
      <c r="D41" s="1998"/>
      <c r="E41" s="1998"/>
      <c r="F41" s="1998"/>
      <c r="G41" s="1998"/>
      <c r="H41" s="388">
        <f>IFERROR(ROUND(SUMIF(BPZS[ВидПрактика],$U41,BPZS[чПрактика]),1),0)</f>
        <v>0</v>
      </c>
      <c r="I41" s="800">
        <f>IFERROR(ROUND(SUMIF(BPLS[ВидПрактика],$U41,BPLS[чПрактика]),1),)</f>
        <v>0</v>
      </c>
      <c r="J41" s="388">
        <f>IFERROR(ROUND(SUMIF(MPZS[ВидПрактика],$U41,MPZS[чПрактика]),1),0)</f>
        <v>0</v>
      </c>
      <c r="K41" s="389">
        <f>IFERROR(ROUND(SUMIF(MPLS[ВидПрактика],$U41,MPLS[чПрактика]),1),0)</f>
        <v>0</v>
      </c>
      <c r="L41" s="289">
        <v>0</v>
      </c>
      <c r="U41" s="382" t="str">
        <f>Coef!P13</f>
        <v>Теренна п-ка</v>
      </c>
      <c r="V41" s="383">
        <f>VLOOKUP($U41,T_УчПрактики[[Практика и курсова работа]:[Ден]],COLUMN(B10),0)</f>
        <v>4</v>
      </c>
      <c r="W41" s="383">
        <f>VLOOKUP($U41,T_УчПрактики[[Практика и курсова работа]:[Ден]],COLUMN(C10),0)</f>
        <v>0</v>
      </c>
      <c r="X41" s="383">
        <f>VLOOKUP($U41,T_УчПрактики[[Практика и курсова работа]:[Ден]],COLUMN(D10),0)</f>
        <v>0</v>
      </c>
      <c r="Y41" s="383">
        <f>VLOOKUP($U41,T_УчПрактики[[Практика и курсова работа]:[Ден]],COLUMN(E10),0)</f>
        <v>1</v>
      </c>
    </row>
    <row r="42" spans="2:25" ht="24.95" customHeight="1" x14ac:dyDescent="0.25">
      <c r="B42" s="1997" t="s">
        <v>529</v>
      </c>
      <c r="C42" s="1998"/>
      <c r="D42" s="1998"/>
      <c r="E42" s="1998"/>
      <c r="F42" s="1998"/>
      <c r="G42" s="1998"/>
      <c r="H42" s="388">
        <f>IFERROR(ROUND(SUMIF(BPZS[ВидПрактика],$U42,BPZS[чПрактика]),1),0)</f>
        <v>0</v>
      </c>
      <c r="I42" s="800">
        <f>IFERROR(ROUND(SUMIF(BPLS[ВидПрактика],$U42,BPLS[чПрактика]),1),0)</f>
        <v>0</v>
      </c>
      <c r="J42" s="388">
        <f>IFERROR(ROUND(SUMIF(MPZS[ВидПрактика],$U42,MPZS[чПрактика]),1),0)</f>
        <v>0</v>
      </c>
      <c r="K42" s="389">
        <f>IFERROR(ROUND(SUMIF(MPLS[ВидПрактика],$U42,MPLS[чПрактика]),1),0)</f>
        <v>0</v>
      </c>
      <c r="L42" s="289">
        <v>0</v>
      </c>
      <c r="U42" s="382" t="str">
        <f>Coef!P14</f>
        <v>Лятна п-ка</v>
      </c>
      <c r="V42" s="383">
        <f>VLOOKUP($U42,T_УчПрактики[[Практика и курсова работа]:[Ден]],COLUMN(B11),0)</f>
        <v>4</v>
      </c>
      <c r="W42" s="383">
        <f>VLOOKUP($U42,T_УчПрактики[[Практика и курсова работа]:[Ден]],COLUMN(C11),0)</f>
        <v>0</v>
      </c>
      <c r="X42" s="383">
        <f>VLOOKUP($U42,T_УчПрактики[[Практика и курсова работа]:[Ден]],COLUMN(D11),0)</f>
        <v>0</v>
      </c>
      <c r="Y42" s="383">
        <f>VLOOKUP($U42,T_УчПрактики[[Практика и курсова работа]:[Ден]],COLUMN(E11),0)</f>
        <v>1</v>
      </c>
    </row>
    <row r="43" spans="2:25" ht="24.95" customHeight="1" thickBot="1" x14ac:dyDescent="0.3">
      <c r="B43" s="1995" t="s">
        <v>530</v>
      </c>
      <c r="C43" s="1996"/>
      <c r="D43" s="1996"/>
      <c r="E43" s="1996"/>
      <c r="F43" s="1996"/>
      <c r="G43" s="1996"/>
      <c r="H43" s="390">
        <f>IFERROR(ROUND(SUMIF(BPZS[ВидПрактика],$U43,BPZS[чПрактика]),1),0)</f>
        <v>0</v>
      </c>
      <c r="I43" s="801">
        <f>IFERROR(ROUND(SUMIF(BPLS[ВидПрактика],$U43,BPLS[чПрактика]),1),0)</f>
        <v>0</v>
      </c>
      <c r="J43" s="390">
        <f>IFERROR(ROUND(SUMIF(MPZS[ВидПрактика],$U43,MPZS[чПрактика]),1),0)</f>
        <v>0</v>
      </c>
      <c r="K43" s="391">
        <f>IFERROR(ROUND(SUMIF(MPLS[ВидПрактика],$U43,MPLS[чПрактика]),1),0)</f>
        <v>0</v>
      </c>
      <c r="L43" s="290">
        <v>0</v>
      </c>
      <c r="U43" s="382" t="str">
        <f>Coef!P15</f>
        <v>Учебно-спортна п-ка</v>
      </c>
      <c r="V43" s="383">
        <f>VLOOKUP($U43,T_УчПрактики[[Практика и курсова работа]:[Ден]],COLUMN(B12),0)</f>
        <v>4</v>
      </c>
      <c r="W43" s="383">
        <f>VLOOKUP($U43,T_УчПрактики[[Практика и курсова работа]:[Ден]],COLUMN(C12),0)</f>
        <v>0</v>
      </c>
      <c r="X43" s="383">
        <f>VLOOKUP($U43,T_УчПрактики[[Практика и курсова работа]:[Ден]],COLUMN(D12),0)</f>
        <v>0</v>
      </c>
      <c r="Y43" s="383">
        <f>VLOOKUP($U43,T_УчПрактики[[Практика и курсова работа]:[Ден]],COLUMN(E12),0)</f>
        <v>1</v>
      </c>
    </row>
    <row r="44" spans="2:25" ht="24.95" customHeight="1" thickTop="1" x14ac:dyDescent="0.25">
      <c r="B44" s="2023" t="s">
        <v>425</v>
      </c>
      <c r="C44" s="2024"/>
      <c r="D44" s="2024"/>
      <c r="E44" s="2024"/>
      <c r="F44" s="2024"/>
      <c r="G44" s="2024"/>
      <c r="H44" s="305">
        <f>IFERROR(ROUND(SUM(BAZZS[чИзпитани],BPZS[чИзпитани]),1),0)</f>
        <v>0</v>
      </c>
      <c r="I44" s="299">
        <f>IFERROR(ROUND(SUM(BAZLS[чИзпитани],BPLS[чИзпитани]),1),0)</f>
        <v>0</v>
      </c>
      <c r="J44" s="305">
        <f>IFERROR(ROUND(SUM(MAZZS[чИзпитани],MPZS[чИзпитани]),1),0)</f>
        <v>0</v>
      </c>
      <c r="K44" s="306">
        <f>IFERROR(ROUND(SUM(MAZLS[чИзпитани],MPLS[чИзпитани]),1),0)</f>
        <v>0</v>
      </c>
      <c r="L44" s="476">
        <v>0</v>
      </c>
    </row>
    <row r="45" spans="2:25" ht="24.95" customHeight="1" x14ac:dyDescent="0.25">
      <c r="B45" s="2007" t="s">
        <v>308</v>
      </c>
      <c r="C45" s="2008"/>
      <c r="D45" s="2008"/>
      <c r="E45" s="2008"/>
      <c r="F45" s="2008"/>
      <c r="G45" s="2008"/>
      <c r="H45" s="479">
        <f>IFERROR(ROUND(SUM(BAZZS[ТО],BPZS[ТО])*кТО,1),0)</f>
        <v>0</v>
      </c>
      <c r="I45" s="803">
        <f>IFERROR(ROUND(SUM(BAZLS[ТО],BPLS[ТО])*кТО,1),0)</f>
        <v>0</v>
      </c>
      <c r="J45" s="479">
        <f>IFERROR(ROUND(SUM(MAZZS[ТО],MPZS[ТО])*кТО,1),0)</f>
        <v>0</v>
      </c>
      <c r="K45" s="480">
        <f>IFERROR(ROUND(SUM(MAZLS[ТО],MPLS[ТО])*кТО,1),0)</f>
        <v>0</v>
      </c>
      <c r="L45" s="477">
        <v>0</v>
      </c>
    </row>
    <row r="46" spans="2:25" ht="24.95" customHeight="1" thickBot="1" x14ac:dyDescent="0.3">
      <c r="B46" s="2015" t="s">
        <v>426</v>
      </c>
      <c r="C46" s="2016"/>
      <c r="D46" s="2016"/>
      <c r="E46" s="2016"/>
      <c r="F46" s="2016"/>
      <c r="G46" s="2016"/>
      <c r="H46" s="301">
        <f>IFERROR(ROUND(SUM(BAZZS[КР],BPZS[КР])*кКурсова_работа,1),0)</f>
        <v>0</v>
      </c>
      <c r="I46" s="163">
        <f>IFERROR(ROUND(SUM(BAZLS[КР],BPLS[КР])*кКурсова_работа,1),0)</f>
        <v>0</v>
      </c>
      <c r="J46" s="301">
        <f>IFERROR(ROUND(SUM(MAZZS[КР],MPZS[КР])*кКурсова_работа,1),0)</f>
        <v>0</v>
      </c>
      <c r="K46" s="302">
        <f>IFERROR(ROUND(SUM(MAZLS[КР],MPLS[КР])*кКурсова_работа,1),0)</f>
        <v>0</v>
      </c>
      <c r="L46" s="475">
        <v>0</v>
      </c>
    </row>
    <row r="47" spans="2:25" ht="24.95" customHeight="1" thickTop="1" x14ac:dyDescent="0.25">
      <c r="B47" s="2023" t="s">
        <v>427</v>
      </c>
      <c r="C47" s="2024"/>
      <c r="D47" s="2024"/>
      <c r="E47" s="2024"/>
      <c r="F47" s="2024"/>
      <c r="G47" s="2024"/>
      <c r="H47" s="305">
        <f>IFERROR(ROUND(SUM(BDiplomiraneZS[ДР])*кДипломна_работа,1),0)</f>
        <v>0</v>
      </c>
      <c r="I47" s="299">
        <f>IFERROR(ROUND(SUM(BDiplomiraneLS[ДР])*кДипломна_работа,1),0)</f>
        <v>0</v>
      </c>
      <c r="J47" s="305">
        <f>IFERROR(ROUND(SUM(MDiplomiraneZS[ДР])*кДипломна_работа,1),0)</f>
        <v>0</v>
      </c>
      <c r="K47" s="306">
        <f>IFERROR(ROUND(SUM(MDiplomiraneLS[ДР])*кДипломна_работа,1),0)</f>
        <v>0</v>
      </c>
      <c r="L47" s="476">
        <v>0</v>
      </c>
    </row>
    <row r="48" spans="2:25" ht="24.95" customHeight="1" x14ac:dyDescent="0.25">
      <c r="B48" s="2007" t="s">
        <v>428</v>
      </c>
      <c r="C48" s="2008"/>
      <c r="D48" s="2008"/>
      <c r="E48" s="2008"/>
      <c r="F48" s="2008"/>
      <c r="G48" s="2008"/>
      <c r="H48" s="479">
        <f>IFERROR(ROUND(SUM(BDiplomiraneZS[Рецензии])*кРецензия,1),0)</f>
        <v>0</v>
      </c>
      <c r="I48" s="803">
        <f>IFERROR(ROUND(SUM(BDiplomiraneLS[Рецензии])*кРецензия,1),0)</f>
        <v>0</v>
      </c>
      <c r="J48" s="479">
        <f>IFERROR(ROUND(SUM(MDiplomiraneZS[Рецензии])*кРецензия,1),0)</f>
        <v>0</v>
      </c>
      <c r="K48" s="480">
        <f>IFERROR(ROUND(SUM(MDiplomiraneLS[Рецензии])*кРецензия,1),0)</f>
        <v>0</v>
      </c>
      <c r="L48" s="477">
        <v>0</v>
      </c>
    </row>
    <row r="49" spans="2:12" ht="24.95" customHeight="1" thickBot="1" x14ac:dyDescent="0.3">
      <c r="B49" s="2015" t="s">
        <v>429</v>
      </c>
      <c r="C49" s="2016"/>
      <c r="D49" s="2016"/>
      <c r="E49" s="2016"/>
      <c r="F49" s="2016"/>
      <c r="G49" s="2016"/>
      <c r="H49" s="301">
        <f>IFERROR(ROUND(SUM(BDiplomiraneZS[И/ДИ/З])*кДИ_защита,1),0)</f>
        <v>0</v>
      </c>
      <c r="I49" s="163">
        <f>IFERROR(ROUND(SUM(BDiplomiraneLS[И/ДИ/З])*кДИ_защита,1),0)</f>
        <v>0</v>
      </c>
      <c r="J49" s="301">
        <f>IFERROR(ROUND(SUM(MDiplomiraneZS[И/ДИ/З])*кДИ_защита,1),0)</f>
        <v>0</v>
      </c>
      <c r="K49" s="302">
        <f>IFERROR(ROUND(SUM(MDiplomiraneLS[И/ДИ/З])*кДИ_защита,1),0)</f>
        <v>0</v>
      </c>
      <c r="L49" s="475">
        <v>0</v>
      </c>
    </row>
    <row r="50" spans="2:12" ht="24.95" customHeight="1" thickTop="1" x14ac:dyDescent="0.25">
      <c r="B50" s="2023" t="s">
        <v>307</v>
      </c>
      <c r="C50" s="2024"/>
      <c r="D50" s="2024"/>
      <c r="E50" s="2024"/>
      <c r="F50" s="2024"/>
      <c r="G50" s="2024"/>
      <c r="H50" s="305">
        <f>IFERROR(ROUND(SUMIF(Подготовка_курс[Бакалавър],"нов курс|Б|зимен",Подготовка_курс[кЧасове]),1),0)</f>
        <v>0</v>
      </c>
      <c r="I50" s="299">
        <f>IFERROR(ROUND(SUMIF(Подготовка_курс[Бакалавър],"нов курс|Б|летен",Подготовка_курс[кЧасове]),1),0)</f>
        <v>0</v>
      </c>
      <c r="J50" s="305">
        <f>IFERROR(ROUND(SUMIF(Подготовка_курс[Магистър],"нов курс|М|зимен",Подготовка_курс[кЧасове]),1),0)</f>
        <v>0</v>
      </c>
      <c r="K50" s="306">
        <f>IFERROR(ROUND(SUMIF(Подготовка_курс[Магистър],"нов курс|М|летен",Подготовка_курс[кЧасове]),1),0)</f>
        <v>0</v>
      </c>
      <c r="L50" s="476">
        <v>0</v>
      </c>
    </row>
    <row r="51" spans="2:12" ht="24.95" customHeight="1" x14ac:dyDescent="0.25">
      <c r="B51" s="2007" t="s">
        <v>306</v>
      </c>
      <c r="C51" s="2008"/>
      <c r="D51" s="2008"/>
      <c r="E51" s="2008"/>
      <c r="F51" s="2008"/>
      <c r="G51" s="2008"/>
      <c r="H51" s="479">
        <f>IFERROR(ROUND(SUMIF(Подготовка_курс[Бакалавър],"ел. учебни ресурси|Б|зимен",Подготовка_курс[кЧасове]),1),0)</f>
        <v>0</v>
      </c>
      <c r="I51" s="803">
        <f>IFERROR(ROUND(SUMIF(Подготовка_курс[Бакалавър],"ел. учебни ресурси|Б|летен",Подготовка_курс[кЧасове]),1),0)</f>
        <v>0</v>
      </c>
      <c r="J51" s="479">
        <f>IFERROR(ROUND(SUMIF(Подготовка_курс[Магистър],"ел. учебни ресурси|М|зимен",Подготовка_курс[кЧасове]),1),0)</f>
        <v>0</v>
      </c>
      <c r="K51" s="480">
        <f>IFERROR(ROUND(SUMIF(Подготовка_курс[Магистър],"ел. учебни ресурси|М|летен",Подготовка_курс[кЧасове]),1),0)</f>
        <v>0</v>
      </c>
      <c r="L51" s="477">
        <v>0</v>
      </c>
    </row>
    <row r="52" spans="2:12" ht="24.95" customHeight="1" thickBot="1" x14ac:dyDescent="0.3">
      <c r="B52" s="2015" t="s">
        <v>305</v>
      </c>
      <c r="C52" s="2016"/>
      <c r="D52" s="2016"/>
      <c r="E52" s="2016"/>
      <c r="F52" s="2016"/>
      <c r="G52" s="2016"/>
      <c r="H52" s="301">
        <f>IFERROR(ROUND(SUMIF(Подготовка_курс[Бакалавър],"актуализация|Б|зимен",Подготовка_курс[кЧасове]),1),0)</f>
        <v>0</v>
      </c>
      <c r="I52" s="163">
        <f>IFERROR(ROUND(SUMIF(Подготовка_курс[Бакалавър],"актуализация|Б|летен",Подготовка_курс[кЧасове]),1),0)</f>
        <v>0</v>
      </c>
      <c r="J52" s="301">
        <f>IFERROR(ROUND(SUMIF(Подготовка_курс[Магистър],"актуализация|М|зимен",Подготовка_курс[кЧасове]),1),0)</f>
        <v>0</v>
      </c>
      <c r="K52" s="302">
        <f>IFERROR(ROUND(SUMIF(Подготовка_курс[Магистър],"актуализация|М|летен",Подготовка_курс[кЧасове]),1),0)</f>
        <v>0</v>
      </c>
      <c r="L52" s="475">
        <v>0</v>
      </c>
    </row>
    <row r="53" spans="2:12" ht="24.95" customHeight="1" thickTop="1" x14ac:dyDescent="0.25">
      <c r="B53" s="2023" t="s">
        <v>304</v>
      </c>
      <c r="C53" s="2024"/>
      <c r="D53" s="2024"/>
      <c r="E53" s="2024"/>
      <c r="F53" s="2024"/>
      <c r="G53" s="2024"/>
      <c r="H53" s="481">
        <v>0</v>
      </c>
      <c r="I53" s="804">
        <v>0</v>
      </c>
      <c r="J53" s="481">
        <v>0</v>
      </c>
      <c r="K53" s="103">
        <v>0</v>
      </c>
      <c r="L53" s="623">
        <f>IFERROR(ROUND(SUMIF(T_КИ_НР[кДейност],1,T_КИ_НР[чУпр])+SUMIF(DrAZ[кСеместър],CHOOSE(ПЕРИОД!D15,"*","*зимен*","*летен*","*"),DrAZ[чИзпитани]),1),0)</f>
        <v>0</v>
      </c>
    </row>
    <row r="54" spans="2:12" ht="24.95" customHeight="1" thickBot="1" x14ac:dyDescent="0.3">
      <c r="B54" s="2007" t="s">
        <v>430</v>
      </c>
      <c r="C54" s="2008"/>
      <c r="D54" s="2008"/>
      <c r="E54" s="2008"/>
      <c r="F54" s="2008"/>
      <c r="G54" s="2008"/>
      <c r="H54" s="482">
        <v>0</v>
      </c>
      <c r="I54" s="805">
        <v>0</v>
      </c>
      <c r="J54" s="482">
        <v>0</v>
      </c>
      <c r="K54" s="483">
        <v>0</v>
      </c>
      <c r="L54" s="478">
        <f>IFERROR(ROUND(SUMIF(T_КИ_НР[кДейност],2,T_КИ_НР[чУпр]),1),0)</f>
        <v>0</v>
      </c>
    </row>
    <row r="55" spans="2:12" ht="24.95" customHeight="1" x14ac:dyDescent="0.25">
      <c r="B55" s="2017" t="s">
        <v>409</v>
      </c>
      <c r="C55" s="2018"/>
      <c r="D55" s="2018"/>
      <c r="E55" s="2018"/>
      <c r="F55" s="2018"/>
      <c r="G55" s="2019"/>
      <c r="H55" s="471">
        <f>SUM(H56,H31,H44:H52)</f>
        <v>0</v>
      </c>
      <c r="I55" s="152">
        <f>SUM(I56,I31,I44:I52)</f>
        <v>0</v>
      </c>
      <c r="J55" s="806">
        <f>SUM(J56,J31,J44:J52)</f>
        <v>0</v>
      </c>
      <c r="K55" s="153">
        <f>SUM(K56,K31,K44:K52)</f>
        <v>0</v>
      </c>
      <c r="L55" s="469">
        <f>SUM(L53:L54,L56)</f>
        <v>0</v>
      </c>
    </row>
    <row r="56" spans="2:12" ht="24.95" customHeight="1" thickBot="1" x14ac:dyDescent="0.3">
      <c r="B56" s="2020" t="s">
        <v>11</v>
      </c>
      <c r="C56" s="2021"/>
      <c r="D56" s="2021"/>
      <c r="E56" s="2021"/>
      <c r="F56" s="2021"/>
      <c r="G56" s="2022"/>
      <c r="H56" s="472">
        <f>SUM(H26:H29,H32:H33)</f>
        <v>0</v>
      </c>
      <c r="I56" s="154">
        <f>SUM(I26:I29,I32:I33)</f>
        <v>0</v>
      </c>
      <c r="J56" s="807">
        <f>SUM(J26:J29,J32:J33)</f>
        <v>0</v>
      </c>
      <c r="K56" s="155">
        <f>SUM(K26:K29,K32:K33)</f>
        <v>0</v>
      </c>
      <c r="L56" s="470">
        <f>SUM(L26:L29)</f>
        <v>0</v>
      </c>
    </row>
    <row r="57" spans="2:12" ht="24.95" customHeight="1" x14ac:dyDescent="0.25">
      <c r="B57" s="2145" t="s">
        <v>542</v>
      </c>
      <c r="C57" s="2146"/>
      <c r="D57" s="2146"/>
      <c r="E57" s="2146"/>
      <c r="F57" s="2146"/>
      <c r="G57" s="2147"/>
      <c r="H57" s="2058">
        <f>IFERROR(IF(COUNTIF(B13,"*препод*"),ROUND(P34,1),ROUND(P33,1)),0)</f>
        <v>0</v>
      </c>
      <c r="I57" s="2059"/>
      <c r="J57" s="2059"/>
      <c r="K57" s="2060"/>
      <c r="L57" s="289">
        <v>0</v>
      </c>
    </row>
    <row r="58" spans="2:12" ht="24.95" customHeight="1" thickBot="1" x14ac:dyDescent="0.3">
      <c r="B58" s="2118" t="s">
        <v>543</v>
      </c>
      <c r="C58" s="2119"/>
      <c r="D58" s="2119"/>
      <c r="E58" s="2119"/>
      <c r="F58" s="2119"/>
      <c r="G58" s="2120"/>
      <c r="H58" s="2121">
        <f>IFERROR(IF(COUNTIF(B13,"*препод*"),ROUND(Q34,1),ROUND(Q33,1)),0)</f>
        <v>0</v>
      </c>
      <c r="I58" s="2122"/>
      <c r="J58" s="2122"/>
      <c r="K58" s="2123"/>
      <c r="L58" s="289">
        <v>0</v>
      </c>
    </row>
    <row r="59" spans="2:12" ht="24.95" customHeight="1" x14ac:dyDescent="0.25">
      <c r="B59" s="2009" t="s">
        <v>410</v>
      </c>
      <c r="C59" s="2010"/>
      <c r="D59" s="2010"/>
      <c r="E59" s="2010"/>
      <c r="F59" s="2010"/>
      <c r="G59" s="2011"/>
      <c r="H59" s="2037">
        <f>IFERROR(ROUND(SUM(H55:K55,H57),1),0)</f>
        <v>0</v>
      </c>
      <c r="I59" s="2038"/>
      <c r="J59" s="2038"/>
      <c r="K59" s="2039"/>
      <c r="L59" s="473">
        <f>IFERROR(ROUND(L60+L55,1),0)</f>
        <v>0</v>
      </c>
    </row>
    <row r="60" spans="2:12" ht="24.95" customHeight="1" thickBot="1" x14ac:dyDescent="0.3">
      <c r="B60" s="2012" t="s">
        <v>408</v>
      </c>
      <c r="C60" s="2013"/>
      <c r="D60" s="2013"/>
      <c r="E60" s="2013"/>
      <c r="F60" s="2013"/>
      <c r="G60" s="2014"/>
      <c r="H60" s="2040">
        <f>IFERROR(ROUND(SUM(H56:K56,H58),1),0)</f>
        <v>0</v>
      </c>
      <c r="I60" s="2041"/>
      <c r="J60" s="2041"/>
      <c r="K60" s="2042"/>
      <c r="L60" s="474">
        <f>IFERROR(ROUND(L56,1),0)</f>
        <v>0</v>
      </c>
    </row>
    <row r="61" spans="2:12" ht="15.75" thickBot="1" x14ac:dyDescent="0.3">
      <c r="B61" s="4"/>
      <c r="C61" s="4"/>
      <c r="D61" s="4"/>
      <c r="E61" s="4"/>
      <c r="F61" s="4"/>
      <c r="G61" s="4"/>
      <c r="H61" s="5"/>
      <c r="I61" s="5"/>
      <c r="J61" s="5"/>
      <c r="K61" s="5"/>
      <c r="L61" s="5"/>
    </row>
    <row r="62" spans="2:12" ht="24.95" customHeight="1" x14ac:dyDescent="0.25">
      <c r="B62" s="2046" t="s">
        <v>75</v>
      </c>
      <c r="C62" s="2047"/>
      <c r="D62" s="2047"/>
      <c r="E62" s="2047"/>
      <c r="F62" s="2047"/>
      <c r="G62" s="2047"/>
      <c r="H62" s="2048" t="s">
        <v>67</v>
      </c>
      <c r="I62" s="2049"/>
      <c r="J62" s="2048" t="s">
        <v>68</v>
      </c>
      <c r="K62" s="2049"/>
      <c r="L62" s="151" t="s">
        <v>3</v>
      </c>
    </row>
    <row r="63" spans="2:12" ht="24.95" customHeight="1" x14ac:dyDescent="0.25">
      <c r="B63" s="2043" t="s">
        <v>70</v>
      </c>
      <c r="C63" s="2044"/>
      <c r="D63" s="2044"/>
      <c r="E63" s="2044"/>
      <c r="F63" s="2044"/>
      <c r="G63" s="2045"/>
      <c r="H63" s="282"/>
      <c r="I63" s="283"/>
      <c r="J63" s="282"/>
      <c r="K63" s="283"/>
      <c r="L63" s="284"/>
    </row>
    <row r="64" spans="2:12" ht="24.95" customHeight="1" x14ac:dyDescent="0.25">
      <c r="B64" s="2043" t="s">
        <v>71</v>
      </c>
      <c r="C64" s="2044"/>
      <c r="D64" s="2044"/>
      <c r="E64" s="2044"/>
      <c r="F64" s="2044"/>
      <c r="G64" s="2045"/>
      <c r="H64" s="282"/>
      <c r="I64" s="283"/>
      <c r="J64" s="282"/>
      <c r="K64" s="283"/>
      <c r="L64" s="284"/>
    </row>
    <row r="65" spans="1:12" ht="24.95" customHeight="1" thickBot="1" x14ac:dyDescent="0.3">
      <c r="B65" s="2056" t="s">
        <v>72</v>
      </c>
      <c r="C65" s="2057"/>
      <c r="D65" s="2057"/>
      <c r="E65" s="2057"/>
      <c r="F65" s="2057"/>
      <c r="G65" s="2057"/>
      <c r="H65" s="280"/>
      <c r="I65" s="281"/>
      <c r="J65" s="280"/>
      <c r="K65" s="281"/>
      <c r="L65" s="285"/>
    </row>
    <row r="66" spans="1:12" ht="15.75" thickBot="1" x14ac:dyDescent="0.3">
      <c r="B66" s="21"/>
      <c r="C66" s="21"/>
      <c r="D66" s="21"/>
      <c r="E66" s="21"/>
      <c r="F66" s="21"/>
      <c r="G66" s="21"/>
      <c r="H66" s="20"/>
      <c r="I66" s="20"/>
      <c r="J66" s="5"/>
      <c r="K66" s="5"/>
      <c r="L66" s="5"/>
    </row>
    <row r="67" spans="1:12" ht="20.100000000000001" customHeight="1" x14ac:dyDescent="0.25">
      <c r="B67" s="2050" t="s">
        <v>108</v>
      </c>
      <c r="C67" s="2051"/>
      <c r="D67" s="2051"/>
      <c r="E67" s="2051"/>
      <c r="F67" s="2051"/>
      <c r="G67" s="2051"/>
      <c r="H67" s="2051"/>
      <c r="I67" s="2051"/>
      <c r="J67" s="2051"/>
      <c r="K67" s="2051"/>
      <c r="L67" s="2052"/>
    </row>
    <row r="68" spans="1:12" ht="20.100000000000001" customHeight="1" x14ac:dyDescent="0.25">
      <c r="B68" s="2098" t="s">
        <v>109</v>
      </c>
      <c r="C68" s="2099"/>
      <c r="D68" s="2100"/>
      <c r="E68" s="2101"/>
      <c r="F68" s="2101"/>
      <c r="G68" s="2101"/>
      <c r="H68" s="2101"/>
      <c r="I68" s="2101"/>
      <c r="J68" s="2101"/>
      <c r="K68" s="2101"/>
      <c r="L68" s="2102"/>
    </row>
    <row r="69" spans="1:12" ht="46.5" customHeight="1" thickBot="1" x14ac:dyDescent="0.3">
      <c r="B69" s="2103" t="s">
        <v>110</v>
      </c>
      <c r="C69" s="2104"/>
      <c r="D69" s="2105" t="s">
        <v>73</v>
      </c>
      <c r="E69" s="2106"/>
      <c r="F69" s="2106"/>
      <c r="G69" s="2107"/>
      <c r="H69" s="2105" t="s">
        <v>74</v>
      </c>
      <c r="I69" s="2106"/>
      <c r="J69" s="2106"/>
      <c r="K69" s="2106"/>
      <c r="L69" s="2108"/>
    </row>
    <row r="70" spans="1:12" x14ac:dyDescent="0.25">
      <c r="B70" s="4"/>
      <c r="C70" s="4"/>
      <c r="D70" s="4"/>
      <c r="E70" s="4"/>
      <c r="F70" s="4"/>
      <c r="G70" s="4"/>
      <c r="H70" s="5"/>
      <c r="I70" s="5"/>
      <c r="J70" s="5"/>
      <c r="K70" s="5"/>
      <c r="L70" s="5"/>
    </row>
    <row r="71" spans="1:12" ht="18.75" x14ac:dyDescent="0.25">
      <c r="A71" s="161"/>
      <c r="B71" s="2109" t="s">
        <v>12</v>
      </c>
      <c r="C71" s="2110"/>
      <c r="D71" s="2110"/>
      <c r="E71" s="2110"/>
      <c r="F71" s="2110"/>
      <c r="G71" s="2110"/>
      <c r="H71" s="2110"/>
      <c r="I71" s="2110"/>
      <c r="J71" s="2110"/>
      <c r="K71" s="2110"/>
      <c r="L71" s="2111"/>
    </row>
    <row r="72" spans="1:12" ht="18.75" x14ac:dyDescent="0.3">
      <c r="A72" s="150"/>
      <c r="B72" s="2115" t="s">
        <v>190</v>
      </c>
      <c r="C72" s="2116"/>
      <c r="D72" s="2116"/>
      <c r="E72" s="2116"/>
      <c r="F72" s="2116"/>
      <c r="G72" s="2116"/>
      <c r="H72" s="2116"/>
      <c r="I72" s="2116"/>
      <c r="J72" s="2116"/>
      <c r="K72" s="2116"/>
      <c r="L72" s="2117"/>
    </row>
    <row r="73" spans="1:12" ht="18.75" x14ac:dyDescent="0.3">
      <c r="A73" s="150"/>
      <c r="B73" s="2112" t="s">
        <v>13</v>
      </c>
      <c r="C73" s="2113"/>
      <c r="D73" s="2113"/>
      <c r="E73" s="2113"/>
      <c r="F73" s="2113"/>
      <c r="G73" s="2113"/>
      <c r="H73" s="2113"/>
      <c r="I73" s="2113"/>
      <c r="J73" s="2113"/>
      <c r="K73" s="2113"/>
      <c r="L73" s="2114"/>
    </row>
    <row r="74" spans="1:12" ht="15.75" x14ac:dyDescent="0.25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</row>
    <row r="75" spans="1:12" ht="30.75" customHeight="1" x14ac:dyDescent="0.25">
      <c r="B75" s="2028" t="s">
        <v>163</v>
      </c>
      <c r="C75" s="2029"/>
      <c r="D75" s="2029"/>
      <c r="E75" s="2029"/>
      <c r="F75" s="2029"/>
      <c r="G75" s="2029"/>
      <c r="H75" s="2029"/>
      <c r="I75" s="2029"/>
      <c r="J75" s="2029"/>
      <c r="K75" s="2029"/>
      <c r="L75" s="2030"/>
    </row>
    <row r="76" spans="1:12" ht="15.75" x14ac:dyDescent="0.25">
      <c r="B76" s="2031" t="s">
        <v>152</v>
      </c>
      <c r="C76" s="2032"/>
      <c r="D76" s="2032"/>
      <c r="E76" s="2032"/>
      <c r="F76" s="2032"/>
      <c r="G76" s="2032"/>
      <c r="H76" s="2032"/>
      <c r="I76" s="2032"/>
      <c r="J76" s="2032"/>
      <c r="K76" s="2032"/>
      <c r="L76" s="2033"/>
    </row>
    <row r="77" spans="1:12" ht="21.75" customHeight="1" x14ac:dyDescent="0.25">
      <c r="B77" s="2053" t="s">
        <v>4</v>
      </c>
      <c r="C77" s="2054"/>
      <c r="D77" s="2054"/>
      <c r="E77" s="2054"/>
      <c r="F77" s="2054"/>
      <c r="G77" s="2054"/>
      <c r="H77" s="2054"/>
      <c r="I77" s="2054"/>
      <c r="J77" s="2054"/>
      <c r="K77" s="2054"/>
      <c r="L77" s="2055"/>
    </row>
    <row r="78" spans="1:12" ht="15.75" x14ac:dyDescent="0.25">
      <c r="B78" s="2061" t="s">
        <v>432</v>
      </c>
      <c r="C78" s="2062"/>
      <c r="D78" s="2062"/>
      <c r="E78" s="2062"/>
      <c r="F78" s="2062"/>
      <c r="G78" s="2062"/>
      <c r="H78" s="2062"/>
      <c r="I78" s="2062"/>
      <c r="J78" s="2062"/>
      <c r="K78" s="2062"/>
      <c r="L78" s="2063"/>
    </row>
    <row r="79" spans="1:12" ht="15.75" customHeight="1" x14ac:dyDescent="0.25">
      <c r="B79" s="2002" t="s">
        <v>496</v>
      </c>
      <c r="C79" s="2003"/>
      <c r="D79" s="2003"/>
      <c r="E79" s="2003"/>
      <c r="F79" s="2003"/>
      <c r="G79" s="2003"/>
      <c r="H79" s="2003"/>
      <c r="I79" s="2003"/>
      <c r="J79" s="2003"/>
      <c r="K79" s="2003"/>
      <c r="L79" s="2004"/>
    </row>
    <row r="80" spans="1:12" ht="132.75" customHeight="1" x14ac:dyDescent="0.25">
      <c r="B80" s="1999" t="s">
        <v>497</v>
      </c>
      <c r="C80" s="2000"/>
      <c r="D80" s="2000"/>
      <c r="E80" s="2000"/>
      <c r="F80" s="2000"/>
      <c r="G80" s="2000"/>
      <c r="H80" s="2000"/>
      <c r="I80" s="2000"/>
      <c r="J80" s="2000"/>
      <c r="K80" s="2000"/>
      <c r="L80" s="2001"/>
    </row>
    <row r="81" spans="2:12" ht="50.25" customHeight="1" x14ac:dyDescent="0.25">
      <c r="B81" s="1980" t="s">
        <v>498</v>
      </c>
      <c r="C81" s="1981"/>
      <c r="D81" s="1981"/>
      <c r="E81" s="1981"/>
      <c r="F81" s="1981"/>
      <c r="G81" s="1981"/>
      <c r="H81" s="1981"/>
      <c r="I81" s="1981"/>
      <c r="J81" s="1981"/>
      <c r="K81" s="1981"/>
      <c r="L81" s="1982"/>
    </row>
    <row r="82" spans="2:12" ht="15" customHeight="1" x14ac:dyDescent="0.25">
      <c r="B82" s="1983" t="s">
        <v>14</v>
      </c>
      <c r="C82" s="1984"/>
      <c r="D82" s="1984"/>
      <c r="E82" s="1984"/>
      <c r="F82" s="1985"/>
      <c r="G82" s="185">
        <v>6</v>
      </c>
      <c r="H82" s="185">
        <v>5</v>
      </c>
      <c r="I82" s="185">
        <v>4</v>
      </c>
      <c r="J82" s="185">
        <v>3</v>
      </c>
      <c r="K82" s="185">
        <v>2</v>
      </c>
      <c r="L82" s="185">
        <v>1</v>
      </c>
    </row>
    <row r="83" spans="2:12" ht="15" customHeight="1" x14ac:dyDescent="0.25">
      <c r="B83" s="1974" t="s">
        <v>15</v>
      </c>
      <c r="C83" s="1975"/>
      <c r="D83" s="1975"/>
      <c r="E83" s="1975"/>
      <c r="F83" s="1976"/>
      <c r="G83" s="186">
        <v>1</v>
      </c>
      <c r="H83" s="186">
        <v>0.8</v>
      </c>
      <c r="I83" s="186">
        <v>0.6</v>
      </c>
      <c r="J83" s="186">
        <v>0.5</v>
      </c>
      <c r="K83" s="186">
        <v>0.3</v>
      </c>
      <c r="L83" s="186">
        <v>0.2</v>
      </c>
    </row>
    <row r="84" spans="2:12" ht="35.25" customHeight="1" x14ac:dyDescent="0.25">
      <c r="B84" s="2034" t="s">
        <v>153</v>
      </c>
      <c r="C84" s="2035"/>
      <c r="D84" s="2035"/>
      <c r="E84" s="2035"/>
      <c r="F84" s="2035"/>
      <c r="G84" s="2035"/>
      <c r="H84" s="2035"/>
      <c r="I84" s="2035"/>
      <c r="J84" s="2035"/>
      <c r="K84" s="2035"/>
      <c r="L84" s="2036"/>
    </row>
    <row r="85" spans="2:12" ht="63.75" customHeight="1" x14ac:dyDescent="0.25">
      <c r="B85" s="1977" t="s">
        <v>499</v>
      </c>
      <c r="C85" s="1978"/>
      <c r="D85" s="1978"/>
      <c r="E85" s="1978"/>
      <c r="F85" s="1978"/>
      <c r="G85" s="1978"/>
      <c r="H85" s="1978"/>
      <c r="I85" s="1978"/>
      <c r="J85" s="1978"/>
      <c r="K85" s="1978"/>
      <c r="L85" s="1979"/>
    </row>
    <row r="86" spans="2:12" ht="15" customHeight="1" x14ac:dyDescent="0.25">
      <c r="B86" s="1983" t="s">
        <v>14</v>
      </c>
      <c r="C86" s="1984"/>
      <c r="D86" s="1984"/>
      <c r="E86" s="1984"/>
      <c r="F86" s="1985"/>
      <c r="G86" s="185">
        <v>6</v>
      </c>
      <c r="H86" s="185">
        <v>5</v>
      </c>
      <c r="I86" s="185">
        <v>4</v>
      </c>
      <c r="J86" s="185">
        <v>3</v>
      </c>
      <c r="K86" s="185">
        <v>2</v>
      </c>
      <c r="L86" s="185">
        <v>1</v>
      </c>
    </row>
    <row r="87" spans="2:12" ht="15" customHeight="1" x14ac:dyDescent="0.25">
      <c r="B87" s="1974" t="s">
        <v>15</v>
      </c>
      <c r="C87" s="1975"/>
      <c r="D87" s="1975"/>
      <c r="E87" s="1975"/>
      <c r="F87" s="1976"/>
      <c r="G87" s="186">
        <v>1</v>
      </c>
      <c r="H87" s="186">
        <v>0.8</v>
      </c>
      <c r="I87" s="186">
        <v>0.6</v>
      </c>
      <c r="J87" s="186">
        <v>0.5</v>
      </c>
      <c r="K87" s="186">
        <v>0.3</v>
      </c>
      <c r="L87" s="186">
        <v>0.2</v>
      </c>
    </row>
    <row r="88" spans="2:12" ht="15" customHeight="1" x14ac:dyDescent="0.25">
      <c r="B88" s="187"/>
      <c r="C88" s="188"/>
      <c r="D88" s="188"/>
      <c r="E88" s="188"/>
      <c r="F88" s="188"/>
      <c r="G88" s="189"/>
      <c r="H88" s="189"/>
      <c r="I88" s="189"/>
      <c r="J88" s="189"/>
      <c r="K88" s="189"/>
      <c r="L88" s="190"/>
    </row>
    <row r="89" spans="2:12" ht="15.75" x14ac:dyDescent="0.25">
      <c r="B89" s="2061" t="s">
        <v>433</v>
      </c>
      <c r="C89" s="2062"/>
      <c r="D89" s="2062"/>
      <c r="E89" s="2062"/>
      <c r="F89" s="2062"/>
      <c r="G89" s="2062"/>
      <c r="H89" s="2062"/>
      <c r="I89" s="2062"/>
      <c r="J89" s="2062"/>
      <c r="K89" s="2062"/>
      <c r="L89" s="2063"/>
    </row>
    <row r="90" spans="2:12" ht="33.75" customHeight="1" x14ac:dyDescent="0.25">
      <c r="B90" s="2002" t="s">
        <v>500</v>
      </c>
      <c r="C90" s="2003"/>
      <c r="D90" s="2003"/>
      <c r="E90" s="2003"/>
      <c r="F90" s="2003"/>
      <c r="G90" s="2003"/>
      <c r="H90" s="2003"/>
      <c r="I90" s="2003"/>
      <c r="J90" s="2003"/>
      <c r="K90" s="2003"/>
      <c r="L90" s="2004"/>
    </row>
    <row r="91" spans="2:12" ht="15.75" x14ac:dyDescent="0.25">
      <c r="B91" s="1983" t="s">
        <v>106</v>
      </c>
      <c r="C91" s="1984"/>
      <c r="D91" s="1984"/>
      <c r="E91" s="1984"/>
      <c r="F91" s="1985"/>
      <c r="G91" s="185" t="s">
        <v>107</v>
      </c>
      <c r="H91" s="185">
        <v>2</v>
      </c>
      <c r="I91" s="185">
        <v>1</v>
      </c>
      <c r="J91" s="191"/>
      <c r="K91" s="191"/>
      <c r="L91" s="192"/>
    </row>
    <row r="92" spans="2:12" ht="15.75" x14ac:dyDescent="0.25">
      <c r="B92" s="1974" t="s">
        <v>15</v>
      </c>
      <c r="C92" s="1975"/>
      <c r="D92" s="1975"/>
      <c r="E92" s="1975"/>
      <c r="F92" s="1976"/>
      <c r="G92" s="186">
        <v>1</v>
      </c>
      <c r="H92" s="186">
        <v>0.8</v>
      </c>
      <c r="I92" s="186">
        <v>0.6</v>
      </c>
      <c r="J92" s="191"/>
      <c r="K92" s="191"/>
      <c r="L92" s="192"/>
    </row>
    <row r="93" spans="2:12" ht="15.75" x14ac:dyDescent="0.25">
      <c r="B93" s="1971" t="s">
        <v>501</v>
      </c>
      <c r="C93" s="1972"/>
      <c r="D93" s="1972"/>
      <c r="E93" s="1972"/>
      <c r="F93" s="1972"/>
      <c r="G93" s="1972"/>
      <c r="H93" s="1972"/>
      <c r="I93" s="1972"/>
      <c r="J93" s="1972"/>
      <c r="K93" s="1972"/>
      <c r="L93" s="1973"/>
    </row>
    <row r="94" spans="2:12" ht="36.75" customHeight="1" x14ac:dyDescent="0.25">
      <c r="B94" s="2025" t="s">
        <v>151</v>
      </c>
      <c r="C94" s="2026"/>
      <c r="D94" s="2026"/>
      <c r="E94" s="2026"/>
      <c r="F94" s="2026"/>
      <c r="G94" s="2026"/>
      <c r="H94" s="2026"/>
      <c r="I94" s="2026"/>
      <c r="J94" s="2026"/>
      <c r="K94" s="2026"/>
      <c r="L94" s="2027"/>
    </row>
  </sheetData>
  <sheetProtection formatCells="0" insertHyperlinks="0"/>
  <mergeCells count="101">
    <mergeCell ref="B58:G58"/>
    <mergeCell ref="H58:K58"/>
    <mergeCell ref="B25:L25"/>
    <mergeCell ref="B30:L30"/>
    <mergeCell ref="B41:G41"/>
    <mergeCell ref="B26:G26"/>
    <mergeCell ref="B42:G42"/>
    <mergeCell ref="B35:G35"/>
    <mergeCell ref="B36:G36"/>
    <mergeCell ref="B37:G37"/>
    <mergeCell ref="B38:G38"/>
    <mergeCell ref="B34:G34"/>
    <mergeCell ref="B31:G31"/>
    <mergeCell ref="B32:G32"/>
    <mergeCell ref="B46:G46"/>
    <mergeCell ref="B47:G47"/>
    <mergeCell ref="B44:G44"/>
    <mergeCell ref="B27:G27"/>
    <mergeCell ref="B28:G28"/>
    <mergeCell ref="B29:G29"/>
    <mergeCell ref="B57:G57"/>
    <mergeCell ref="B45:G45"/>
    <mergeCell ref="B78:L78"/>
    <mergeCell ref="B68:C68"/>
    <mergeCell ref="D68:L68"/>
    <mergeCell ref="B69:C69"/>
    <mergeCell ref="D69:G69"/>
    <mergeCell ref="H69:L69"/>
    <mergeCell ref="B71:L71"/>
    <mergeCell ref="B73:L73"/>
    <mergeCell ref="B72:L72"/>
    <mergeCell ref="B11:L11"/>
    <mergeCell ref="B12:J12"/>
    <mergeCell ref="B18:D18"/>
    <mergeCell ref="B19:D19"/>
    <mergeCell ref="E18:L18"/>
    <mergeCell ref="E19:L19"/>
    <mergeCell ref="H23:I23"/>
    <mergeCell ref="B16:D16"/>
    <mergeCell ref="E16:L16"/>
    <mergeCell ref="D23:G24"/>
    <mergeCell ref="B23:C24"/>
    <mergeCell ref="J23:K23"/>
    <mergeCell ref="F21:H21"/>
    <mergeCell ref="F3:G3"/>
    <mergeCell ref="B1:L1"/>
    <mergeCell ref="B9:L9"/>
    <mergeCell ref="B6:L6"/>
    <mergeCell ref="B2:L2"/>
    <mergeCell ref="B3:C3"/>
    <mergeCell ref="B8:L8"/>
    <mergeCell ref="B4:L4"/>
    <mergeCell ref="B7:L7"/>
    <mergeCell ref="B94:L94"/>
    <mergeCell ref="B75:L75"/>
    <mergeCell ref="B76:L76"/>
    <mergeCell ref="B84:L84"/>
    <mergeCell ref="B50:G50"/>
    <mergeCell ref="B51:G51"/>
    <mergeCell ref="B52:G52"/>
    <mergeCell ref="H59:K59"/>
    <mergeCell ref="H60:K60"/>
    <mergeCell ref="B63:G63"/>
    <mergeCell ref="B64:G64"/>
    <mergeCell ref="B62:G62"/>
    <mergeCell ref="H62:I62"/>
    <mergeCell ref="J62:K62"/>
    <mergeCell ref="B67:L67"/>
    <mergeCell ref="B77:L77"/>
    <mergeCell ref="B65:G65"/>
    <mergeCell ref="H57:K57"/>
    <mergeCell ref="B92:F92"/>
    <mergeCell ref="B83:F83"/>
    <mergeCell ref="B86:F86"/>
    <mergeCell ref="B89:L89"/>
    <mergeCell ref="B90:L90"/>
    <mergeCell ref="B91:F91"/>
    <mergeCell ref="B93:L93"/>
    <mergeCell ref="B87:F87"/>
    <mergeCell ref="B85:L85"/>
    <mergeCell ref="B81:L81"/>
    <mergeCell ref="B82:F82"/>
    <mergeCell ref="B13:E13"/>
    <mergeCell ref="F13:L13"/>
    <mergeCell ref="B14:E14"/>
    <mergeCell ref="F14:L14"/>
    <mergeCell ref="L23:L24"/>
    <mergeCell ref="B43:G43"/>
    <mergeCell ref="B40:G40"/>
    <mergeCell ref="B80:L80"/>
    <mergeCell ref="B79:L79"/>
    <mergeCell ref="B33:G33"/>
    <mergeCell ref="B39:G39"/>
    <mergeCell ref="B48:G48"/>
    <mergeCell ref="B59:G59"/>
    <mergeCell ref="B60:G60"/>
    <mergeCell ref="B49:G49"/>
    <mergeCell ref="B55:G55"/>
    <mergeCell ref="B56:G56"/>
    <mergeCell ref="B54:G54"/>
    <mergeCell ref="B53:G53"/>
  </mergeCells>
  <conditionalFormatting sqref="C21:L21">
    <cfRule type="expression" dxfId="91" priority="1">
      <formula>NOT($Q$26)</formula>
    </cfRule>
  </conditionalFormatting>
  <dataValidations disablePrompts="1" count="1">
    <dataValidation type="list" operator="greaterThanOrEqual" allowBlank="1" showErrorMessage="1" error="Въведете коректна стойност!" sqref="U32:U43" xr:uid="{81805ED7-794D-4A8C-881E-B93A6AD47CD6}">
      <formula1>INDIRECT("T_УчПрактики[Практика и курсова работа]")</formula1>
    </dataValidation>
  </dataValidations>
  <hyperlinks>
    <hyperlink ref="E3" location="BMHomeTotal" display="Общо" xr:uid="{00000000-0004-0000-0500-000000000000}"/>
    <hyperlink ref="D3" location="IPBMD" display="Начало" xr:uid="{00000000-0004-0000-0500-000001000000}"/>
    <hyperlink ref="F3:G3" location="BMHomeOP" display="BMHomeOP" xr:uid="{00000000-0004-0000-0500-000002000000}"/>
    <hyperlink ref="H3" location="ZimenSemestarB" display="ОКС &quot;бакалавър&quot;" xr:uid="{00000000-0004-0000-0500-000003000000}"/>
    <hyperlink ref="I3" location="ZimenSemestarM" display="ОКС &quot;магистър" xr:uid="{00000000-0004-0000-0500-000004000000}"/>
    <hyperlink ref="J3" location="ONSDr" display="ОНС &quot;доктор&quot;" xr:uid="{00000000-0004-0000-0500-000005000000}"/>
    <hyperlink ref="L3" r:id="rId1" xr:uid="{00000000-0004-0000-0500-000006000000}"/>
    <hyperlink ref="K3" location="BMPodgotovkaKurs" display="Подготовка курс" xr:uid="{00000000-0004-0000-0500-000007000000}"/>
  </hyperlinks>
  <printOptions horizontalCentered="1"/>
  <pageMargins left="0.23622047244094491" right="0.23622047244094491" top="0.31496062992125984" bottom="0.59055118110236227" header="0.31496062992125984" footer="0.31496062992125984"/>
  <pageSetup paperSize="9" scale="51" orientation="portrait" r:id="rId2"/>
  <headerFooter>
    <oddFooter>&amp;RПодпис:...................................................................</oddFooter>
  </headerFooter>
  <ignoredErrors>
    <ignoredError sqref="E21:L21 B6 F13:L13 B8 E18" unlockedFormula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41" r:id="rId5" name="Check Box 69">
              <controlPr locked="0" defaultSize="0" autoFill="0" autoLine="0" autoPict="0">
                <anchor moveWithCells="1">
                  <from>
                    <xdr:col>0</xdr:col>
                    <xdr:colOff>133350</xdr:colOff>
                    <xdr:row>20</xdr:row>
                    <xdr:rowOff>38100</xdr:rowOff>
                  </from>
                  <to>
                    <xdr:col>1</xdr:col>
                    <xdr:colOff>161925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pageSetUpPr fitToPage="1"/>
  </sheetPr>
  <dimension ref="A1:AM93"/>
  <sheetViews>
    <sheetView workbookViewId="0"/>
  </sheetViews>
  <sheetFormatPr defaultRowHeight="15" x14ac:dyDescent="0.25"/>
  <cols>
    <col min="1" max="1" width="2.5703125" style="34" customWidth="1"/>
    <col min="2" max="3" width="11.5703125" style="1" customWidth="1"/>
    <col min="4" max="4" width="20" style="1" customWidth="1"/>
    <col min="5" max="5" width="5.140625" style="1" bestFit="1" customWidth="1"/>
    <col min="6" max="7" width="14.140625" style="1" customWidth="1"/>
    <col min="8" max="11" width="15.7109375" style="1" customWidth="1"/>
    <col min="12" max="12" width="13.85546875" style="1" bestFit="1" customWidth="1"/>
    <col min="13" max="13" width="9.140625" customWidth="1"/>
    <col min="14" max="15" width="10.140625" customWidth="1"/>
    <col min="16" max="16" width="8.140625" customWidth="1"/>
    <col min="17" max="17" width="5" bestFit="1" customWidth="1"/>
    <col min="18" max="18" width="9.140625" style="34" customWidth="1"/>
    <col min="19" max="19" width="13.85546875" style="34" customWidth="1"/>
    <col min="20" max="39" width="9.140625" style="34" customWidth="1"/>
    <col min="40" max="16384" width="9.140625" style="34"/>
  </cols>
  <sheetData>
    <row r="1" spans="2:19" ht="15.75" x14ac:dyDescent="0.25">
      <c r="B1" s="2065" t="s">
        <v>0</v>
      </c>
      <c r="C1" s="2065"/>
      <c r="D1" s="2065"/>
      <c r="E1" s="2065"/>
      <c r="F1" s="2065"/>
      <c r="G1" s="2065"/>
      <c r="H1" s="2065"/>
      <c r="I1" s="2065"/>
      <c r="J1" s="2065"/>
      <c r="K1" s="2065"/>
      <c r="L1" s="2065"/>
    </row>
    <row r="2" spans="2:19" ht="51" customHeight="1" thickBot="1" x14ac:dyDescent="0.3">
      <c r="B2" s="2068" t="s">
        <v>162</v>
      </c>
      <c r="C2" s="2065"/>
      <c r="D2" s="2065"/>
      <c r="E2" s="2065"/>
      <c r="F2" s="2065"/>
      <c r="G2" s="2065"/>
      <c r="H2" s="2065"/>
      <c r="I2" s="2065"/>
      <c r="J2" s="2065"/>
      <c r="K2" s="2065"/>
      <c r="L2" s="2065"/>
    </row>
    <row r="3" spans="2:19" s="35" customFormat="1" ht="16.5" x14ac:dyDescent="0.3">
      <c r="B3" s="2159" t="s">
        <v>1</v>
      </c>
      <c r="C3" s="2160"/>
      <c r="D3" s="2163" t="s">
        <v>2</v>
      </c>
      <c r="E3" s="2154" t="s">
        <v>3</v>
      </c>
      <c r="F3" s="2154"/>
      <c r="G3" s="699"/>
      <c r="H3" s="2155" t="s">
        <v>67</v>
      </c>
      <c r="I3" s="2155"/>
      <c r="J3" s="700" t="s">
        <v>69</v>
      </c>
      <c r="K3" s="699"/>
      <c r="L3" s="2157" t="s">
        <v>118</v>
      </c>
      <c r="M3"/>
      <c r="N3"/>
      <c r="O3"/>
      <c r="P3"/>
      <c r="Q3"/>
    </row>
    <row r="4" spans="2:19" s="35" customFormat="1" ht="16.5" customHeight="1" thickBot="1" x14ac:dyDescent="0.35">
      <c r="B4" s="2161"/>
      <c r="C4" s="2162"/>
      <c r="D4" s="2164"/>
      <c r="E4" s="2150" t="s">
        <v>4</v>
      </c>
      <c r="F4" s="2150"/>
      <c r="G4" s="701"/>
      <c r="H4" s="2156" t="s">
        <v>68</v>
      </c>
      <c r="I4" s="2156"/>
      <c r="J4" s="702" t="s">
        <v>149</v>
      </c>
      <c r="K4" s="701"/>
      <c r="L4" s="2158"/>
      <c r="M4"/>
      <c r="N4"/>
      <c r="O4"/>
      <c r="P4"/>
      <c r="Q4"/>
    </row>
    <row r="5" spans="2:19" ht="24.75" customHeight="1" x14ac:dyDescent="0.25">
      <c r="B5" s="2151" t="s">
        <v>294</v>
      </c>
      <c r="C5" s="2151"/>
      <c r="D5" s="2151"/>
      <c r="E5" s="2151"/>
      <c r="F5" s="2151"/>
      <c r="G5" s="2151"/>
      <c r="H5" s="2151"/>
      <c r="I5" s="2151"/>
      <c r="J5" s="2151"/>
      <c r="K5" s="2151"/>
      <c r="L5" s="2151"/>
    </row>
    <row r="7" spans="2:19" ht="24.95" customHeight="1" x14ac:dyDescent="0.25">
      <c r="B7" s="2152"/>
      <c r="C7" s="2152"/>
      <c r="D7" s="2152"/>
      <c r="E7" s="2152"/>
      <c r="F7" s="2152"/>
      <c r="G7" s="2152"/>
      <c r="H7" s="2152"/>
      <c r="I7" s="2152"/>
      <c r="J7" s="2152"/>
      <c r="K7" s="2152"/>
      <c r="L7" s="2152"/>
    </row>
    <row r="8" spans="2:19" ht="21" customHeight="1" x14ac:dyDescent="0.25">
      <c r="B8" s="2073" t="s">
        <v>5</v>
      </c>
      <c r="C8" s="2073"/>
      <c r="D8" s="2073"/>
      <c r="E8" s="2073"/>
      <c r="F8" s="2073"/>
      <c r="G8" s="2073"/>
      <c r="H8" s="2073"/>
      <c r="I8" s="2073"/>
      <c r="J8" s="2073"/>
      <c r="K8" s="2073"/>
      <c r="L8" s="2073"/>
    </row>
    <row r="9" spans="2:19" ht="24.95" customHeight="1" x14ac:dyDescent="0.25">
      <c r="B9" s="2153"/>
      <c r="C9" s="2153"/>
      <c r="D9" s="2153"/>
      <c r="E9" s="2153"/>
      <c r="F9" s="2153"/>
      <c r="G9" s="2153"/>
      <c r="H9" s="2153"/>
      <c r="I9" s="2153"/>
      <c r="J9" s="2153"/>
      <c r="K9" s="2153"/>
      <c r="L9" s="2153"/>
    </row>
    <row r="10" spans="2:19" x14ac:dyDescent="0.25">
      <c r="B10" s="2066" t="s">
        <v>6</v>
      </c>
      <c r="C10" s="2066"/>
      <c r="D10" s="2066"/>
      <c r="E10" s="2066"/>
      <c r="F10" s="2066"/>
      <c r="G10" s="2066"/>
      <c r="H10" s="2066"/>
      <c r="I10" s="2066"/>
      <c r="J10" s="2066"/>
      <c r="K10" s="2066"/>
      <c r="L10" s="2066"/>
    </row>
    <row r="11" spans="2:19" ht="15.75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2:19" ht="27.75" x14ac:dyDescent="0.4">
      <c r="B12" s="2074" t="s">
        <v>7</v>
      </c>
      <c r="C12" s="2074"/>
      <c r="D12" s="2074"/>
      <c r="E12" s="2074"/>
      <c r="F12" s="2074"/>
      <c r="G12" s="2074"/>
      <c r="H12" s="2074"/>
      <c r="I12" s="2074"/>
      <c r="J12" s="2074"/>
      <c r="K12" s="2074"/>
      <c r="L12" s="2074"/>
      <c r="S12" s="339"/>
    </row>
    <row r="13" spans="2:19" x14ac:dyDescent="0.25">
      <c r="B13" s="2075"/>
      <c r="C13" s="2075"/>
      <c r="D13" s="2075"/>
      <c r="E13" s="2075"/>
      <c r="F13" s="2075"/>
      <c r="G13" s="2075"/>
      <c r="H13" s="2075"/>
      <c r="I13" s="2075"/>
      <c r="J13" s="2075"/>
      <c r="K13" s="33"/>
      <c r="L13" s="33"/>
      <c r="S13" s="339"/>
    </row>
    <row r="14" spans="2:19" ht="24.95" customHeight="1" x14ac:dyDescent="0.25">
      <c r="B14" s="2148"/>
      <c r="C14" s="2149"/>
      <c r="D14" s="2149"/>
      <c r="E14" s="2149"/>
      <c r="F14" s="1988"/>
      <c r="G14" s="1989"/>
      <c r="H14" s="1989"/>
      <c r="I14" s="1989"/>
      <c r="J14" s="1989"/>
      <c r="K14" s="1989"/>
      <c r="L14" s="1990"/>
      <c r="S14" s="339"/>
    </row>
    <row r="15" spans="2:19" x14ac:dyDescent="0.25">
      <c r="B15" s="1991" t="s">
        <v>614</v>
      </c>
      <c r="C15" s="1991"/>
      <c r="D15" s="1991"/>
      <c r="E15" s="1991"/>
      <c r="F15" s="1992" t="s">
        <v>615</v>
      </c>
      <c r="G15" s="1992"/>
      <c r="H15" s="1992"/>
      <c r="I15" s="1992"/>
      <c r="J15" s="1992"/>
      <c r="K15" s="1992"/>
      <c r="L15" s="1992"/>
    </row>
    <row r="16" spans="2:19" x14ac:dyDescent="0.25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S16" s="339"/>
    </row>
    <row r="17" spans="2:39" ht="30" customHeight="1" x14ac:dyDescent="0.25">
      <c r="B17" s="2082" t="s">
        <v>293</v>
      </c>
      <c r="C17" s="2082"/>
      <c r="D17" s="2082"/>
      <c r="E17" s="2083"/>
      <c r="F17" s="2084"/>
      <c r="G17" s="2084"/>
      <c r="H17" s="2084"/>
      <c r="I17" s="2084"/>
      <c r="J17" s="2084"/>
      <c r="K17" s="2084"/>
      <c r="L17" s="2085"/>
      <c r="AH17"/>
      <c r="AI17"/>
      <c r="AM17" s="100"/>
    </row>
    <row r="18" spans="2:39" x14ac:dyDescent="0.25"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AH18"/>
      <c r="AI18"/>
    </row>
    <row r="19" spans="2:39" ht="16.5" customHeight="1" x14ac:dyDescent="0.25">
      <c r="B19" s="2076" t="s">
        <v>8</v>
      </c>
      <c r="C19" s="2076"/>
      <c r="D19" s="2076"/>
      <c r="E19" s="2078"/>
      <c r="F19" s="2078"/>
      <c r="G19" s="2078"/>
      <c r="H19" s="2078"/>
      <c r="I19" s="2078"/>
      <c r="J19" s="2078"/>
      <c r="K19" s="2078"/>
      <c r="L19" s="2078"/>
    </row>
    <row r="20" spans="2:39" x14ac:dyDescent="0.25">
      <c r="B20" s="2077" t="s">
        <v>161</v>
      </c>
      <c r="C20" s="2077"/>
      <c r="D20" s="2077"/>
      <c r="E20" s="2079" t="str">
        <f>IF(E19=0,list!B82,VLOOKUP(E19,RakovodnaDl[],2,0))</f>
        <v>няма определена</v>
      </c>
      <c r="F20" s="2079"/>
      <c r="G20" s="2079"/>
      <c r="H20" s="2079"/>
      <c r="I20" s="2079"/>
      <c r="J20" s="2079"/>
      <c r="K20" s="2079"/>
      <c r="L20" s="2079"/>
    </row>
    <row r="21" spans="2:39" ht="9.9499999999999993" customHeight="1" x14ac:dyDescent="0.25">
      <c r="B21"/>
      <c r="C21"/>
      <c r="D21"/>
      <c r="E21"/>
      <c r="F21"/>
      <c r="G21"/>
      <c r="H21"/>
      <c r="I21"/>
      <c r="J21"/>
      <c r="K21"/>
      <c r="L21"/>
      <c r="R21"/>
      <c r="S21"/>
    </row>
    <row r="22" spans="2:39" s="273" customFormat="1" ht="20.100000000000001" customHeight="1" x14ac:dyDescent="0.3">
      <c r="B22" s="342" t="s">
        <v>520</v>
      </c>
      <c r="C22" s="275" t="s">
        <v>521</v>
      </c>
      <c r="D22" s="276"/>
      <c r="E22" s="275" t="s">
        <v>522</v>
      </c>
      <c r="F22" s="2095"/>
      <c r="G22" s="2096"/>
      <c r="H22" s="2097"/>
      <c r="I22" s="275" t="s">
        <v>523</v>
      </c>
      <c r="J22" s="336"/>
      <c r="K22" s="278" t="s">
        <v>524</v>
      </c>
      <c r="L22" s="336"/>
      <c r="M22"/>
      <c r="N22"/>
      <c r="O22"/>
      <c r="P22"/>
      <c r="Q22"/>
      <c r="S22" s="341"/>
    </row>
    <row r="23" spans="2:39" customFormat="1" ht="9.9499999999999993" customHeight="1" thickBot="1" x14ac:dyDescent="0.3"/>
    <row r="24" spans="2:39" ht="33" customHeight="1" x14ac:dyDescent="0.25">
      <c r="B24" s="2090" t="s">
        <v>431</v>
      </c>
      <c r="C24" s="2091"/>
      <c r="D24" s="2086" t="str">
        <f>ПЕРИОД!D9</f>
        <v>2024/2025</v>
      </c>
      <c r="E24" s="2086"/>
      <c r="F24" s="2086"/>
      <c r="G24" s="2087"/>
      <c r="H24" s="2080" t="s">
        <v>154</v>
      </c>
      <c r="I24" s="2081"/>
      <c r="J24" s="2165" t="s">
        <v>68</v>
      </c>
      <c r="K24" s="2081"/>
      <c r="L24" s="1993" t="s">
        <v>69</v>
      </c>
    </row>
    <row r="25" spans="2:39" ht="16.5" customHeight="1" thickBot="1" x14ac:dyDescent="0.3">
      <c r="B25" s="2092"/>
      <c r="C25" s="2093"/>
      <c r="D25" s="2088"/>
      <c r="E25" s="2088"/>
      <c r="F25" s="2088"/>
      <c r="G25" s="2089"/>
      <c r="H25" s="291" t="s">
        <v>531</v>
      </c>
      <c r="I25" s="292" t="s">
        <v>532</v>
      </c>
      <c r="J25" s="291" t="s">
        <v>531</v>
      </c>
      <c r="K25" s="292" t="s">
        <v>532</v>
      </c>
      <c r="L25" s="1994"/>
    </row>
    <row r="26" spans="2:39" s="92" customFormat="1" ht="20.100000000000001" customHeight="1" thickBot="1" x14ac:dyDescent="0.3">
      <c r="B26" s="2166" t="s">
        <v>9</v>
      </c>
      <c r="C26" s="2167"/>
      <c r="D26" s="2167"/>
      <c r="E26" s="2167"/>
      <c r="F26" s="2167"/>
      <c r="G26" s="2167"/>
      <c r="H26" s="2167"/>
      <c r="I26" s="2167"/>
      <c r="J26" s="2167"/>
      <c r="K26" s="2167"/>
      <c r="L26" s="2168"/>
      <c r="M26"/>
      <c r="N26"/>
      <c r="O26"/>
      <c r="P26"/>
      <c r="Q26"/>
    </row>
    <row r="27" spans="2:39" ht="20.100000000000001" customHeight="1" x14ac:dyDescent="0.25">
      <c r="B27" s="2023" t="s">
        <v>420</v>
      </c>
      <c r="C27" s="2024"/>
      <c r="D27" s="2024"/>
      <c r="E27" s="2024"/>
      <c r="F27" s="2024"/>
      <c r="G27" s="2024"/>
      <c r="H27" s="296">
        <f>'1. Планд'!H26</f>
        <v>0</v>
      </c>
      <c r="I27" s="297">
        <f>'1. Планд'!I26</f>
        <v>0</v>
      </c>
      <c r="J27" s="298">
        <f>'1. Планд'!J26</f>
        <v>0</v>
      </c>
      <c r="K27" s="299">
        <f>'1. Планд'!K26</f>
        <v>0</v>
      </c>
      <c r="L27" s="300">
        <f>'1. Планд'!L26</f>
        <v>0</v>
      </c>
    </row>
    <row r="28" spans="2:39" ht="20.100000000000001" customHeight="1" thickBot="1" x14ac:dyDescent="0.3">
      <c r="B28" s="2015" t="s">
        <v>421</v>
      </c>
      <c r="C28" s="2016"/>
      <c r="D28" s="2016"/>
      <c r="E28" s="2016"/>
      <c r="F28" s="2016"/>
      <c r="G28" s="2016"/>
      <c r="H28" s="301">
        <f>'1. Планд'!H27</f>
        <v>0</v>
      </c>
      <c r="I28" s="302">
        <f>'1. Планд'!I27</f>
        <v>0</v>
      </c>
      <c r="J28" s="303">
        <f>'1. Планд'!J27</f>
        <v>0</v>
      </c>
      <c r="K28" s="163">
        <f>'1. Планд'!K27</f>
        <v>0</v>
      </c>
      <c r="L28" s="304">
        <f>'1. Планд'!L27</f>
        <v>0</v>
      </c>
    </row>
    <row r="29" spans="2:39" ht="20.100000000000001" customHeight="1" thickTop="1" x14ac:dyDescent="0.25">
      <c r="B29" s="2023" t="s">
        <v>422</v>
      </c>
      <c r="C29" s="2024"/>
      <c r="D29" s="2024"/>
      <c r="E29" s="2024"/>
      <c r="F29" s="2024"/>
      <c r="G29" s="2024"/>
      <c r="H29" s="305">
        <f>'1. Планд'!H28</f>
        <v>0</v>
      </c>
      <c r="I29" s="306">
        <f>'1. Планд'!I28</f>
        <v>0</v>
      </c>
      <c r="J29" s="298">
        <f>'1. Планд'!J28</f>
        <v>0</v>
      </c>
      <c r="K29" s="299">
        <f>'1. Планд'!K28</f>
        <v>0</v>
      </c>
      <c r="L29" s="307">
        <f>'1. Планд'!L28</f>
        <v>0</v>
      </c>
    </row>
    <row r="30" spans="2:39" ht="20.100000000000001" customHeight="1" thickBot="1" x14ac:dyDescent="0.3">
      <c r="B30" s="2143" t="s">
        <v>423</v>
      </c>
      <c r="C30" s="2144"/>
      <c r="D30" s="2144"/>
      <c r="E30" s="2144"/>
      <c r="F30" s="2144"/>
      <c r="G30" s="2144"/>
      <c r="H30" s="443">
        <f>'1. Планд'!H29</f>
        <v>0</v>
      </c>
      <c r="I30" s="444">
        <f>'1. Планд'!I29</f>
        <v>0</v>
      </c>
      <c r="J30" s="445">
        <f>'1. Планд'!J29</f>
        <v>0</v>
      </c>
      <c r="K30" s="446">
        <f>'1. Планд'!K29</f>
        <v>0</v>
      </c>
      <c r="L30" s="447">
        <f>'1. Планд'!L29</f>
        <v>0</v>
      </c>
    </row>
    <row r="31" spans="2:39" ht="20.100000000000001" customHeight="1" thickBot="1" x14ac:dyDescent="0.3">
      <c r="B31" s="2169" t="s">
        <v>10</v>
      </c>
      <c r="C31" s="2170"/>
      <c r="D31" s="2170"/>
      <c r="E31" s="2170"/>
      <c r="F31" s="2170"/>
      <c r="G31" s="2170"/>
      <c r="H31" s="2170"/>
      <c r="I31" s="2170"/>
      <c r="J31" s="2170"/>
      <c r="K31" s="2170"/>
      <c r="L31" s="2171"/>
      <c r="W31" s="338"/>
    </row>
    <row r="32" spans="2:39" ht="27" customHeight="1" thickBot="1" x14ac:dyDescent="0.3">
      <c r="B32" s="2172" t="s">
        <v>424</v>
      </c>
      <c r="C32" s="2173"/>
      <c r="D32" s="2173"/>
      <c r="E32" s="2173"/>
      <c r="F32" s="2173"/>
      <c r="G32" s="2173"/>
      <c r="H32" s="384">
        <f>SUM(H33:H43)</f>
        <v>0</v>
      </c>
      <c r="I32" s="385">
        <f>SUM(I33:I43)</f>
        <v>0</v>
      </c>
      <c r="J32" s="384">
        <f>SUM(J33:J43)</f>
        <v>0</v>
      </c>
      <c r="K32" s="385">
        <f>SUM(K33:K43)</f>
        <v>0</v>
      </c>
      <c r="L32" s="452">
        <v>0</v>
      </c>
      <c r="W32" s="338"/>
    </row>
    <row r="33" spans="2:12" ht="24.95" customHeight="1" thickTop="1" x14ac:dyDescent="0.25">
      <c r="B33" s="2174" t="s">
        <v>630</v>
      </c>
      <c r="C33" s="2175"/>
      <c r="D33" s="2175"/>
      <c r="E33" s="2175"/>
      <c r="F33" s="2175"/>
      <c r="G33" s="2175"/>
      <c r="H33" s="386">
        <f>'1. Планд'!H32</f>
        <v>0</v>
      </c>
      <c r="I33" s="387">
        <f>'1. Планд'!I32</f>
        <v>0</v>
      </c>
      <c r="J33" s="386">
        <f>'1. Планд'!J32</f>
        <v>0</v>
      </c>
      <c r="K33" s="387">
        <f>'1. Планд'!K32</f>
        <v>0</v>
      </c>
      <c r="L33" s="288">
        <v>0</v>
      </c>
    </row>
    <row r="34" spans="2:12" ht="24.95" customHeight="1" thickBot="1" x14ac:dyDescent="0.3">
      <c r="B34" s="2176" t="s">
        <v>631</v>
      </c>
      <c r="C34" s="2177"/>
      <c r="D34" s="2177"/>
      <c r="E34" s="2177"/>
      <c r="F34" s="2177"/>
      <c r="G34" s="2177"/>
      <c r="H34" s="390">
        <f>'1. Планд'!H33</f>
        <v>0</v>
      </c>
      <c r="I34" s="391">
        <f>'1. Планд'!I33</f>
        <v>0</v>
      </c>
      <c r="J34" s="390">
        <f>'1. Планд'!J33</f>
        <v>0</v>
      </c>
      <c r="K34" s="391">
        <f>'1. Планд'!K33</f>
        <v>0</v>
      </c>
      <c r="L34" s="290">
        <v>0</v>
      </c>
    </row>
    <row r="35" spans="2:12" ht="24.95" customHeight="1" thickTop="1" x14ac:dyDescent="0.25">
      <c r="B35" s="2180" t="s">
        <v>885</v>
      </c>
      <c r="C35" s="2181"/>
      <c r="D35" s="2181"/>
      <c r="E35" s="2181"/>
      <c r="F35" s="2181"/>
      <c r="G35" s="2181"/>
      <c r="H35" s="388">
        <f>'1. Планд'!H35</f>
        <v>0</v>
      </c>
      <c r="I35" s="389">
        <f>'1. Планд'!I35</f>
        <v>0</v>
      </c>
      <c r="J35" s="388">
        <f>'1. Планд'!J35</f>
        <v>0</v>
      </c>
      <c r="K35" s="389">
        <f>'1. Планд'!K35</f>
        <v>0</v>
      </c>
      <c r="L35" s="808">
        <v>0</v>
      </c>
    </row>
    <row r="36" spans="2:12" ht="24.95" customHeight="1" x14ac:dyDescent="0.25">
      <c r="B36" s="2182" t="s">
        <v>887</v>
      </c>
      <c r="C36" s="2183"/>
      <c r="D36" s="2183"/>
      <c r="E36" s="2183"/>
      <c r="F36" s="2183"/>
      <c r="G36" s="2183"/>
      <c r="H36" s="388">
        <f>'1. Планд'!H36</f>
        <v>0</v>
      </c>
      <c r="I36" s="389">
        <f>'1. Планд'!I36</f>
        <v>0</v>
      </c>
      <c r="J36" s="388">
        <f>'1. Планд'!J36</f>
        <v>0</v>
      </c>
      <c r="K36" s="389">
        <f>'1. Планд'!K36</f>
        <v>0</v>
      </c>
      <c r="L36" s="808">
        <v>0</v>
      </c>
    </row>
    <row r="37" spans="2:12" ht="24.95" customHeight="1" x14ac:dyDescent="0.25">
      <c r="B37" s="2182" t="s">
        <v>889</v>
      </c>
      <c r="C37" s="2183"/>
      <c r="D37" s="2183"/>
      <c r="E37" s="2183"/>
      <c r="F37" s="2183"/>
      <c r="G37" s="2183"/>
      <c r="H37" s="388">
        <f>'1. Планд'!H37</f>
        <v>0</v>
      </c>
      <c r="I37" s="389">
        <f>'1. Планд'!I37</f>
        <v>0</v>
      </c>
      <c r="J37" s="388">
        <f>'1. Планд'!J37</f>
        <v>0</v>
      </c>
      <c r="K37" s="389">
        <f>'1. Планд'!K37</f>
        <v>0</v>
      </c>
      <c r="L37" s="808">
        <v>0</v>
      </c>
    </row>
    <row r="38" spans="2:12" ht="24.95" customHeight="1" thickBot="1" x14ac:dyDescent="0.3">
      <c r="B38" s="2184" t="s">
        <v>891</v>
      </c>
      <c r="C38" s="2185"/>
      <c r="D38" s="2185"/>
      <c r="E38" s="2185"/>
      <c r="F38" s="2185"/>
      <c r="G38" s="2185"/>
      <c r="H38" s="390">
        <f>'1. Планд'!H38</f>
        <v>0</v>
      </c>
      <c r="I38" s="391">
        <f>'1. Планд'!I38</f>
        <v>0</v>
      </c>
      <c r="J38" s="390">
        <f>'1. Планд'!J38</f>
        <v>0</v>
      </c>
      <c r="K38" s="391">
        <f>'1. Планд'!K38</f>
        <v>0</v>
      </c>
      <c r="L38" s="809">
        <v>0</v>
      </c>
    </row>
    <row r="39" spans="2:12" ht="24.95" customHeight="1" thickTop="1" x14ac:dyDescent="0.25">
      <c r="B39" s="2174" t="s">
        <v>537</v>
      </c>
      <c r="C39" s="2175"/>
      <c r="D39" s="2175"/>
      <c r="E39" s="2175"/>
      <c r="F39" s="2175"/>
      <c r="G39" s="2175"/>
      <c r="H39" s="467">
        <f>'1. Планд'!H39</f>
        <v>0</v>
      </c>
      <c r="I39" s="468">
        <f>'1. Планд'!I39</f>
        <v>0</v>
      </c>
      <c r="J39" s="467">
        <f>'1. Планд'!J39</f>
        <v>0</v>
      </c>
      <c r="K39" s="468">
        <f>'1. Планд'!K39</f>
        <v>0</v>
      </c>
      <c r="L39" s="288">
        <v>0</v>
      </c>
    </row>
    <row r="40" spans="2:12" ht="35.1" customHeight="1" x14ac:dyDescent="0.25">
      <c r="B40" s="2178" t="s">
        <v>538</v>
      </c>
      <c r="C40" s="2179"/>
      <c r="D40" s="2179"/>
      <c r="E40" s="2179"/>
      <c r="F40" s="2179"/>
      <c r="G40" s="2179"/>
      <c r="H40" s="388">
        <f>'1. Планд'!H40</f>
        <v>0</v>
      </c>
      <c r="I40" s="389">
        <f>'1. Планд'!I40</f>
        <v>0</v>
      </c>
      <c r="J40" s="388">
        <f>'1. Планд'!J40</f>
        <v>0</v>
      </c>
      <c r="K40" s="389">
        <f>'1. Планд'!K40</f>
        <v>0</v>
      </c>
      <c r="L40" s="289">
        <v>0</v>
      </c>
    </row>
    <row r="41" spans="2:12" ht="24.95" customHeight="1" x14ac:dyDescent="0.25">
      <c r="B41" s="2178" t="s">
        <v>539</v>
      </c>
      <c r="C41" s="2179"/>
      <c r="D41" s="2179"/>
      <c r="E41" s="2179"/>
      <c r="F41" s="2179"/>
      <c r="G41" s="2179"/>
      <c r="H41" s="388">
        <f>'1. Планд'!H41</f>
        <v>0</v>
      </c>
      <c r="I41" s="389">
        <f>'1. Планд'!I41</f>
        <v>0</v>
      </c>
      <c r="J41" s="388">
        <f>'1. Планд'!J41</f>
        <v>0</v>
      </c>
      <c r="K41" s="389">
        <f>'1. Планд'!K41</f>
        <v>0</v>
      </c>
      <c r="L41" s="289">
        <v>0</v>
      </c>
    </row>
    <row r="42" spans="2:12" ht="24.95" customHeight="1" x14ac:dyDescent="0.25">
      <c r="B42" s="2178" t="s">
        <v>540</v>
      </c>
      <c r="C42" s="2179"/>
      <c r="D42" s="2179"/>
      <c r="E42" s="2179"/>
      <c r="F42" s="2179"/>
      <c r="G42" s="2179"/>
      <c r="H42" s="388">
        <f>'1. Планд'!H42</f>
        <v>0</v>
      </c>
      <c r="I42" s="389">
        <f>'1. Планд'!I42</f>
        <v>0</v>
      </c>
      <c r="J42" s="388">
        <f>'1. Планд'!J42</f>
        <v>0</v>
      </c>
      <c r="K42" s="389">
        <f>'1. Планд'!K42</f>
        <v>0</v>
      </c>
      <c r="L42" s="289">
        <v>0</v>
      </c>
    </row>
    <row r="43" spans="2:12" ht="24.95" customHeight="1" thickBot="1" x14ac:dyDescent="0.3">
      <c r="B43" s="2176" t="s">
        <v>541</v>
      </c>
      <c r="C43" s="2177"/>
      <c r="D43" s="2177"/>
      <c r="E43" s="2177"/>
      <c r="F43" s="2177"/>
      <c r="G43" s="2177"/>
      <c r="H43" s="390">
        <f>'1. Планд'!H43</f>
        <v>0</v>
      </c>
      <c r="I43" s="391">
        <f>'1. Планд'!I43</f>
        <v>0</v>
      </c>
      <c r="J43" s="390">
        <f>'1. Планд'!J43</f>
        <v>0</v>
      </c>
      <c r="K43" s="391">
        <f>'1. Планд'!K43</f>
        <v>0</v>
      </c>
      <c r="L43" s="290">
        <v>0</v>
      </c>
    </row>
    <row r="44" spans="2:12" ht="24.95" customHeight="1" thickTop="1" x14ac:dyDescent="0.25">
      <c r="B44" s="2023" t="s">
        <v>425</v>
      </c>
      <c r="C44" s="2024"/>
      <c r="D44" s="2024"/>
      <c r="E44" s="2024"/>
      <c r="F44" s="2024"/>
      <c r="G44" s="2024"/>
      <c r="H44" s="313">
        <f>'1. Планд'!H44</f>
        <v>0</v>
      </c>
      <c r="I44" s="314">
        <f>'1. Планд'!I44</f>
        <v>0</v>
      </c>
      <c r="J44" s="315">
        <f>'1. Планд'!J44</f>
        <v>0</v>
      </c>
      <c r="K44" s="314">
        <f>'1. Планд'!K44</f>
        <v>0</v>
      </c>
      <c r="L44" s="288">
        <v>0</v>
      </c>
    </row>
    <row r="45" spans="2:12" ht="24.95" customHeight="1" x14ac:dyDescent="0.25">
      <c r="B45" s="2007" t="s">
        <v>308</v>
      </c>
      <c r="C45" s="2008"/>
      <c r="D45" s="2008"/>
      <c r="E45" s="2008"/>
      <c r="F45" s="2008"/>
      <c r="G45" s="2008"/>
      <c r="H45" s="316">
        <f>'1. Планд'!H45</f>
        <v>0</v>
      </c>
      <c r="I45" s="317">
        <f>'1. Планд'!I45</f>
        <v>0</v>
      </c>
      <c r="J45" s="318">
        <f>'1. Планд'!J45</f>
        <v>0</v>
      </c>
      <c r="K45" s="317">
        <f>'1. Планд'!K45</f>
        <v>0</v>
      </c>
      <c r="L45" s="289">
        <v>0</v>
      </c>
    </row>
    <row r="46" spans="2:12" ht="24.95" customHeight="1" thickBot="1" x14ac:dyDescent="0.3">
      <c r="B46" s="2015" t="s">
        <v>426</v>
      </c>
      <c r="C46" s="2016"/>
      <c r="D46" s="2016"/>
      <c r="E46" s="2016"/>
      <c r="F46" s="2016"/>
      <c r="G46" s="2016"/>
      <c r="H46" s="319">
        <f>'1. Планд'!H46</f>
        <v>0</v>
      </c>
      <c r="I46" s="320">
        <f>'1. Планд'!I46</f>
        <v>0</v>
      </c>
      <c r="J46" s="321">
        <f>'1. Планд'!J46</f>
        <v>0</v>
      </c>
      <c r="K46" s="320">
        <f>'1. Планд'!K46</f>
        <v>0</v>
      </c>
      <c r="L46" s="290">
        <v>0</v>
      </c>
    </row>
    <row r="47" spans="2:12" ht="24.95" customHeight="1" thickTop="1" x14ac:dyDescent="0.25">
      <c r="B47" s="2023" t="s">
        <v>427</v>
      </c>
      <c r="C47" s="2024"/>
      <c r="D47" s="2024"/>
      <c r="E47" s="2024"/>
      <c r="F47" s="2024"/>
      <c r="G47" s="2024"/>
      <c r="H47" s="313">
        <f>'1. Планд'!H47</f>
        <v>0</v>
      </c>
      <c r="I47" s="314">
        <f>'1. Планд'!I47</f>
        <v>0</v>
      </c>
      <c r="J47" s="315">
        <f>'1. Планд'!J47</f>
        <v>0</v>
      </c>
      <c r="K47" s="314">
        <f>'1. Планд'!K47</f>
        <v>0</v>
      </c>
      <c r="L47" s="288">
        <v>0</v>
      </c>
    </row>
    <row r="48" spans="2:12" ht="24.95" customHeight="1" x14ac:dyDescent="0.25">
      <c r="B48" s="2007" t="s">
        <v>428</v>
      </c>
      <c r="C48" s="2008"/>
      <c r="D48" s="2008"/>
      <c r="E48" s="2008"/>
      <c r="F48" s="2008"/>
      <c r="G48" s="2008"/>
      <c r="H48" s="316">
        <f>'1. Планд'!H48</f>
        <v>0</v>
      </c>
      <c r="I48" s="317">
        <f>'1. Планд'!I48</f>
        <v>0</v>
      </c>
      <c r="J48" s="318">
        <f>'1. Планд'!J48</f>
        <v>0</v>
      </c>
      <c r="K48" s="317">
        <f>'1. Планд'!K48</f>
        <v>0</v>
      </c>
      <c r="L48" s="289">
        <v>0</v>
      </c>
    </row>
    <row r="49" spans="2:24" ht="24.95" customHeight="1" thickBot="1" x14ac:dyDescent="0.3">
      <c r="B49" s="2015" t="s">
        <v>429</v>
      </c>
      <c r="C49" s="2016"/>
      <c r="D49" s="2016"/>
      <c r="E49" s="2016"/>
      <c r="F49" s="2016"/>
      <c r="G49" s="2016"/>
      <c r="H49" s="319">
        <f>'1. Планд'!H49</f>
        <v>0</v>
      </c>
      <c r="I49" s="320">
        <f>'1. Планд'!I49</f>
        <v>0</v>
      </c>
      <c r="J49" s="321">
        <f>'1. Планд'!J49</f>
        <v>0</v>
      </c>
      <c r="K49" s="320">
        <f>'1. Планд'!K49</f>
        <v>0</v>
      </c>
      <c r="L49" s="290">
        <v>0</v>
      </c>
    </row>
    <row r="50" spans="2:24" ht="24.95" customHeight="1" thickTop="1" x14ac:dyDescent="0.25">
      <c r="B50" s="2023" t="s">
        <v>307</v>
      </c>
      <c r="C50" s="2024"/>
      <c r="D50" s="2024"/>
      <c r="E50" s="2024"/>
      <c r="F50" s="2024"/>
      <c r="G50" s="2024"/>
      <c r="H50" s="313">
        <f>'1. Планд'!H50</f>
        <v>0</v>
      </c>
      <c r="I50" s="314">
        <f>'1. Планд'!I50</f>
        <v>0</v>
      </c>
      <c r="J50" s="315">
        <f>'1. Планд'!J50</f>
        <v>0</v>
      </c>
      <c r="K50" s="314">
        <f>'1. Планд'!K50</f>
        <v>0</v>
      </c>
      <c r="L50" s="288">
        <v>0</v>
      </c>
      <c r="X50" s="337"/>
    </row>
    <row r="51" spans="2:24" ht="24.95" customHeight="1" x14ac:dyDescent="0.25">
      <c r="B51" s="2007" t="s">
        <v>306</v>
      </c>
      <c r="C51" s="2008"/>
      <c r="D51" s="2008"/>
      <c r="E51" s="2008"/>
      <c r="F51" s="2008"/>
      <c r="G51" s="2008"/>
      <c r="H51" s="316">
        <f>'1. Планд'!H51</f>
        <v>0</v>
      </c>
      <c r="I51" s="317">
        <f>'1. Планд'!I51</f>
        <v>0</v>
      </c>
      <c r="J51" s="318">
        <f>'1. Планд'!J51</f>
        <v>0</v>
      </c>
      <c r="K51" s="317">
        <f>'1. Планд'!K51</f>
        <v>0</v>
      </c>
      <c r="L51" s="289">
        <v>0</v>
      </c>
    </row>
    <row r="52" spans="2:24" ht="24.95" customHeight="1" thickBot="1" x14ac:dyDescent="0.3">
      <c r="B52" s="2015" t="s">
        <v>305</v>
      </c>
      <c r="C52" s="2016"/>
      <c r="D52" s="2016"/>
      <c r="E52" s="2016"/>
      <c r="F52" s="2016"/>
      <c r="G52" s="2016"/>
      <c r="H52" s="319">
        <f>'1. Планд'!H52</f>
        <v>0</v>
      </c>
      <c r="I52" s="320">
        <f>'1. Планд'!I52</f>
        <v>0</v>
      </c>
      <c r="J52" s="321">
        <f>'1. Планд'!J52</f>
        <v>0</v>
      </c>
      <c r="K52" s="320">
        <f>'1. Планд'!K52</f>
        <v>0</v>
      </c>
      <c r="L52" s="290">
        <v>0</v>
      </c>
    </row>
    <row r="53" spans="2:24" ht="24.95" customHeight="1" thickTop="1" x14ac:dyDescent="0.25">
      <c r="B53" s="2186" t="s">
        <v>304</v>
      </c>
      <c r="C53" s="2187"/>
      <c r="D53" s="2187"/>
      <c r="E53" s="2187"/>
      <c r="F53" s="2187"/>
      <c r="G53" s="2187"/>
      <c r="H53" s="293">
        <v>0</v>
      </c>
      <c r="I53" s="294">
        <v>0</v>
      </c>
      <c r="J53" s="295">
        <v>0</v>
      </c>
      <c r="K53" s="294">
        <v>0</v>
      </c>
      <c r="L53" s="308">
        <f>'1. Планд'!L53</f>
        <v>0</v>
      </c>
    </row>
    <row r="54" spans="2:24" ht="24.95" customHeight="1" thickBot="1" x14ac:dyDescent="0.3">
      <c r="B54" s="2188" t="s">
        <v>430</v>
      </c>
      <c r="C54" s="2189"/>
      <c r="D54" s="2189"/>
      <c r="E54" s="2189"/>
      <c r="F54" s="2189"/>
      <c r="G54" s="2189"/>
      <c r="H54" s="453">
        <v>0</v>
      </c>
      <c r="I54" s="454">
        <v>0</v>
      </c>
      <c r="J54" s="455">
        <v>0</v>
      </c>
      <c r="K54" s="454">
        <v>0</v>
      </c>
      <c r="L54" s="456">
        <f>'1. Планд'!L54</f>
        <v>0</v>
      </c>
    </row>
    <row r="55" spans="2:24" ht="24.95" customHeight="1" x14ac:dyDescent="0.25">
      <c r="B55" s="2190" t="s">
        <v>409</v>
      </c>
      <c r="C55" s="2191"/>
      <c r="D55" s="2191"/>
      <c r="E55" s="2191"/>
      <c r="F55" s="2191"/>
      <c r="G55" s="2192"/>
      <c r="H55" s="448">
        <f>'1. Планд'!H55</f>
        <v>0</v>
      </c>
      <c r="I55" s="449">
        <f>'1. Планд'!I55</f>
        <v>0</v>
      </c>
      <c r="J55" s="450">
        <f>'1. Планд'!J55</f>
        <v>0</v>
      </c>
      <c r="K55" s="449">
        <f>'1. Планд'!K55</f>
        <v>0</v>
      </c>
      <c r="L55" s="451">
        <f>'1. Планд'!L55</f>
        <v>0</v>
      </c>
    </row>
    <row r="56" spans="2:24" ht="24.95" customHeight="1" thickBot="1" x14ac:dyDescent="0.3">
      <c r="B56" s="2118" t="s">
        <v>11</v>
      </c>
      <c r="C56" s="2119"/>
      <c r="D56" s="2119"/>
      <c r="E56" s="2119"/>
      <c r="F56" s="2119"/>
      <c r="G56" s="2120"/>
      <c r="H56" s="309">
        <f>'1. Планд'!H56</f>
        <v>0</v>
      </c>
      <c r="I56" s="310">
        <f>'1. Планд'!I56</f>
        <v>0</v>
      </c>
      <c r="J56" s="311">
        <f>'1. Планд'!J56</f>
        <v>0</v>
      </c>
      <c r="K56" s="310">
        <f>'1. Планд'!K56</f>
        <v>0</v>
      </c>
      <c r="L56" s="312">
        <f>'1. Планд'!L56</f>
        <v>0</v>
      </c>
    </row>
    <row r="57" spans="2:24" ht="24.95" customHeight="1" x14ac:dyDescent="0.25">
      <c r="B57" s="2145" t="s">
        <v>542</v>
      </c>
      <c r="C57" s="2146"/>
      <c r="D57" s="2146"/>
      <c r="E57" s="2146"/>
      <c r="F57" s="2146"/>
      <c r="G57" s="2147"/>
      <c r="H57" s="2058">
        <f>'1. Планд'!H57</f>
        <v>0</v>
      </c>
      <c r="I57" s="2059"/>
      <c r="J57" s="2059"/>
      <c r="K57" s="2060"/>
      <c r="L57" s="289">
        <v>0</v>
      </c>
    </row>
    <row r="58" spans="2:24" ht="24.95" customHeight="1" thickBot="1" x14ac:dyDescent="0.3">
      <c r="B58" s="2118" t="s">
        <v>543</v>
      </c>
      <c r="C58" s="2119"/>
      <c r="D58" s="2119"/>
      <c r="E58" s="2119"/>
      <c r="F58" s="2119"/>
      <c r="G58" s="2120"/>
      <c r="H58" s="2121">
        <f>'1. Планд'!H58</f>
        <v>0</v>
      </c>
      <c r="I58" s="2122"/>
      <c r="J58" s="2122"/>
      <c r="K58" s="2123"/>
      <c r="L58" s="289">
        <v>0</v>
      </c>
    </row>
    <row r="59" spans="2:24" ht="24.95" customHeight="1" x14ac:dyDescent="0.25">
      <c r="B59" s="2223" t="s">
        <v>410</v>
      </c>
      <c r="C59" s="2224"/>
      <c r="D59" s="2224"/>
      <c r="E59" s="2224"/>
      <c r="F59" s="2224"/>
      <c r="G59" s="2225"/>
      <c r="H59" s="2193">
        <f>'1. Планд'!H59</f>
        <v>0</v>
      </c>
      <c r="I59" s="2194"/>
      <c r="J59" s="2194"/>
      <c r="K59" s="2195"/>
      <c r="L59" s="334">
        <f>'1. Планд'!L59</f>
        <v>0</v>
      </c>
    </row>
    <row r="60" spans="2:24" ht="24.95" customHeight="1" thickBot="1" x14ac:dyDescent="0.3">
      <c r="B60" s="2196" t="s">
        <v>408</v>
      </c>
      <c r="C60" s="2197"/>
      <c r="D60" s="2197"/>
      <c r="E60" s="2197"/>
      <c r="F60" s="2197"/>
      <c r="G60" s="2198"/>
      <c r="H60" s="2199">
        <f>'1. Планд'!H60</f>
        <v>0</v>
      </c>
      <c r="I60" s="2200"/>
      <c r="J60" s="2200"/>
      <c r="K60" s="2201"/>
      <c r="L60" s="335">
        <f>'1. Планд'!L60</f>
        <v>0</v>
      </c>
    </row>
    <row r="61" spans="2:24" ht="15.75" thickBot="1" x14ac:dyDescent="0.3">
      <c r="B61" s="4"/>
      <c r="C61" s="4"/>
      <c r="D61" s="4"/>
      <c r="E61" s="4"/>
      <c r="F61" s="4"/>
      <c r="G61" s="4"/>
      <c r="H61" s="5"/>
      <c r="I61" s="5"/>
      <c r="J61" s="5"/>
      <c r="K61" s="5"/>
      <c r="L61" s="5"/>
    </row>
    <row r="62" spans="2:24" ht="24.95" customHeight="1" thickBot="1" x14ac:dyDescent="0.3">
      <c r="B62" s="2202" t="s">
        <v>75</v>
      </c>
      <c r="C62" s="2203"/>
      <c r="D62" s="2203"/>
      <c r="E62" s="2203"/>
      <c r="F62" s="2203"/>
      <c r="G62" s="2203"/>
      <c r="H62" s="2204" t="s">
        <v>67</v>
      </c>
      <c r="I62" s="2205"/>
      <c r="J62" s="2206" t="s">
        <v>68</v>
      </c>
      <c r="K62" s="2206"/>
      <c r="L62" s="287" t="s">
        <v>3</v>
      </c>
    </row>
    <row r="63" spans="2:24" ht="24.95" customHeight="1" x14ac:dyDescent="0.25">
      <c r="B63" s="2207" t="s">
        <v>70</v>
      </c>
      <c r="C63" s="2208"/>
      <c r="D63" s="2208"/>
      <c r="E63" s="2208"/>
      <c r="F63" s="2208"/>
      <c r="G63" s="2208"/>
      <c r="H63" s="322"/>
      <c r="I63" s="323"/>
      <c r="J63" s="324"/>
      <c r="K63" s="324"/>
      <c r="L63" s="325"/>
    </row>
    <row r="64" spans="2:24" ht="24.95" customHeight="1" x14ac:dyDescent="0.25">
      <c r="B64" s="2043" t="s">
        <v>71</v>
      </c>
      <c r="C64" s="2044"/>
      <c r="D64" s="2044"/>
      <c r="E64" s="2044"/>
      <c r="F64" s="2044"/>
      <c r="G64" s="2044"/>
      <c r="H64" s="326"/>
      <c r="I64" s="327"/>
      <c r="J64" s="328"/>
      <c r="K64" s="328"/>
      <c r="L64" s="329"/>
    </row>
    <row r="65" spans="1:12" ht="24.95" customHeight="1" thickBot="1" x14ac:dyDescent="0.3">
      <c r="B65" s="2056" t="s">
        <v>72</v>
      </c>
      <c r="C65" s="2057"/>
      <c r="D65" s="2057"/>
      <c r="E65" s="2057"/>
      <c r="F65" s="2057"/>
      <c r="G65" s="2209"/>
      <c r="H65" s="330"/>
      <c r="I65" s="331"/>
      <c r="J65" s="332"/>
      <c r="K65" s="332"/>
      <c r="L65" s="333"/>
    </row>
    <row r="66" spans="1:12" ht="15.75" thickBot="1" x14ac:dyDescent="0.3">
      <c r="B66" s="21"/>
      <c r="C66" s="21"/>
      <c r="D66" s="21"/>
      <c r="E66" s="21"/>
      <c r="F66" s="21"/>
      <c r="G66" s="21"/>
      <c r="H66" s="20"/>
      <c r="I66" s="20"/>
      <c r="J66" s="5"/>
      <c r="K66" s="5"/>
      <c r="L66" s="5"/>
    </row>
    <row r="67" spans="1:12" ht="20.100000000000001" customHeight="1" thickBot="1" x14ac:dyDescent="0.3">
      <c r="B67" s="2210" t="s">
        <v>108</v>
      </c>
      <c r="C67" s="2211"/>
      <c r="D67" s="2211"/>
      <c r="E67" s="2211"/>
      <c r="F67" s="2211"/>
      <c r="G67" s="2211"/>
      <c r="H67" s="2211"/>
      <c r="I67" s="2211"/>
      <c r="J67" s="2211"/>
      <c r="K67" s="2211"/>
      <c r="L67" s="2212"/>
    </row>
    <row r="68" spans="1:12" ht="20.100000000000001" customHeight="1" x14ac:dyDescent="0.25">
      <c r="B68" s="2213" t="s">
        <v>109</v>
      </c>
      <c r="C68" s="2214"/>
      <c r="D68" s="2215"/>
      <c r="E68" s="2216"/>
      <c r="F68" s="2216"/>
      <c r="G68" s="2216"/>
      <c r="H68" s="2216"/>
      <c r="I68" s="2216"/>
      <c r="J68" s="2216"/>
      <c r="K68" s="2216"/>
      <c r="L68" s="2217"/>
    </row>
    <row r="69" spans="1:12" ht="46.5" customHeight="1" thickBot="1" x14ac:dyDescent="0.3">
      <c r="B69" s="2218" t="s">
        <v>536</v>
      </c>
      <c r="C69" s="2219"/>
      <c r="D69" s="2220" t="s">
        <v>73</v>
      </c>
      <c r="E69" s="2106"/>
      <c r="F69" s="2106"/>
      <c r="G69" s="2107"/>
      <c r="H69" s="2105" t="s">
        <v>74</v>
      </c>
      <c r="I69" s="2106"/>
      <c r="J69" s="2106"/>
      <c r="K69" s="2106"/>
      <c r="L69" s="2108"/>
    </row>
    <row r="70" spans="1:12" x14ac:dyDescent="0.25">
      <c r="B70" s="4"/>
      <c r="C70" s="4"/>
      <c r="D70" s="4"/>
      <c r="E70" s="4"/>
      <c r="F70" s="4"/>
      <c r="G70" s="4"/>
      <c r="H70" s="5"/>
      <c r="I70" s="5"/>
      <c r="J70" s="5"/>
      <c r="K70" s="5"/>
      <c r="L70" s="5"/>
    </row>
    <row r="71" spans="1:12" ht="18.75" x14ac:dyDescent="0.25">
      <c r="A71" s="161"/>
      <c r="B71" s="2109" t="s">
        <v>12</v>
      </c>
      <c r="C71" s="2110"/>
      <c r="D71" s="2110"/>
      <c r="E71" s="2110"/>
      <c r="F71" s="2110"/>
      <c r="G71" s="2110"/>
      <c r="H71" s="2110"/>
      <c r="I71" s="2110"/>
      <c r="J71" s="2110"/>
      <c r="K71" s="2110"/>
      <c r="L71" s="2111"/>
    </row>
    <row r="72" spans="1:12" ht="18.75" x14ac:dyDescent="0.3">
      <c r="A72" s="150"/>
      <c r="B72" s="2115" t="s">
        <v>190</v>
      </c>
      <c r="C72" s="2116"/>
      <c r="D72" s="2116"/>
      <c r="E72" s="2116"/>
      <c r="F72" s="2116"/>
      <c r="G72" s="2116"/>
      <c r="H72" s="2116"/>
      <c r="I72" s="2116"/>
      <c r="J72" s="2116"/>
      <c r="K72" s="2116"/>
      <c r="L72" s="2117"/>
    </row>
    <row r="73" spans="1:12" ht="18.75" x14ac:dyDescent="0.3">
      <c r="A73" s="150"/>
      <c r="B73" s="2112" t="s">
        <v>13</v>
      </c>
      <c r="C73" s="2113"/>
      <c r="D73" s="2113"/>
      <c r="E73" s="2113"/>
      <c r="F73" s="2113"/>
      <c r="G73" s="2113"/>
      <c r="H73" s="2113"/>
      <c r="I73" s="2113"/>
      <c r="J73" s="2113"/>
      <c r="K73" s="2113"/>
      <c r="L73" s="2114"/>
    </row>
    <row r="74" spans="1:12" ht="15.75" x14ac:dyDescent="0.25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</row>
    <row r="75" spans="1:12" ht="30.75" customHeight="1" x14ac:dyDescent="0.25">
      <c r="B75" s="2028" t="s">
        <v>576</v>
      </c>
      <c r="C75" s="2029"/>
      <c r="D75" s="2029"/>
      <c r="E75" s="2029"/>
      <c r="F75" s="2029"/>
      <c r="G75" s="2029"/>
      <c r="H75" s="2029"/>
      <c r="I75" s="2029"/>
      <c r="J75" s="2029"/>
      <c r="K75" s="2029"/>
      <c r="L75" s="2030"/>
    </row>
    <row r="76" spans="1:12" ht="15.75" x14ac:dyDescent="0.25">
      <c r="B76" s="2031" t="s">
        <v>152</v>
      </c>
      <c r="C76" s="2032"/>
      <c r="D76" s="2032"/>
      <c r="E76" s="2032"/>
      <c r="F76" s="2032"/>
      <c r="G76" s="2032"/>
      <c r="H76" s="2032"/>
      <c r="I76" s="2032"/>
      <c r="J76" s="2032"/>
      <c r="K76" s="2032"/>
      <c r="L76" s="2033"/>
    </row>
    <row r="77" spans="1:12" ht="21.75" customHeight="1" x14ac:dyDescent="0.25">
      <c r="B77" s="2053" t="s">
        <v>4</v>
      </c>
      <c r="C77" s="2054"/>
      <c r="D77" s="2054"/>
      <c r="E77" s="2054"/>
      <c r="F77" s="2054"/>
      <c r="G77" s="2054"/>
      <c r="H77" s="2054"/>
      <c r="I77" s="2054"/>
      <c r="J77" s="2054"/>
      <c r="K77" s="2054"/>
      <c r="L77" s="2055"/>
    </row>
    <row r="78" spans="1:12" ht="15.75" x14ac:dyDescent="0.25">
      <c r="B78" s="2061" t="s">
        <v>432</v>
      </c>
      <c r="C78" s="2062"/>
      <c r="D78" s="2062"/>
      <c r="E78" s="2062"/>
      <c r="F78" s="2062"/>
      <c r="G78" s="2062"/>
      <c r="H78" s="2062"/>
      <c r="I78" s="2062"/>
      <c r="J78" s="2062"/>
      <c r="K78" s="2062"/>
      <c r="L78" s="2063"/>
    </row>
    <row r="79" spans="1:12" ht="15.75" customHeight="1" x14ac:dyDescent="0.25">
      <c r="B79" s="2002" t="s">
        <v>496</v>
      </c>
      <c r="C79" s="2003"/>
      <c r="D79" s="2003"/>
      <c r="E79" s="2003"/>
      <c r="F79" s="2003"/>
      <c r="G79" s="2003"/>
      <c r="H79" s="2003"/>
      <c r="I79" s="2003"/>
      <c r="J79" s="2003"/>
      <c r="K79" s="2003"/>
      <c r="L79" s="2004"/>
    </row>
    <row r="80" spans="1:12" ht="129" customHeight="1" x14ac:dyDescent="0.25">
      <c r="B80" s="1999" t="s">
        <v>497</v>
      </c>
      <c r="C80" s="2000"/>
      <c r="D80" s="2000"/>
      <c r="E80" s="2000"/>
      <c r="F80" s="2000"/>
      <c r="G80" s="2000"/>
      <c r="H80" s="2000"/>
      <c r="I80" s="2000"/>
      <c r="J80" s="2000"/>
      <c r="K80" s="2000"/>
      <c r="L80" s="2001"/>
    </row>
    <row r="81" spans="2:12" ht="50.25" customHeight="1" x14ac:dyDescent="0.25">
      <c r="B81" s="1999" t="s">
        <v>535</v>
      </c>
      <c r="C81" s="2000"/>
      <c r="D81" s="2000"/>
      <c r="E81" s="1981"/>
      <c r="F81" s="1981"/>
      <c r="G81" s="1981"/>
      <c r="H81" s="1981"/>
      <c r="I81" s="1981"/>
      <c r="J81" s="1981"/>
      <c r="K81" s="1981"/>
      <c r="L81" s="1982"/>
    </row>
    <row r="82" spans="2:12" ht="15" customHeight="1" x14ac:dyDescent="0.25">
      <c r="B82" s="187"/>
      <c r="C82" s="188"/>
      <c r="D82" s="393"/>
      <c r="E82" s="1983" t="s">
        <v>395</v>
      </c>
      <c r="F82" s="1985"/>
      <c r="G82" s="185">
        <v>6</v>
      </c>
      <c r="H82" s="185">
        <v>5</v>
      </c>
      <c r="I82" s="185">
        <v>4</v>
      </c>
      <c r="J82" s="185">
        <v>3</v>
      </c>
      <c r="K82" s="185">
        <v>2</v>
      </c>
      <c r="L82" s="185">
        <v>1</v>
      </c>
    </row>
    <row r="83" spans="2:12" ht="15" customHeight="1" x14ac:dyDescent="0.25">
      <c r="B83" s="187"/>
      <c r="C83" s="188"/>
      <c r="D83" s="393"/>
      <c r="E83" s="1974" t="s">
        <v>15</v>
      </c>
      <c r="F83" s="1976"/>
      <c r="G83" s="186">
        <v>1</v>
      </c>
      <c r="H83" s="186">
        <v>0.8</v>
      </c>
      <c r="I83" s="186">
        <v>0.6</v>
      </c>
      <c r="J83" s="186">
        <v>0.5</v>
      </c>
      <c r="K83" s="186">
        <v>0.3</v>
      </c>
      <c r="L83" s="186">
        <v>0.2</v>
      </c>
    </row>
    <row r="84" spans="2:12" ht="21.75" customHeight="1" x14ac:dyDescent="0.25">
      <c r="B84" s="1999" t="s">
        <v>153</v>
      </c>
      <c r="C84" s="2000"/>
      <c r="D84" s="2000"/>
      <c r="E84" s="2035"/>
      <c r="F84" s="2035"/>
      <c r="G84" s="2035"/>
      <c r="H84" s="2035"/>
      <c r="I84" s="2035"/>
      <c r="J84" s="2035"/>
      <c r="K84" s="2035"/>
      <c r="L84" s="2036"/>
    </row>
    <row r="85" spans="2:12" ht="63.75" customHeight="1" x14ac:dyDescent="0.25">
      <c r="B85" s="1977" t="s">
        <v>499</v>
      </c>
      <c r="C85" s="1978"/>
      <c r="D85" s="1978"/>
      <c r="E85" s="1978"/>
      <c r="F85" s="1978"/>
      <c r="G85" s="1978"/>
      <c r="H85" s="1978"/>
      <c r="I85" s="1978"/>
      <c r="J85" s="1978"/>
      <c r="K85" s="1978"/>
      <c r="L85" s="1979"/>
    </row>
    <row r="86" spans="2:12" ht="15" customHeight="1" x14ac:dyDescent="0.25">
      <c r="B86" s="187"/>
      <c r="C86" s="188"/>
      <c r="D86" s="188"/>
      <c r="E86" s="1983" t="s">
        <v>395</v>
      </c>
      <c r="F86" s="1985"/>
      <c r="G86" s="185">
        <v>6</v>
      </c>
      <c r="H86" s="185">
        <v>5</v>
      </c>
      <c r="I86" s="185">
        <v>4</v>
      </c>
      <c r="J86" s="185">
        <v>3</v>
      </c>
      <c r="K86" s="185">
        <v>2</v>
      </c>
      <c r="L86" s="185">
        <v>1</v>
      </c>
    </row>
    <row r="87" spans="2:12" ht="15" customHeight="1" x14ac:dyDescent="0.25">
      <c r="B87" s="187"/>
      <c r="C87" s="188"/>
      <c r="D87" s="188"/>
      <c r="E87" s="1974" t="s">
        <v>15</v>
      </c>
      <c r="F87" s="1976"/>
      <c r="G87" s="186">
        <v>1</v>
      </c>
      <c r="H87" s="186">
        <v>0.8</v>
      </c>
      <c r="I87" s="186">
        <v>0.6</v>
      </c>
      <c r="J87" s="186">
        <v>0.5</v>
      </c>
      <c r="K87" s="186">
        <v>0.3</v>
      </c>
      <c r="L87" s="186">
        <v>0.2</v>
      </c>
    </row>
    <row r="88" spans="2:12" ht="15.75" x14ac:dyDescent="0.25">
      <c r="B88" s="2061" t="s">
        <v>433</v>
      </c>
      <c r="C88" s="2062"/>
      <c r="D88" s="2062"/>
      <c r="E88" s="2062"/>
      <c r="F88" s="2062"/>
      <c r="G88" s="2062"/>
      <c r="H88" s="2062"/>
      <c r="I88" s="2062"/>
      <c r="J88" s="2062"/>
      <c r="K88" s="2062"/>
      <c r="L88" s="2063"/>
    </row>
    <row r="89" spans="2:12" ht="33.75" customHeight="1" x14ac:dyDescent="0.25">
      <c r="B89" s="2002" t="s">
        <v>534</v>
      </c>
      <c r="C89" s="2003"/>
      <c r="D89" s="2003"/>
      <c r="E89" s="2003"/>
      <c r="F89" s="2003"/>
      <c r="G89" s="2003"/>
      <c r="H89" s="2003"/>
      <c r="I89" s="2003"/>
      <c r="J89" s="2003"/>
      <c r="K89" s="2003"/>
      <c r="L89" s="2004"/>
    </row>
    <row r="90" spans="2:12" ht="15.75" customHeight="1" x14ac:dyDescent="0.25">
      <c r="B90" s="187"/>
      <c r="C90" s="188"/>
      <c r="D90" s="188"/>
      <c r="E90" s="2221" t="s">
        <v>533</v>
      </c>
      <c r="F90" s="2221"/>
      <c r="G90" s="185" t="s">
        <v>107</v>
      </c>
      <c r="H90" s="185">
        <v>2</v>
      </c>
      <c r="I90" s="185">
        <v>1</v>
      </c>
      <c r="J90" s="191"/>
      <c r="K90" s="191"/>
      <c r="L90" s="192"/>
    </row>
    <row r="91" spans="2:12" ht="15.75" customHeight="1" x14ac:dyDescent="0.25">
      <c r="B91" s="187"/>
      <c r="C91" s="188"/>
      <c r="D91" s="188"/>
      <c r="E91" s="2222" t="s">
        <v>15</v>
      </c>
      <c r="F91" s="2222"/>
      <c r="G91" s="186">
        <v>1</v>
      </c>
      <c r="H91" s="186">
        <v>0.8</v>
      </c>
      <c r="I91" s="186">
        <v>0.6</v>
      </c>
      <c r="J91" s="191"/>
      <c r="K91" s="191"/>
      <c r="L91" s="192"/>
    </row>
    <row r="92" spans="2:12" ht="15.75" x14ac:dyDescent="0.25">
      <c r="B92" s="1971" t="s">
        <v>501</v>
      </c>
      <c r="C92" s="1972"/>
      <c r="D92" s="1972"/>
      <c r="E92" s="1972"/>
      <c r="F92" s="1972"/>
      <c r="G92" s="1972"/>
      <c r="H92" s="1972"/>
      <c r="I92" s="1972"/>
      <c r="J92" s="1972"/>
      <c r="K92" s="1972"/>
      <c r="L92" s="1973"/>
    </row>
    <row r="93" spans="2:12" ht="36.75" customHeight="1" x14ac:dyDescent="0.25">
      <c r="B93" s="2025" t="s">
        <v>151</v>
      </c>
      <c r="C93" s="2026"/>
      <c r="D93" s="2026"/>
      <c r="E93" s="2026"/>
      <c r="F93" s="2026"/>
      <c r="G93" s="2026"/>
      <c r="H93" s="2026"/>
      <c r="I93" s="2026"/>
      <c r="J93" s="2026"/>
      <c r="K93" s="2026"/>
      <c r="L93" s="2027"/>
    </row>
  </sheetData>
  <sheetProtection algorithmName="SHA-512" hashValue="J9Wyn7Grho89hE5xvIKZ90OCeREaS1O22kiIwv8dXYMUyh5y4XAXLua1u1W9bHtdQOIXqxG2aSIk4xAtBKxC0A==" saltValue="WUvtXe/iyo+dHgsAzQ7kOw==" spinCount="100000" sheet="1" objects="1" scenarios="1" formatCells="0" formatRows="0"/>
  <mergeCells count="105">
    <mergeCell ref="E86:F86"/>
    <mergeCell ref="B75:L75"/>
    <mergeCell ref="B76:L76"/>
    <mergeCell ref="B77:L77"/>
    <mergeCell ref="B78:L78"/>
    <mergeCell ref="B79:L79"/>
    <mergeCell ref="B80:L80"/>
    <mergeCell ref="B93:L93"/>
    <mergeCell ref="B57:G57"/>
    <mergeCell ref="B58:G58"/>
    <mergeCell ref="H57:K57"/>
    <mergeCell ref="H58:K58"/>
    <mergeCell ref="E87:F87"/>
    <mergeCell ref="B88:L88"/>
    <mergeCell ref="B89:L89"/>
    <mergeCell ref="E90:F90"/>
    <mergeCell ref="E91:F91"/>
    <mergeCell ref="B92:L92"/>
    <mergeCell ref="B81:L81"/>
    <mergeCell ref="E82:F82"/>
    <mergeCell ref="E83:F83"/>
    <mergeCell ref="B84:L84"/>
    <mergeCell ref="B85:L85"/>
    <mergeCell ref="B59:G59"/>
    <mergeCell ref="H59:K59"/>
    <mergeCell ref="B60:G60"/>
    <mergeCell ref="H60:K60"/>
    <mergeCell ref="B62:G62"/>
    <mergeCell ref="H62:I62"/>
    <mergeCell ref="J62:K62"/>
    <mergeCell ref="B73:L73"/>
    <mergeCell ref="B63:G63"/>
    <mergeCell ref="B64:G64"/>
    <mergeCell ref="B65:G65"/>
    <mergeCell ref="B67:L67"/>
    <mergeCell ref="B68:C68"/>
    <mergeCell ref="D68:L68"/>
    <mergeCell ref="B69:C69"/>
    <mergeCell ref="D69:G69"/>
    <mergeCell ref="H69:L69"/>
    <mergeCell ref="B71:L71"/>
    <mergeCell ref="B72:L72"/>
    <mergeCell ref="B56:G5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26:L26"/>
    <mergeCell ref="B27:G27"/>
    <mergeCell ref="B28:G28"/>
    <mergeCell ref="B29:G29"/>
    <mergeCell ref="B30:G30"/>
    <mergeCell ref="B46:G46"/>
    <mergeCell ref="B31:L31"/>
    <mergeCell ref="B32:G32"/>
    <mergeCell ref="B33:G33"/>
    <mergeCell ref="B34:G34"/>
    <mergeCell ref="B39:G39"/>
    <mergeCell ref="B40:G40"/>
    <mergeCell ref="B41:G41"/>
    <mergeCell ref="B42:G42"/>
    <mergeCell ref="B43:G43"/>
    <mergeCell ref="B44:G44"/>
    <mergeCell ref="B45:G45"/>
    <mergeCell ref="B35:G35"/>
    <mergeCell ref="B36:G36"/>
    <mergeCell ref="B37:G37"/>
    <mergeCell ref="B38:G38"/>
    <mergeCell ref="L24:L25"/>
    <mergeCell ref="B17:D17"/>
    <mergeCell ref="E17:L17"/>
    <mergeCell ref="B19:D19"/>
    <mergeCell ref="E19:L19"/>
    <mergeCell ref="B20:D20"/>
    <mergeCell ref="E20:L20"/>
    <mergeCell ref="F22:H22"/>
    <mergeCell ref="B24:C25"/>
    <mergeCell ref="D24:G25"/>
    <mergeCell ref="H24:I24"/>
    <mergeCell ref="J24:K24"/>
    <mergeCell ref="B14:E14"/>
    <mergeCell ref="F14:L14"/>
    <mergeCell ref="B15:E15"/>
    <mergeCell ref="F15:L15"/>
    <mergeCell ref="B13:J13"/>
    <mergeCell ref="B1:L1"/>
    <mergeCell ref="B2:L2"/>
    <mergeCell ref="E4:F4"/>
    <mergeCell ref="B5:L5"/>
    <mergeCell ref="B7:L7"/>
    <mergeCell ref="B8:L8"/>
    <mergeCell ref="B9:L9"/>
    <mergeCell ref="B10:L10"/>
    <mergeCell ref="B12:L12"/>
    <mergeCell ref="E3:F3"/>
    <mergeCell ref="H3:I3"/>
    <mergeCell ref="H4:I4"/>
    <mergeCell ref="L3:L4"/>
    <mergeCell ref="B3:C4"/>
    <mergeCell ref="D3:D4"/>
  </mergeCells>
  <conditionalFormatting sqref="B14:E14">
    <cfRule type="expression" dxfId="90" priority="5">
      <formula>LEN($B$14)=0</formula>
    </cfRule>
  </conditionalFormatting>
  <conditionalFormatting sqref="B7:L7">
    <cfRule type="expression" dxfId="89" priority="2">
      <formula>LEN($B$7)=0</formula>
    </cfRule>
  </conditionalFormatting>
  <conditionalFormatting sqref="B9:L9">
    <cfRule type="expression" dxfId="88" priority="1">
      <formula>LEN($B$9)=0</formula>
    </cfRule>
  </conditionalFormatting>
  <conditionalFormatting sqref="C22:L22">
    <cfRule type="expression" dxfId="87" priority="7">
      <formula>NOT(Лекторат)</formula>
    </cfRule>
  </conditionalFormatting>
  <conditionalFormatting sqref="E19:L19">
    <cfRule type="expression" dxfId="86" priority="3">
      <formula>LEN($E$19)=0</formula>
    </cfRule>
  </conditionalFormatting>
  <conditionalFormatting sqref="F14:L14">
    <cfRule type="expression" dxfId="85" priority="4">
      <formula>LEN($F$14)=0</formula>
    </cfRule>
  </conditionalFormatting>
  <conditionalFormatting sqref="J22">
    <cfRule type="expression" dxfId="84" priority="15">
      <formula>AND(NOT(nGetLogData1),nGetLenData1&gt;0)</formula>
    </cfRule>
  </conditionalFormatting>
  <conditionalFormatting sqref="L22">
    <cfRule type="expression" dxfId="83" priority="14">
      <formula>AND(NOT(nGetLogData2),nGetLenData2&gt;0)</formula>
    </cfRule>
  </conditionalFormatting>
  <dataValidations count="2">
    <dataValidation allowBlank="1" showInputMessage="1" showErrorMessage="1" promptTitle="Формат за въвеждане на дата" prompt="дд.мм.гггг_x000a_Пример: 01.09.2019_x000a_" sqref="L22" xr:uid="{00000000-0002-0000-0800-000000000000}"/>
    <dataValidation allowBlank="1" showInputMessage="1" showErrorMessage="1" promptTitle="Формат за въвеждане на дата" prompt="дд.мм.гггг_x000a_Пример: 01.09.2019" sqref="J22" xr:uid="{00000000-0002-0000-0800-000001000000}"/>
  </dataValidations>
  <hyperlinks>
    <hyperlink ref="E3" location="'1. Отчет'!BMHomeTotal" tooltip="Общо" display="Общо" xr:uid="{00000000-0004-0000-0800-000000000000}"/>
    <hyperlink ref="D3" location="'1. План'!B6" tooltip="Начало" display="Начало" xr:uid="{00000000-0004-0000-0800-000001000000}"/>
    <hyperlink ref="H3" location="'2. ОКС &quot;бакалавър&quot;'!N29" tooltip="ОКС &quot;бакалавър&quot;" display="ОКС &quot;бакалавър&quot;" xr:uid="{00000000-0004-0000-0800-000003000000}"/>
    <hyperlink ref="H4" location="'3. ОКС &quot;магистър&quot;'!N29" tooltip="ОКС &quot;магистър&quot;" display="'3. ОКС &quot;магистър&quot;'!N29" xr:uid="{00000000-0004-0000-0800-000004000000}"/>
    <hyperlink ref="J3" location="'4. ОНС &quot;доктор&quot;'!B21" tooltip="ОНС &quot;доктор&quot;" display="ОНС &quot;доктор&quot;" xr:uid="{00000000-0004-0000-0800-000005000000}"/>
    <hyperlink ref="L3" r:id="rId1" tooltip="email: ipio@uni-sofia.bg" xr:uid="{00000000-0004-0000-0800-000006000000}"/>
    <hyperlink ref="J4" location="'5. Подготовка на курс'!B23" tooltip="Подготовка курс" display="Подготовка курс" xr:uid="{00000000-0004-0000-0800-000007000000}"/>
    <hyperlink ref="H3:I3" location="'2. ОКС &quot;бакалавър&quot;'!N24" tooltip="ОКС &quot;бакалавър&quot;" display="ОКС &quot;бакалавър&quot;" xr:uid="{A5F4BEBF-9A39-4F63-AD20-BF47D78540D0}"/>
    <hyperlink ref="H4:I4" location="'3. ОКС &quot;магистър&quot;'!N24" tooltip="ОКС &quot;магистър&quot;" display="ОКС &quot;магистър&quot;" xr:uid="{F9F0B5C3-7DD1-455B-88D1-1D0444C585D0}"/>
  </hyperlinks>
  <printOptions horizontalCentered="1"/>
  <pageMargins left="0.23622047244094491" right="0.23622047244094491" top="0.31496062992125984" bottom="0.59055118110236227" header="0.31496062992125984" footer="0.31496062992125984"/>
  <pageSetup paperSize="9" scale="36" orientation="portrait" r:id="rId2"/>
  <headerFooter>
    <oddFooter xml:space="preserve">&amp;L&amp;"-,Bold"Преподавател: &amp;"-,Regular"............................
&amp;D&amp;C&amp;"-,Bold"Ръководител катедра: &amp;"-,Regular"............................
&amp;R&amp;"-,Bold"Декан: &amp;"-,Regular"............................
</oddFooter>
  </headerFooter>
  <ignoredErrors>
    <ignoredError sqref="H39:K43 H33:K34" unlockedFormula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5" name="Check Box 1">
              <controlPr locked="0" defaultSize="0" autoFill="0" autoLine="0" autoPict="0">
                <anchor moveWithCells="1">
                  <from>
                    <xdr:col>0</xdr:col>
                    <xdr:colOff>133350</xdr:colOff>
                    <xdr:row>21</xdr:row>
                    <xdr:rowOff>9525</xdr:rowOff>
                  </from>
                  <to>
                    <xdr:col>1</xdr:col>
                    <xdr:colOff>161925</xdr:colOff>
                    <xdr:row>21</xdr:row>
                    <xdr:rowOff>228600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3000000}">
          <x14:formula1>
            <xm:f>list!$A$2:$A$21</xm:f>
          </x14:formula1>
          <xm:sqref>B7:L7</xm:sqref>
        </x14:dataValidation>
        <x14:dataValidation type="list" allowBlank="1" showInputMessage="1" showErrorMessage="1" xr:uid="{00000000-0002-0000-0800-000004000000}">
          <x14:formula1>
            <xm:f>list!$A$82:$A$87</xm:f>
          </x14:formula1>
          <xm:sqref>E19:L19</xm:sqref>
        </x14:dataValidation>
        <x14:dataValidation type="list" allowBlank="1" showInputMessage="1" showErrorMessage="1" xr:uid="{A6864FBE-9CBD-4B4B-B22F-BDBE2DFF536E}">
          <x14:formula1>
            <xm:f>ПЕРИОД!$F$48:$F$57</xm:f>
          </x14:formula1>
          <xm:sqref>B14:E14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BE67C-6611-4529-8028-033CF883D48C}">
  <sheetPr transitionEvaluation="1" transitionEntry="1" codeName="Sheet11">
    <tabColor theme="6" tint="0.39997558519241921"/>
  </sheetPr>
  <dimension ref="A1:T46"/>
  <sheetViews>
    <sheetView showGridLines="0" zoomScaleNormal="100" workbookViewId="0"/>
  </sheetViews>
  <sheetFormatPr defaultRowHeight="15" x14ac:dyDescent="0.25"/>
  <cols>
    <col min="1" max="1" width="1.42578125" style="1062" customWidth="1"/>
    <col min="2" max="2" width="38.5703125" style="1062" customWidth="1"/>
    <col min="3" max="3" width="45.140625" style="1062" customWidth="1"/>
    <col min="4" max="4" width="10.140625" style="1062" customWidth="1"/>
    <col min="5" max="5" width="10.7109375" style="1062" hidden="1" customWidth="1"/>
    <col min="6" max="6" width="10.5703125" style="1062" customWidth="1"/>
    <col min="7" max="7" width="1.42578125" style="1062" customWidth="1"/>
    <col min="8" max="12" width="9.140625" style="1062"/>
    <col min="13" max="13" width="10.140625" style="1062" bestFit="1" customWidth="1"/>
    <col min="14" max="14" width="9.140625" style="1062"/>
    <col min="20" max="20" width="70.85546875" bestFit="1" customWidth="1"/>
    <col min="21" max="16384" width="9.140625" style="1062"/>
  </cols>
  <sheetData>
    <row r="1" spans="1:20" ht="33" customHeight="1" thickBot="1" x14ac:dyDescent="0.35">
      <c r="B1" s="2227" t="s">
        <v>1007</v>
      </c>
      <c r="C1" s="2227"/>
      <c r="D1" s="2227"/>
      <c r="E1" s="2227"/>
      <c r="F1" s="2227"/>
    </row>
    <row r="2" spans="1:20" ht="21" customHeight="1" thickTop="1" x14ac:dyDescent="0.25">
      <c r="B2" s="2228" t="s">
        <v>1022</v>
      </c>
      <c r="C2" s="2229"/>
      <c r="D2" s="2229"/>
      <c r="E2" s="2229"/>
      <c r="F2" s="2229"/>
    </row>
    <row r="3" spans="1:20" x14ac:dyDescent="0.25">
      <c r="B3" s="2230" t="s">
        <v>1018</v>
      </c>
      <c r="C3" s="2230"/>
      <c r="D3" s="2230"/>
      <c r="E3" s="2230"/>
      <c r="F3" s="2230"/>
    </row>
    <row r="4" spans="1:20" ht="15.75" x14ac:dyDescent="0.25">
      <c r="B4" s="2231"/>
      <c r="C4" s="2231"/>
      <c r="D4" s="2231"/>
      <c r="E4" s="2231"/>
      <c r="F4" s="2231"/>
    </row>
    <row r="5" spans="1:20" x14ac:dyDescent="0.25">
      <c r="B5" s="2230" t="s">
        <v>6</v>
      </c>
      <c r="C5" s="2230"/>
      <c r="D5" s="2230"/>
      <c r="E5" s="2230"/>
      <c r="F5" s="2230"/>
    </row>
    <row r="6" spans="1:20" ht="27" customHeight="1" x14ac:dyDescent="0.25">
      <c r="B6" s="2226" t="s">
        <v>1047</v>
      </c>
      <c r="C6" s="2226"/>
      <c r="D6" s="2226"/>
      <c r="E6" s="2226"/>
      <c r="F6" s="2226"/>
      <c r="N6" s="1064"/>
    </row>
    <row r="7" spans="1:20" ht="15.75" x14ac:dyDescent="0.25">
      <c r="B7" s="1918"/>
      <c r="C7" s="2239"/>
      <c r="D7" s="2239"/>
      <c r="E7" s="2239"/>
      <c r="F7" s="2240"/>
      <c r="N7" s="1064"/>
    </row>
    <row r="8" spans="1:20" ht="18" customHeight="1" x14ac:dyDescent="0.25">
      <c r="B8" s="1085" t="s">
        <v>614</v>
      </c>
      <c r="C8" s="2230" t="s">
        <v>1066</v>
      </c>
      <c r="D8" s="2230"/>
      <c r="E8" s="2230"/>
      <c r="F8" s="2241"/>
      <c r="N8" s="1064"/>
    </row>
    <row r="9" spans="1:20" ht="27.75" customHeight="1" x14ac:dyDescent="0.25">
      <c r="B9" s="1067" t="s">
        <v>1019</v>
      </c>
      <c r="C9" s="2242"/>
      <c r="D9" s="2243"/>
      <c r="E9" s="2243"/>
      <c r="F9" s="2244"/>
    </row>
    <row r="10" spans="1:20" ht="9" customHeight="1" x14ac:dyDescent="0.25"/>
    <row r="11" spans="1:20" ht="15.75" x14ac:dyDescent="0.25">
      <c r="B11" s="2265" t="str">
        <f>"Академична "&amp;'1. Планд'!D23&amp;" година"</f>
        <v>Академична 2024/2025 година</v>
      </c>
      <c r="C11" s="2265" t="str">
        <f>ПЕРИОД!D16</f>
        <v>СЕПТЕМВРИЙСКА
СЕСИЯ</v>
      </c>
      <c r="D11" s="2264" t="s">
        <v>1020</v>
      </c>
      <c r="E11" s="2264"/>
      <c r="F11" s="2264"/>
    </row>
    <row r="12" spans="1:20" ht="18.75" x14ac:dyDescent="0.25">
      <c r="B12" s="2265"/>
      <c r="C12" s="2265"/>
      <c r="D12" s="1919" t="s">
        <v>332</v>
      </c>
      <c r="E12" s="1108" t="s">
        <v>310</v>
      </c>
      <c r="F12" s="1107" t="s">
        <v>1077</v>
      </c>
    </row>
    <row r="13" spans="1:20" x14ac:dyDescent="0.25">
      <c r="B13" s="2247" t="s">
        <v>1024</v>
      </c>
      <c r="C13" s="2248"/>
      <c r="D13" s="2248"/>
      <c r="E13" s="2248"/>
      <c r="F13" s="2249"/>
    </row>
    <row r="14" spans="1:20" ht="18.75" customHeight="1" x14ac:dyDescent="0.25">
      <c r="A14" s="1063"/>
      <c r="B14" s="2245" t="s">
        <v>1039</v>
      </c>
      <c r="C14" s="2246"/>
      <c r="D14" s="1069"/>
      <c r="E14" s="1069">
        <v>2</v>
      </c>
      <c r="F14" s="1121">
        <f>ROUND(D14*E14,E14)</f>
        <v>0</v>
      </c>
      <c r="G14" s="1063"/>
      <c r="H14" s="1063"/>
    </row>
    <row r="15" spans="1:20" s="1063" customFormat="1" ht="18.75" customHeight="1" x14ac:dyDescent="0.25">
      <c r="B15" s="2232" t="s">
        <v>1025</v>
      </c>
      <c r="C15" s="2233"/>
      <c r="D15" s="1070"/>
      <c r="E15" s="1070">
        <v>1</v>
      </c>
      <c r="F15" s="1122">
        <f>ROUND(D15*E15,E15)</f>
        <v>0</v>
      </c>
      <c r="O15"/>
      <c r="P15"/>
      <c r="Q15"/>
      <c r="R15"/>
      <c r="S15"/>
      <c r="T15"/>
    </row>
    <row r="16" spans="1:20" s="1063" customFormat="1" ht="18.75" customHeight="1" x14ac:dyDescent="0.25">
      <c r="B16" s="2266" t="s">
        <v>1037</v>
      </c>
      <c r="C16" s="2267"/>
      <c r="D16" s="2268"/>
      <c r="E16" s="1106"/>
      <c r="F16" s="1081">
        <f>SUM(F14:F15)</f>
        <v>0</v>
      </c>
      <c r="O16"/>
      <c r="P16"/>
      <c r="Q16"/>
      <c r="R16"/>
      <c r="S16"/>
      <c r="T16"/>
    </row>
    <row r="17" spans="1:20" s="1063" customFormat="1" x14ac:dyDescent="0.25">
      <c r="B17" s="2236" t="s">
        <v>1026</v>
      </c>
      <c r="C17" s="2237"/>
      <c r="D17" s="2237"/>
      <c r="E17" s="2237"/>
      <c r="F17" s="2238"/>
      <c r="O17"/>
      <c r="P17"/>
      <c r="Q17"/>
      <c r="R17"/>
      <c r="S17"/>
      <c r="T17"/>
    </row>
    <row r="18" spans="1:20" s="1063" customFormat="1" ht="16.5" x14ac:dyDescent="0.25">
      <c r="B18" s="2253" t="s">
        <v>1027</v>
      </c>
      <c r="C18" s="2258"/>
      <c r="D18" s="2258"/>
      <c r="E18" s="2258"/>
      <c r="F18" s="2259"/>
      <c r="O18"/>
      <c r="P18"/>
      <c r="Q18"/>
      <c r="R18"/>
      <c r="S18"/>
      <c r="T18"/>
    </row>
    <row r="19" spans="1:20" s="1063" customFormat="1" ht="18" customHeight="1" x14ac:dyDescent="0.25">
      <c r="B19" s="2234" t="s">
        <v>1038</v>
      </c>
      <c r="C19" s="2235"/>
      <c r="D19" s="1071"/>
      <c r="E19" s="1071">
        <v>0.6</v>
      </c>
      <c r="F19" s="1121">
        <f>ROUND(D19*E19,1)</f>
        <v>0</v>
      </c>
      <c r="O19"/>
      <c r="P19"/>
      <c r="Q19"/>
      <c r="R19"/>
      <c r="S19"/>
      <c r="T19"/>
    </row>
    <row r="20" spans="1:20" s="1063" customFormat="1" ht="18" customHeight="1" x14ac:dyDescent="0.25">
      <c r="B20" s="2275" t="s">
        <v>1028</v>
      </c>
      <c r="C20" s="2276"/>
      <c r="D20" s="1072"/>
      <c r="E20" s="1072">
        <v>2</v>
      </c>
      <c r="F20" s="1123">
        <f>ROUND(D20*E20,1)</f>
        <v>0</v>
      </c>
      <c r="O20"/>
      <c r="P20"/>
      <c r="Q20"/>
      <c r="R20"/>
      <c r="S20"/>
      <c r="T20"/>
    </row>
    <row r="21" spans="1:20" s="1068" customFormat="1" ht="30" x14ac:dyDescent="0.25">
      <c r="A21" s="1076" t="s">
        <v>1046</v>
      </c>
      <c r="B21" s="2256" t="s">
        <v>12890</v>
      </c>
      <c r="C21" s="2257"/>
      <c r="D21" s="1073"/>
      <c r="E21" s="1073">
        <v>0.8</v>
      </c>
      <c r="F21" s="1123">
        <f>ROUND(D21*E21,1)</f>
        <v>0</v>
      </c>
      <c r="O21"/>
      <c r="P21"/>
      <c r="Q21"/>
      <c r="R21"/>
      <c r="S21"/>
      <c r="T21"/>
    </row>
    <row r="22" spans="1:20" s="1063" customFormat="1" ht="30" x14ac:dyDescent="0.25">
      <c r="A22" s="1076" t="s">
        <v>1046</v>
      </c>
      <c r="B22" s="2256" t="s">
        <v>12891</v>
      </c>
      <c r="C22" s="2257"/>
      <c r="D22" s="1073"/>
      <c r="E22" s="1073">
        <v>0.6</v>
      </c>
      <c r="F22" s="1123">
        <f>ROUND(D22*E22,1)</f>
        <v>0</v>
      </c>
      <c r="O22"/>
      <c r="P22"/>
      <c r="Q22"/>
      <c r="R22"/>
      <c r="S22"/>
      <c r="T22"/>
    </row>
    <row r="23" spans="1:20" s="1063" customFormat="1" ht="30" x14ac:dyDescent="0.25">
      <c r="A23" s="1076" t="s">
        <v>1046</v>
      </c>
      <c r="B23" s="2277" t="s">
        <v>1045</v>
      </c>
      <c r="C23" s="2278"/>
      <c r="D23" s="1074"/>
      <c r="E23" s="1074">
        <v>0.8</v>
      </c>
      <c r="F23" s="1124">
        <f>ROUND(D23*E23,1)</f>
        <v>0</v>
      </c>
      <c r="O23"/>
      <c r="P23"/>
      <c r="Q23"/>
      <c r="R23"/>
      <c r="S23"/>
      <c r="T23"/>
    </row>
    <row r="24" spans="1:20" s="1063" customFormat="1" ht="18.75" customHeight="1" x14ac:dyDescent="0.25">
      <c r="B24" s="2253" t="s">
        <v>1029</v>
      </c>
      <c r="C24" s="2258"/>
      <c r="D24" s="2258"/>
      <c r="E24" s="2258"/>
      <c r="F24" s="2259"/>
      <c r="O24"/>
      <c r="P24"/>
      <c r="Q24"/>
      <c r="R24"/>
      <c r="S24"/>
      <c r="T24"/>
    </row>
    <row r="25" spans="1:20" s="1063" customFormat="1" ht="18" customHeight="1" x14ac:dyDescent="0.25">
      <c r="B25" s="2234" t="s">
        <v>1030</v>
      </c>
      <c r="C25" s="2235"/>
      <c r="D25" s="1071"/>
      <c r="E25" s="1071">
        <v>5</v>
      </c>
      <c r="F25" s="1121">
        <f>ROUND(D25*E25,1)</f>
        <v>0</v>
      </c>
      <c r="O25"/>
      <c r="P25"/>
      <c r="Q25"/>
      <c r="R25"/>
      <c r="S25"/>
      <c r="T25"/>
    </row>
    <row r="26" spans="1:20" s="1063" customFormat="1" ht="30" x14ac:dyDescent="0.25">
      <c r="A26" s="1076" t="s">
        <v>1046</v>
      </c>
      <c r="B26" s="2256" t="s">
        <v>1031</v>
      </c>
      <c r="C26" s="2257"/>
      <c r="D26" s="1072"/>
      <c r="E26" s="1072">
        <v>5</v>
      </c>
      <c r="F26" s="1123">
        <f>ROUND(D26*E26,1)</f>
        <v>0</v>
      </c>
      <c r="O26"/>
      <c r="P26"/>
      <c r="Q26"/>
      <c r="R26"/>
      <c r="S26"/>
      <c r="T26"/>
    </row>
    <row r="27" spans="1:20" s="1063" customFormat="1" ht="30" x14ac:dyDescent="0.25">
      <c r="A27" s="1076" t="s">
        <v>1046</v>
      </c>
      <c r="B27" s="2250" t="s">
        <v>1032</v>
      </c>
      <c r="C27" s="2251"/>
      <c r="D27" s="1075"/>
      <c r="E27" s="1075">
        <v>8</v>
      </c>
      <c r="F27" s="1125">
        <f>ROUND(D27*E27,1)</f>
        <v>0</v>
      </c>
      <c r="O27"/>
      <c r="P27"/>
      <c r="Q27"/>
      <c r="R27"/>
      <c r="S27"/>
      <c r="T27"/>
    </row>
    <row r="28" spans="1:20" s="1063" customFormat="1" ht="18.75" customHeight="1" x14ac:dyDescent="0.25">
      <c r="B28" s="2252" t="s">
        <v>1033</v>
      </c>
      <c r="C28" s="2253"/>
      <c r="D28" s="1083"/>
      <c r="E28" s="1083">
        <v>30</v>
      </c>
      <c r="F28" s="1126">
        <f>ROUND(IF(D28&lt;=30,D28,30),1)</f>
        <v>0</v>
      </c>
      <c r="O28"/>
      <c r="P28"/>
      <c r="Q28"/>
      <c r="R28"/>
      <c r="S28"/>
      <c r="T28"/>
    </row>
    <row r="29" spans="1:20" s="1063" customFormat="1" ht="18.75" customHeight="1" x14ac:dyDescent="0.25">
      <c r="B29" s="2253" t="s">
        <v>1034</v>
      </c>
      <c r="C29" s="2258"/>
      <c r="D29" s="2258"/>
      <c r="E29" s="2258"/>
      <c r="F29" s="2259"/>
      <c r="O29"/>
      <c r="P29"/>
      <c r="Q29"/>
      <c r="R29"/>
      <c r="S29"/>
      <c r="T29"/>
    </row>
    <row r="30" spans="1:20" s="1063" customFormat="1" ht="18" customHeight="1" x14ac:dyDescent="0.25">
      <c r="B30" s="2234" t="s">
        <v>1042</v>
      </c>
      <c r="C30" s="2235"/>
      <c r="D30" s="1071"/>
      <c r="E30" s="1071">
        <v>0.5</v>
      </c>
      <c r="F30" s="1127">
        <f>ROUND(D30*E30,1)</f>
        <v>0</v>
      </c>
      <c r="O30"/>
      <c r="P30"/>
      <c r="Q30"/>
      <c r="R30"/>
      <c r="S30"/>
      <c r="T30"/>
    </row>
    <row r="31" spans="1:20" s="1063" customFormat="1" ht="18" customHeight="1" x14ac:dyDescent="0.25">
      <c r="B31" s="2256" t="s">
        <v>1043</v>
      </c>
      <c r="C31" s="2257"/>
      <c r="D31" s="1073"/>
      <c r="E31" s="1073">
        <v>0.5</v>
      </c>
      <c r="F31" s="1123">
        <f>ROUND(D31*E31,1)</f>
        <v>0</v>
      </c>
      <c r="O31"/>
      <c r="P31"/>
      <c r="Q31"/>
      <c r="R31"/>
      <c r="S31"/>
      <c r="T31"/>
    </row>
    <row r="32" spans="1:20" s="1063" customFormat="1" ht="18" customHeight="1" x14ac:dyDescent="0.25">
      <c r="B32" s="2250" t="s">
        <v>1044</v>
      </c>
      <c r="C32" s="2251"/>
      <c r="D32" s="1075"/>
      <c r="E32" s="1075">
        <v>0.5</v>
      </c>
      <c r="F32" s="1125">
        <f>ROUND(D32*E32,1)</f>
        <v>0</v>
      </c>
      <c r="O32"/>
      <c r="P32"/>
      <c r="Q32"/>
      <c r="R32"/>
      <c r="S32"/>
      <c r="T32"/>
    </row>
    <row r="33" spans="1:20" s="1063" customFormat="1" ht="16.5" x14ac:dyDescent="0.25">
      <c r="B33" s="2252" t="s">
        <v>1036</v>
      </c>
      <c r="C33" s="2253"/>
      <c r="D33" s="1083"/>
      <c r="E33" s="1083">
        <v>20</v>
      </c>
      <c r="F33" s="1126">
        <f>ROUND(D33*E33,1)</f>
        <v>0</v>
      </c>
      <c r="O33"/>
      <c r="P33"/>
      <c r="Q33"/>
      <c r="R33"/>
      <c r="S33"/>
      <c r="T33"/>
    </row>
    <row r="34" spans="1:20" s="1063" customFormat="1" ht="16.5" x14ac:dyDescent="0.25">
      <c r="B34" s="2252" t="s">
        <v>1035</v>
      </c>
      <c r="C34" s="2253"/>
      <c r="D34" s="1084"/>
      <c r="E34" s="1084">
        <v>2</v>
      </c>
      <c r="F34" s="1126">
        <f>ROUND(D34*E34,1)</f>
        <v>0</v>
      </c>
      <c r="O34"/>
      <c r="P34"/>
      <c r="Q34"/>
      <c r="R34"/>
      <c r="S34"/>
      <c r="T34"/>
    </row>
    <row r="35" spans="1:20" s="1063" customFormat="1" ht="18.75" customHeight="1" x14ac:dyDescent="0.25">
      <c r="B35" s="2269" t="s">
        <v>1037</v>
      </c>
      <c r="C35" s="2270"/>
      <c r="D35" s="2271"/>
      <c r="E35" s="1119"/>
      <c r="F35" s="1931">
        <f>SUM(F19:F34)</f>
        <v>0</v>
      </c>
      <c r="O35"/>
      <c r="P35"/>
      <c r="Q35"/>
      <c r="R35"/>
      <c r="S35"/>
      <c r="T35"/>
    </row>
    <row r="36" spans="1:20" s="1063" customFormat="1" ht="16.5" x14ac:dyDescent="0.25">
      <c r="A36" s="1930" t="s">
        <v>1092</v>
      </c>
      <c r="B36" s="2272" t="s">
        <v>1067</v>
      </c>
      <c r="C36" s="2273"/>
      <c r="D36" s="2274"/>
      <c r="E36" s="1120"/>
      <c r="F36" s="1082">
        <f>SUM(F16,F35)</f>
        <v>0</v>
      </c>
      <c r="O36"/>
      <c r="P36"/>
      <c r="Q36"/>
      <c r="R36"/>
      <c r="S36"/>
      <c r="T36"/>
    </row>
    <row r="37" spans="1:20" s="1063" customFormat="1" ht="16.5" x14ac:dyDescent="0.25">
      <c r="B37" s="2260" t="s">
        <v>12906</v>
      </c>
      <c r="C37" s="2260"/>
      <c r="D37" s="2260"/>
      <c r="E37" s="1929"/>
      <c r="F37" s="1931">
        <f>SUM(оксОЗ,F36)</f>
        <v>0</v>
      </c>
      <c r="O37"/>
      <c r="P37"/>
      <c r="Q37"/>
      <c r="R37"/>
      <c r="S37"/>
      <c r="T37"/>
    </row>
    <row r="38" spans="1:20" s="1063" customFormat="1" ht="16.5" x14ac:dyDescent="0.25">
      <c r="B38" s="2261" t="s">
        <v>12907</v>
      </c>
      <c r="C38" s="2261"/>
      <c r="D38" s="2261"/>
      <c r="E38" s="1929"/>
      <c r="F38" s="1082">
        <f>SUM(оксАЗ,F16)</f>
        <v>0</v>
      </c>
      <c r="O38"/>
      <c r="P38"/>
      <c r="Q38"/>
      <c r="R38"/>
      <c r="S38"/>
      <c r="T38"/>
    </row>
    <row r="39" spans="1:20" s="1063" customFormat="1" ht="25.5" customHeight="1" x14ac:dyDescent="0.25">
      <c r="B39" s="2281" t="s">
        <v>1040</v>
      </c>
      <c r="C39" s="2282"/>
      <c r="D39" s="2282"/>
      <c r="E39" s="2282"/>
      <c r="F39" s="2282"/>
      <c r="O39"/>
      <c r="P39"/>
      <c r="Q39"/>
      <c r="R39"/>
      <c r="S39"/>
      <c r="T39"/>
    </row>
    <row r="40" spans="1:20" x14ac:dyDescent="0.25">
      <c r="B40" s="2279" t="s">
        <v>1041</v>
      </c>
      <c r="C40" s="2280"/>
      <c r="D40" s="2280"/>
      <c r="E40" s="2280"/>
      <c r="F40" s="2280"/>
    </row>
    <row r="41" spans="1:20" ht="24" customHeight="1" x14ac:dyDescent="0.25">
      <c r="B41" s="2254"/>
      <c r="C41" s="2255"/>
      <c r="D41" s="2255"/>
      <c r="E41" s="2255"/>
      <c r="F41" s="2255"/>
    </row>
    <row r="42" spans="1:20" ht="16.5" x14ac:dyDescent="0.3">
      <c r="B42" s="2262" t="s">
        <v>12893</v>
      </c>
      <c r="C42" s="2263"/>
      <c r="D42" s="2263"/>
      <c r="E42" s="2263"/>
      <c r="F42" s="2263"/>
    </row>
    <row r="43" spans="1:20" x14ac:dyDescent="0.25">
      <c r="B43"/>
      <c r="C43"/>
      <c r="D43"/>
      <c r="E43"/>
      <c r="F43"/>
    </row>
    <row r="44" spans="1:20" x14ac:dyDescent="0.25">
      <c r="B44" s="1109" t="s">
        <v>1078</v>
      </c>
    </row>
    <row r="45" spans="1:20" x14ac:dyDescent="0.25">
      <c r="B45" s="1110" t="s">
        <v>1079</v>
      </c>
    </row>
    <row r="46" spans="1:20" ht="9" customHeight="1" x14ac:dyDescent="0.25"/>
  </sheetData>
  <sheetProtection algorithmName="SHA-512" hashValue="vdq+e6r93SbgOtgEwo+P2rEG6r1GdZPfabPUsJJlqgjq8/opeCelNeON9iHazJcra/Tr5c29ppi1R99kbNvooA==" saltValue="TdP4rIvRj8BpOhgOZVXy5w==" spinCount="100000" sheet="1" objects="1" scenarios="1" formatCells="0" formatRows="0"/>
  <mergeCells count="42">
    <mergeCell ref="B42:F42"/>
    <mergeCell ref="D11:F11"/>
    <mergeCell ref="C11:C12"/>
    <mergeCell ref="B11:B12"/>
    <mergeCell ref="B16:D16"/>
    <mergeCell ref="B35:D35"/>
    <mergeCell ref="B36:D36"/>
    <mergeCell ref="B18:F18"/>
    <mergeCell ref="B24:F24"/>
    <mergeCell ref="B20:C20"/>
    <mergeCell ref="B21:C21"/>
    <mergeCell ref="B22:C22"/>
    <mergeCell ref="B23:C23"/>
    <mergeCell ref="B40:F40"/>
    <mergeCell ref="B39:F39"/>
    <mergeCell ref="B31:C31"/>
    <mergeCell ref="B32:C32"/>
    <mergeCell ref="B33:C33"/>
    <mergeCell ref="B34:C34"/>
    <mergeCell ref="B41:F41"/>
    <mergeCell ref="B25:C25"/>
    <mergeCell ref="B26:C26"/>
    <mergeCell ref="B27:C27"/>
    <mergeCell ref="B28:C28"/>
    <mergeCell ref="B30:C30"/>
    <mergeCell ref="B29:F29"/>
    <mergeCell ref="B37:D37"/>
    <mergeCell ref="B38:D38"/>
    <mergeCell ref="B15:C15"/>
    <mergeCell ref="B19:C19"/>
    <mergeCell ref="B17:F17"/>
    <mergeCell ref="C7:F7"/>
    <mergeCell ref="C8:F8"/>
    <mergeCell ref="C9:F9"/>
    <mergeCell ref="B14:C14"/>
    <mergeCell ref="B13:F13"/>
    <mergeCell ref="B6:F6"/>
    <mergeCell ref="B1:F1"/>
    <mergeCell ref="B2:F2"/>
    <mergeCell ref="B3:F3"/>
    <mergeCell ref="B4:F4"/>
    <mergeCell ref="B5:F5"/>
  </mergeCells>
  <conditionalFormatting sqref="B4">
    <cfRule type="expression" dxfId="82" priority="3">
      <formula>LEN(T($B$4))=0</formula>
    </cfRule>
  </conditionalFormatting>
  <conditionalFormatting sqref="B7">
    <cfRule type="expression" dxfId="81" priority="1">
      <formula>LEN(T($B$7))=0</formula>
    </cfRule>
  </conditionalFormatting>
  <conditionalFormatting sqref="C7:F7">
    <cfRule type="expression" dxfId="80" priority="2">
      <formula>LEN(T($C$7))=0</formula>
    </cfRule>
  </conditionalFormatting>
  <dataValidations disablePrompts="1" count="1">
    <dataValidation type="list" allowBlank="1" showInputMessage="1" showErrorMessage="1" sqref="B4:F4" xr:uid="{FC29F7D1-F4D3-4D2A-BCD3-05B9BA9CBE30}">
      <formula1>"Хуманитарно образование,Природоматематическо и професионално образование"</formula1>
    </dataValidation>
  </dataValidations>
  <pageMargins left="0.35433070866141736" right="0.23622047244094491" top="0.39370078740157483" bottom="0.74803149606299213" header="0.31496062992125984" footer="0.42166666666666669"/>
  <pageSetup paperSize="9" scale="88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BF15523-35CF-4227-BA0B-047AF914877E}">
          <x14:formula1>
            <xm:f>ПЕРИОД!$F$48:$F$57</xm:f>
          </x14:formula1>
          <xm:sqref>B7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25147-F75E-46F3-9C08-BCAE5B5A35D7}">
  <sheetPr codeName="Sheet8">
    <tabColor theme="6" tint="0.39997558519241921"/>
  </sheetPr>
  <dimension ref="A1:Y65"/>
  <sheetViews>
    <sheetView showGridLines="0" workbookViewId="0">
      <selection activeCell="B2" sqref="B2:F2"/>
    </sheetView>
  </sheetViews>
  <sheetFormatPr defaultRowHeight="15" x14ac:dyDescent="0.25"/>
  <cols>
    <col min="1" max="1" width="1.85546875" style="1062" customWidth="1"/>
    <col min="2" max="2" width="32.5703125" style="1062" customWidth="1"/>
    <col min="3" max="3" width="20.28515625" style="1062" customWidth="1"/>
    <col min="4" max="4" width="16.140625" style="1062" customWidth="1"/>
    <col min="5" max="5" width="12" style="1062" hidden="1" customWidth="1"/>
    <col min="6" max="6" width="18.42578125" style="1062" customWidth="1"/>
    <col min="7" max="7" width="1.85546875" style="1062" customWidth="1"/>
    <col min="8" max="8" width="1.7109375" style="1062" customWidth="1"/>
    <col min="9" max="11" width="4.140625" style="1062" customWidth="1"/>
    <col min="12" max="12" width="6" style="1062" hidden="1" customWidth="1"/>
    <col min="13" max="13" width="60.7109375" style="1062" hidden="1" customWidth="1"/>
    <col min="14" max="14" width="19" style="1062" hidden="1" customWidth="1"/>
    <col min="15" max="15" width="12.85546875" style="1062" hidden="1" customWidth="1"/>
    <col min="16" max="16" width="12.28515625" style="1062" hidden="1" customWidth="1"/>
    <col min="17" max="17" width="10.140625" style="1062" hidden="1" customWidth="1"/>
    <col min="18" max="18" width="11.7109375" style="1062" hidden="1" customWidth="1"/>
    <col min="19" max="19" width="11.42578125" style="1062" hidden="1" customWidth="1"/>
    <col min="20" max="22" width="10.42578125" style="1062" hidden="1" customWidth="1"/>
    <col min="23" max="23" width="0" hidden="1" customWidth="1"/>
    <col min="24" max="24" width="9.85546875" hidden="1" customWidth="1"/>
    <col min="25" max="25" width="14.140625" style="1062" hidden="1" customWidth="1"/>
    <col min="26" max="16384" width="9.140625" style="1062"/>
  </cols>
  <sheetData>
    <row r="1" spans="1:25" ht="29.25" customHeight="1" thickBot="1" x14ac:dyDescent="0.35">
      <c r="B1" s="2227" t="s">
        <v>1007</v>
      </c>
      <c r="C1" s="2227"/>
      <c r="D1" s="2227"/>
      <c r="E1" s="2227"/>
      <c r="F1" s="2227"/>
    </row>
    <row r="2" spans="1:25" ht="21" customHeight="1" thickTop="1" x14ac:dyDescent="0.25">
      <c r="B2" s="2289" t="s">
        <v>13111</v>
      </c>
      <c r="C2" s="2289"/>
      <c r="D2" s="2289"/>
      <c r="E2" s="2289"/>
      <c r="F2" s="2289"/>
    </row>
    <row r="3" spans="1:25" x14ac:dyDescent="0.25">
      <c r="B3" s="2230" t="s">
        <v>1018</v>
      </c>
      <c r="C3" s="2230"/>
      <c r="D3" s="2230"/>
      <c r="E3" s="2230"/>
      <c r="F3" s="2230"/>
    </row>
    <row r="4" spans="1:25" ht="15.75" x14ac:dyDescent="0.25">
      <c r="B4" s="2288"/>
      <c r="C4" s="2288"/>
      <c r="D4" s="2288"/>
      <c r="E4" s="2288"/>
      <c r="F4" s="2288"/>
    </row>
    <row r="5" spans="1:25" x14ac:dyDescent="0.25">
      <c r="B5" s="2230" t="s">
        <v>6</v>
      </c>
      <c r="C5" s="2230"/>
      <c r="D5" s="2230"/>
      <c r="E5" s="2230"/>
      <c r="F5" s="2230"/>
    </row>
    <row r="6" spans="1:25" ht="37.5" customHeight="1" x14ac:dyDescent="0.25">
      <c r="B6" s="2226" t="s">
        <v>1023</v>
      </c>
      <c r="C6" s="2226"/>
      <c r="D6" s="2226"/>
      <c r="E6" s="2226"/>
      <c r="F6" s="2226"/>
      <c r="N6" s="1064"/>
    </row>
    <row r="7" spans="1:25" ht="15.75" x14ac:dyDescent="0.25">
      <c r="B7" s="1910"/>
      <c r="C7" s="2239"/>
      <c r="D7" s="2240"/>
      <c r="E7" s="2240"/>
      <c r="F7" s="2240"/>
      <c r="N7" s="1064"/>
    </row>
    <row r="8" spans="1:25" ht="18" customHeight="1" x14ac:dyDescent="0.25">
      <c r="B8" s="1086" t="s">
        <v>614</v>
      </c>
      <c r="C8" s="2230" t="s">
        <v>1066</v>
      </c>
      <c r="D8" s="2241"/>
      <c r="E8" s="2241"/>
      <c r="F8" s="2241"/>
      <c r="N8" s="1064"/>
    </row>
    <row r="9" spans="1:25" ht="27.75" customHeight="1" x14ac:dyDescent="0.25">
      <c r="B9" s="1067" t="s">
        <v>1019</v>
      </c>
      <c r="C9" s="2242"/>
      <c r="D9" s="2243"/>
      <c r="E9" s="2243"/>
      <c r="F9" s="2244"/>
    </row>
    <row r="10" spans="1:25" ht="9" customHeight="1" thickBot="1" x14ac:dyDescent="0.3"/>
    <row r="11" spans="1:25" ht="16.5" thickTop="1" x14ac:dyDescent="0.25">
      <c r="B11" s="2286" t="str">
        <f>"Академична "&amp;'1. Планд'!D23&amp;" година"</f>
        <v>Академична 2024/2025 година</v>
      </c>
      <c r="C11" s="2287"/>
      <c r="D11" s="1128" t="s">
        <v>332</v>
      </c>
      <c r="E11" s="1129" t="s">
        <v>310</v>
      </c>
      <c r="F11" s="1130" t="s">
        <v>336</v>
      </c>
    </row>
    <row r="12" spans="1:25" ht="16.5" x14ac:dyDescent="0.3">
      <c r="B12" s="2283" t="s">
        <v>1008</v>
      </c>
      <c r="C12" s="2284"/>
      <c r="D12" s="2284"/>
      <c r="E12" s="2284"/>
      <c r="F12" s="2285"/>
      <c r="L12" s="1213" t="s">
        <v>573</v>
      </c>
      <c r="M12" s="1213" t="s">
        <v>16</v>
      </c>
      <c r="N12" s="1213" t="s">
        <v>1135</v>
      </c>
      <c r="O12" s="1213" t="s">
        <v>21</v>
      </c>
      <c r="P12" s="1213" t="s">
        <v>547</v>
      </c>
      <c r="Q12" s="1213" t="s">
        <v>618</v>
      </c>
      <c r="R12" s="1215" t="s">
        <v>331</v>
      </c>
      <c r="S12" s="1213" t="s">
        <v>339</v>
      </c>
      <c r="T12" s="1213" t="s">
        <v>327</v>
      </c>
      <c r="U12" s="1213" t="s">
        <v>329</v>
      </c>
      <c r="V12" s="1215" t="s">
        <v>418</v>
      </c>
      <c r="W12" s="1215" t="s">
        <v>311</v>
      </c>
      <c r="X12" s="1215" t="s">
        <v>1136</v>
      </c>
      <c r="Y12" s="1213" t="s">
        <v>1137</v>
      </c>
    </row>
    <row r="13" spans="1:25" ht="18.75" customHeight="1" x14ac:dyDescent="0.25">
      <c r="A13" s="1063"/>
      <c r="B13" s="2290" t="s">
        <v>1058</v>
      </c>
      <c r="C13" s="2291"/>
      <c r="D13" s="1911"/>
      <c r="E13" s="1113">
        <v>2</v>
      </c>
      <c r="F13" s="1903">
        <f>ROUND(IF(D13&gt;0,D13,SUM(тУчДисцДЕО[брЛекции]))*E13,1)</f>
        <v>0</v>
      </c>
      <c r="G13" s="1063"/>
      <c r="H13" s="1063"/>
      <c r="L13" s="1115">
        <f>IF(COUNTA(тУчДисцДЕО[[#This Row],[Дисциплина]:[Изпитани]]),MAX(L12:L12)+1,"")</f>
        <v>1</v>
      </c>
      <c r="M13" s="1214"/>
      <c r="N13" s="1214"/>
      <c r="O13" s="1115" t="s">
        <v>84</v>
      </c>
      <c r="P13" s="1115"/>
      <c r="Q13" s="1115"/>
      <c r="R13" s="1115"/>
      <c r="S13" s="1115"/>
      <c r="T13" s="1115"/>
      <c r="U13" s="1115"/>
      <c r="V13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Row],[Студенти]],C51:D56,2,0),0)),0)</f>
        <v>0</v>
      </c>
      <c r="W13" s="1216">
        <f>IF(тУчДисцДЕО[[#This Row],[Език]]="БЕ",1,IF(тУчДисцДЕО[[#This Row],[Език]]="ЧЕ-ЧЕ",1.2,IF(тУчДисцДЕО[[#This Row],[Език]]="ЧЕ",1.5,0)))</f>
        <v>1</v>
      </c>
      <c r="X13" s="1115">
        <f>тУчДисцДЕО[[#This Row],[Лекции]]*тУчДисцДЕО[[#This Row],[кСтуденти]]*тУчДисцДЕО[[#This Row],[кЕзик]]</f>
        <v>0</v>
      </c>
      <c r="Y13" s="1115">
        <f>тУчДисцДЕО[[#This Row],[Упражнения]]*тУчДисцДЕО[[#This Row],[кСтуденти]]*тУчДисцДЕО[[#This Row],[кЕзик]]</f>
        <v>0</v>
      </c>
    </row>
    <row r="14" spans="1:25" s="1063" customFormat="1" ht="18.75" customHeight="1" x14ac:dyDescent="0.25">
      <c r="B14" s="2292" t="s">
        <v>1059</v>
      </c>
      <c r="C14" s="2293"/>
      <c r="D14" s="1912"/>
      <c r="E14" s="1114">
        <v>1</v>
      </c>
      <c r="F14" s="1904">
        <f>ROUND(IF(D14&gt;0,D14,SUM(тУчДисцДЕО[брУпражнения]))*E14,1)</f>
        <v>0</v>
      </c>
      <c r="K14" s="1062"/>
      <c r="L14" s="1115">
        <f>IF(COUNTA(тУчДисцДЕО[[#This Row],[Дисциплина]:[Изпитани]]),MAX(L13:L13)+1,"")</f>
        <v>2</v>
      </c>
      <c r="M14" s="1214"/>
      <c r="N14" s="1214"/>
      <c r="O14" s="1115" t="s">
        <v>84</v>
      </c>
      <c r="P14" s="1115"/>
      <c r="Q14" s="1115"/>
      <c r="R14" s="1115"/>
      <c r="S14" s="1115"/>
      <c r="T14" s="1115"/>
      <c r="U14" s="1115"/>
      <c r="V14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Row],[Студенти]],C52:D57,2,0),0)),0)</f>
        <v>0</v>
      </c>
      <c r="W14" s="1216">
        <f>IF(тУчДисцДЕО[[#This Row],[Език]]="БЕ",1,IF(тУчДисцДЕО[[#This Row],[Език]]="ЧЕ-ЧЕ",1.2,IF(тУчДисцДЕО[[#This Row],[Език]]="ЧЕ",1.5,0)))</f>
        <v>1</v>
      </c>
      <c r="X14" s="1115">
        <f>тУчДисцДЕО[[#This Row],[Лекции]]*тУчДисцДЕО[[#This Row],[кСтуденти]]*тУчДисцДЕО[[#This Row],[кЕзик]]</f>
        <v>0</v>
      </c>
      <c r="Y14" s="1115">
        <f>тУчДисцДЕО[[#This Row],[Упражнения]]*тУчДисцДЕО[[#This Row],[кСтуденти]]*тУчДисцДЕО[[#This Row],[кЕзик]]</f>
        <v>0</v>
      </c>
    </row>
    <row r="15" spans="1:25" s="1063" customFormat="1" ht="18.75" customHeight="1" x14ac:dyDescent="0.25">
      <c r="B15" s="2290" t="s">
        <v>1060</v>
      </c>
      <c r="C15" s="2294"/>
      <c r="D15" s="1911"/>
      <c r="E15" s="1113">
        <v>2</v>
      </c>
      <c r="F15" s="1903">
        <f>ROUND(D15*E15,1)</f>
        <v>0</v>
      </c>
      <c r="L15" s="1115">
        <f>IF(COUNTA(тУчДисцДЕО[[#This Row],[Дисциплина]:[Изпитани]]),MAX(L14:L14)+1,"")</f>
        <v>3</v>
      </c>
      <c r="M15" s="1214"/>
      <c r="N15" s="1214"/>
      <c r="O15" s="1115" t="s">
        <v>84</v>
      </c>
      <c r="P15" s="1115"/>
      <c r="Q15" s="1115"/>
      <c r="R15" s="1115"/>
      <c r="S15" s="1115"/>
      <c r="T15" s="1115"/>
      <c r="U15" s="1115"/>
      <c r="V15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Row],[Студенти]],C53:D58,2,0),0)),0)</f>
        <v>0</v>
      </c>
      <c r="W15" s="1216">
        <f>IF(тУчДисцДЕО[[#This Row],[Език]]="БЕ",1,IF(тУчДисцДЕО[[#This Row],[Език]]="ЧЕ-ЧЕ",1.2,IF(тУчДисцДЕО[[#This Row],[Език]]="ЧЕ",1.5,0)))</f>
        <v>1</v>
      </c>
      <c r="X15" s="1115">
        <f>тУчДисцДЕО[[#This Row],[Лекции]]*тУчДисцДЕО[[#This Row],[кСтуденти]]*тУчДисцДЕО[[#This Row],[кЕзик]]</f>
        <v>0</v>
      </c>
      <c r="Y15" s="1115">
        <f>тУчДисцДЕО[[#This Row],[Упражнения]]*тУчДисцДЕО[[#This Row],[кСтуденти]]*тУчДисцДЕО[[#This Row],[кЕзик]]</f>
        <v>0</v>
      </c>
    </row>
    <row r="16" spans="1:25" s="1063" customFormat="1" ht="18.75" customHeight="1" x14ac:dyDescent="0.25">
      <c r="B16" s="2307" t="s">
        <v>1061</v>
      </c>
      <c r="C16" s="2308"/>
      <c r="D16" s="1913"/>
      <c r="E16" s="1115">
        <v>1</v>
      </c>
      <c r="F16" s="1904">
        <f>ROUND(D16*E16,1)</f>
        <v>0</v>
      </c>
      <c r="L16" s="1115">
        <f>IF(COUNTA(тУчДисцДЕО[[#This Row],[Дисциплина]:[Изпитани]]),MAX(L15:L15)+1,"")</f>
        <v>4</v>
      </c>
      <c r="M16" s="1214"/>
      <c r="N16" s="1214"/>
      <c r="O16" s="1115" t="s">
        <v>84</v>
      </c>
      <c r="P16" s="1115"/>
      <c r="Q16" s="1115"/>
      <c r="R16" s="1115"/>
      <c r="S16" s="1115"/>
      <c r="T16" s="1115"/>
      <c r="U16" s="1115"/>
      <c r="V16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Row],[Студенти]],C54:D59,2,0),0)),0)</f>
        <v>0</v>
      </c>
      <c r="W16" s="1216">
        <f>IF(тУчДисцДЕО[[#This Row],[Език]]="БЕ",1,IF(тУчДисцДЕО[[#This Row],[Език]]="ЧЕ-ЧЕ",1.2,IF(тУчДисцДЕО[[#This Row],[Език]]="ЧЕ",1.5,0)))</f>
        <v>1</v>
      </c>
      <c r="X16" s="1115">
        <f>тУчДисцДЕО[[#This Row],[Лекции]]*тУчДисцДЕО[[#This Row],[кСтуденти]]*тУчДисцДЕО[[#This Row],[кЕзик]]</f>
        <v>0</v>
      </c>
      <c r="Y16" s="1115">
        <f>тУчДисцДЕО[[#This Row],[Упражнения]]*тУчДисцДЕО[[#This Row],[кСтуденти]]*тУчДисцДЕО[[#This Row],[кЕзик]]</f>
        <v>0</v>
      </c>
    </row>
    <row r="17" spans="2:25" s="1063" customFormat="1" ht="16.5" x14ac:dyDescent="0.25">
      <c r="B17" s="2299" t="s">
        <v>1009</v>
      </c>
      <c r="C17" s="2300"/>
      <c r="D17" s="2300"/>
      <c r="E17" s="2300"/>
      <c r="F17" s="2301"/>
      <c r="L17" s="1115">
        <f>IF(COUNTA(тУчДисцДЕО[[#This Row],[Дисциплина]:[Изпитани]]),MAX(L16:L16)+1,"")</f>
        <v>5</v>
      </c>
      <c r="M17" s="1214"/>
      <c r="N17" s="1214"/>
      <c r="O17" s="1115" t="s">
        <v>84</v>
      </c>
      <c r="P17" s="1115"/>
      <c r="Q17" s="1115"/>
      <c r="R17" s="1115"/>
      <c r="S17" s="1115"/>
      <c r="T17" s="1115"/>
      <c r="U17" s="1115"/>
      <c r="V17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Row],[Студенти]],C55:D60,2,0),0)),0)</f>
        <v>0</v>
      </c>
      <c r="W17" s="1216">
        <f>IF(тУчДисцДЕО[[#This Row],[Език]]="БЕ",1,IF(тУчДисцДЕО[[#This Row],[Език]]="ЧЕ-ЧЕ",1.2,IF(тУчДисцДЕО[[#This Row],[Език]]="ЧЕ",1.5,0)))</f>
        <v>1</v>
      </c>
      <c r="X17" s="1115">
        <f>тУчДисцДЕО[[#This Row],[Лекции]]*тУчДисцДЕО[[#This Row],[кСтуденти]]*тУчДисцДЕО[[#This Row],[кЕзик]]</f>
        <v>0</v>
      </c>
      <c r="Y17" s="1115">
        <f>тУчДисцДЕО[[#This Row],[Упражнения]]*тУчДисцДЕО[[#This Row],[кСтуденти]]*тУчДисцДЕО[[#This Row],[кЕзик]]</f>
        <v>0</v>
      </c>
    </row>
    <row r="18" spans="2:25" s="1063" customFormat="1" ht="18.75" customHeight="1" x14ac:dyDescent="0.25">
      <c r="B18" s="2290" t="s">
        <v>1048</v>
      </c>
      <c r="C18" s="2294"/>
      <c r="D18" s="1911"/>
      <c r="E18" s="1113">
        <v>0.6</v>
      </c>
      <c r="F18" s="1903">
        <f>ROUND(IF(D18&gt;0,D18,SUM(тУчДисцДЕО[Изпитани]))*E18,1)</f>
        <v>0</v>
      </c>
      <c r="L18" s="1115">
        <f>IF(COUNTA(тУчДисцДЕО[[#This Row],[Дисциплина]:[Изпитани]]),MAX(L17:L17)+1,"")</f>
        <v>6</v>
      </c>
      <c r="M18" s="1214"/>
      <c r="N18" s="1214"/>
      <c r="O18" s="1115" t="s">
        <v>84</v>
      </c>
      <c r="P18" s="1115"/>
      <c r="Q18" s="1115"/>
      <c r="R18" s="1115"/>
      <c r="S18" s="1115"/>
      <c r="T18" s="1115"/>
      <c r="U18" s="1115"/>
      <c r="V18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Row],[Студенти]],C56:D61,2,0),0)),0)</f>
        <v>0</v>
      </c>
      <c r="W18" s="1216">
        <f>IF(тУчДисцДЕО[[#This Row],[Език]]="БЕ",1,IF(тУчДисцДЕО[[#This Row],[Език]]="ЧЕ-ЧЕ",1.2,IF(тУчДисцДЕО[[#This Row],[Език]]="ЧЕ",1.5,0)))</f>
        <v>1</v>
      </c>
      <c r="X18" s="1115">
        <f>тУчДисцДЕО[[#This Row],[Лекции]]*тУчДисцДЕО[[#This Row],[кСтуденти]]*тУчДисцДЕО[[#This Row],[кЕзик]]</f>
        <v>0</v>
      </c>
      <c r="Y18" s="1115">
        <f>тУчДисцДЕО[[#This Row],[Упражнения]]*тУчДисцДЕО[[#This Row],[кСтуденти]]*тУчДисцДЕО[[#This Row],[кЕзик]]</f>
        <v>0</v>
      </c>
    </row>
    <row r="19" spans="2:25" s="1063" customFormat="1" ht="18.75" customHeight="1" x14ac:dyDescent="0.25">
      <c r="B19" s="2297" t="s">
        <v>1049</v>
      </c>
      <c r="C19" s="2298"/>
      <c r="D19" s="1914"/>
      <c r="E19" s="1116">
        <v>20</v>
      </c>
      <c r="F19" s="1905">
        <f>D19*20</f>
        <v>0</v>
      </c>
      <c r="L19" s="1115">
        <f>IF(COUNTA(тУчДисцДЕО[[#This Row],[Дисциплина]:[Изпитани]]),MAX(L18:L18)+1,"")</f>
        <v>7</v>
      </c>
      <c r="M19" s="1214"/>
      <c r="N19" s="1214"/>
      <c r="O19" s="1115" t="s">
        <v>84</v>
      </c>
      <c r="P19" s="1115"/>
      <c r="Q19" s="1115"/>
      <c r="R19" s="1115"/>
      <c r="S19" s="1115"/>
      <c r="T19" s="1115"/>
      <c r="U19" s="1115"/>
      <c r="V19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Row],[Студенти]],C57:D62,2,0),0)),0)</f>
        <v>0</v>
      </c>
      <c r="W19" s="1216">
        <f>IF(тУчДисцДЕО[[#This Row],[Език]]="БЕ",1,IF(тУчДисцДЕО[[#This Row],[Език]]="ЧЕ-ЧЕ",1.2,IF(тУчДисцДЕО[[#This Row],[Език]]="ЧЕ",1.5,0)))</f>
        <v>1</v>
      </c>
      <c r="X19" s="1115">
        <f>тУчДисцДЕО[[#This Row],[Лекции]]*тУчДисцДЕО[[#This Row],[кСтуденти]]*тУчДисцДЕО[[#This Row],[кЕзик]]</f>
        <v>0</v>
      </c>
      <c r="Y19" s="1115">
        <f>тУчДисцДЕО[[#This Row],[Упражнения]]*тУчДисцДЕО[[#This Row],[кСтуденти]]*тУчДисцДЕО[[#This Row],[кЕзик]]</f>
        <v>0</v>
      </c>
    </row>
    <row r="20" spans="2:25" s="1063" customFormat="1" ht="18.75" customHeight="1" x14ac:dyDescent="0.25">
      <c r="B20" s="2297" t="s">
        <v>1050</v>
      </c>
      <c r="C20" s="2298"/>
      <c r="D20" s="1914"/>
      <c r="E20" s="1116">
        <v>0.8</v>
      </c>
      <c r="F20" s="1905">
        <f>D20*0.8</f>
        <v>0</v>
      </c>
      <c r="L20" s="1115">
        <f>IF(COUNTA(тУчДисцДЕО[[#This Row],[Дисциплина]:[Изпитани]]),MAX(L19:L19)+1,"")</f>
        <v>8</v>
      </c>
      <c r="M20" s="1214"/>
      <c r="N20" s="1214"/>
      <c r="O20" s="1115" t="s">
        <v>84</v>
      </c>
      <c r="P20" s="1115"/>
      <c r="Q20" s="1115"/>
      <c r="R20" s="1115"/>
      <c r="S20" s="1115"/>
      <c r="T20" s="1115"/>
      <c r="U20" s="1115"/>
      <c r="V20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Row],[Студенти]],C58:D63,2,0),0)),0)</f>
        <v>0</v>
      </c>
      <c r="W20" s="1216">
        <f>IF(тУчДисцДЕО[[#This Row],[Език]]="БЕ",1,IF(тУчДисцДЕО[[#This Row],[Език]]="ЧЕ-ЧЕ",1.2,IF(тУчДисцДЕО[[#This Row],[Език]]="ЧЕ",1.5,0)))</f>
        <v>1</v>
      </c>
      <c r="X20" s="1115">
        <f>тУчДисцДЕО[[#This Row],[Лекции]]*тУчДисцДЕО[[#This Row],[кСтуденти]]*тУчДисцДЕО[[#This Row],[кЕзик]]</f>
        <v>0</v>
      </c>
      <c r="Y20" s="1115">
        <f>тУчДисцДЕО[[#This Row],[Упражнения]]*тУчДисцДЕО[[#This Row],[кСтуденти]]*тУчДисцДЕО[[#This Row],[кЕзик]]</f>
        <v>0</v>
      </c>
    </row>
    <row r="21" spans="2:25" s="1063" customFormat="1" ht="18.75" customHeight="1" x14ac:dyDescent="0.25">
      <c r="B21" s="2297" t="s">
        <v>1051</v>
      </c>
      <c r="C21" s="2298"/>
      <c r="D21" s="1914"/>
      <c r="E21" s="1116">
        <v>80</v>
      </c>
      <c r="F21" s="1905">
        <f>IF(D21&lt;=E21,D21,E21)</f>
        <v>0</v>
      </c>
      <c r="L21" s="1115">
        <f>IF(COUNTA(тУчДисцДЕО[[#This Row],[Дисциплина]:[Изпитани]]),MAX(L20:L20)+1,"")</f>
        <v>9</v>
      </c>
      <c r="M21" s="1214"/>
      <c r="N21" s="1214"/>
      <c r="O21" s="1115" t="s">
        <v>84</v>
      </c>
      <c r="P21" s="1115"/>
      <c r="Q21" s="1115"/>
      <c r="R21" s="1115"/>
      <c r="S21" s="1115"/>
      <c r="T21" s="1115"/>
      <c r="U21" s="1115"/>
      <c r="V21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Row],[Студенти]],C59:D64,2,0),0)),0)</f>
        <v>0</v>
      </c>
      <c r="W21" s="1216">
        <f>IF(тУчДисцДЕО[[#This Row],[Език]]="БЕ",1,IF(тУчДисцДЕО[[#This Row],[Език]]="ЧЕ-ЧЕ",1.2,IF(тУчДисцДЕО[[#This Row],[Език]]="ЧЕ",1.5,0)))</f>
        <v>1</v>
      </c>
      <c r="X21" s="1115">
        <f>тУчДисцДЕО[[#This Row],[Лекции]]*тУчДисцДЕО[[#This Row],[кСтуденти]]*тУчДисцДЕО[[#This Row],[кЕзик]]</f>
        <v>0</v>
      </c>
      <c r="Y21" s="1115">
        <f>тУчДисцДЕО[[#This Row],[Упражнения]]*тУчДисцДЕО[[#This Row],[кСтуденти]]*тУчДисцДЕО[[#This Row],[кЕзик]]</f>
        <v>0</v>
      </c>
    </row>
    <row r="22" spans="2:25" s="1063" customFormat="1" ht="18.75" customHeight="1" x14ac:dyDescent="0.25">
      <c r="B22" s="2297" t="s">
        <v>1052</v>
      </c>
      <c r="C22" s="2298"/>
      <c r="D22" s="1914"/>
      <c r="E22" s="1116">
        <v>5</v>
      </c>
      <c r="F22" s="1905">
        <f>D22*5</f>
        <v>0</v>
      </c>
      <c r="L22" s="1115">
        <f>IF(COUNTA(тУчДисцДЕО[[#This Row],[Дисциплина]:[Изпитани]]),MAX(L21:L21)+1,"")</f>
        <v>10</v>
      </c>
      <c r="M22" s="1214"/>
      <c r="N22" s="1214"/>
      <c r="O22" s="1115" t="s">
        <v>84</v>
      </c>
      <c r="P22" s="1115"/>
      <c r="Q22" s="1115"/>
      <c r="R22" s="1115"/>
      <c r="S22" s="1115"/>
      <c r="T22" s="1115"/>
      <c r="U22" s="1115"/>
      <c r="V22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Row],[Студенти]],C60:D65,2,0),0)),0)</f>
        <v>0</v>
      </c>
      <c r="W22" s="1216">
        <f>IF(тУчДисцДЕО[[#This Row],[Език]]="БЕ",1,IF(тУчДисцДЕО[[#This Row],[Език]]="ЧЕ-ЧЕ",1.2,IF(тУчДисцДЕО[[#This Row],[Език]]="ЧЕ",1.5,0)))</f>
        <v>1</v>
      </c>
      <c r="X22" s="1115">
        <f>тУчДисцДЕО[[#This Row],[Лекции]]*тУчДисцДЕО[[#This Row],[кСтуденти]]*тУчДисцДЕО[[#This Row],[кЕзик]]</f>
        <v>0</v>
      </c>
      <c r="Y22" s="1115">
        <f>тУчДисцДЕО[[#This Row],[Упражнения]]*тУчДисцДЕО[[#This Row],[кСтуденти]]*тУчДисцДЕО[[#This Row],[кЕзик]]</f>
        <v>0</v>
      </c>
    </row>
    <row r="23" spans="2:25" s="1063" customFormat="1" ht="18.75" customHeight="1" x14ac:dyDescent="0.25">
      <c r="B23" s="2297" t="s">
        <v>1053</v>
      </c>
      <c r="C23" s="2298"/>
      <c r="D23" s="1914"/>
      <c r="E23" s="1116">
        <v>30</v>
      </c>
      <c r="F23" s="1905">
        <f>D23*30</f>
        <v>0</v>
      </c>
      <c r="L23" s="1115">
        <f>IF(COUNTA(тУчДисцДЕО[[#This Row],[Дисциплина]:[Изпитани]]),MAX(L22:L22)+1,"")</f>
        <v>11</v>
      </c>
      <c r="M23" s="1214"/>
      <c r="N23" s="1214"/>
      <c r="O23" s="1115" t="s">
        <v>84</v>
      </c>
      <c r="P23" s="1115"/>
      <c r="Q23" s="1115"/>
      <c r="R23" s="1115"/>
      <c r="S23" s="1115"/>
      <c r="T23" s="1115"/>
      <c r="U23" s="1115"/>
      <c r="V23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Row],[Студенти]],C61:D66,2,0),0)),0)</f>
        <v>0</v>
      </c>
      <c r="W23" s="1216">
        <f>IF(тУчДисцДЕО[[#This Row],[Език]]="БЕ",1,IF(тУчДисцДЕО[[#This Row],[Език]]="ЧЕ-ЧЕ",1.2,IF(тУчДисцДЕО[[#This Row],[Език]]="ЧЕ",1.5,0)))</f>
        <v>1</v>
      </c>
      <c r="X23" s="1115">
        <f>тУчДисцДЕО[[#This Row],[Лекции]]*тУчДисцДЕО[[#This Row],[кСтуденти]]*тУчДисцДЕО[[#This Row],[кЕзик]]</f>
        <v>0</v>
      </c>
      <c r="Y23" s="1115">
        <f>тУчДисцДЕО[[#This Row],[Упражнения]]*тУчДисцДЕО[[#This Row],[кСтуденти]]*тУчДисцДЕО[[#This Row],[кЕзик]]</f>
        <v>0</v>
      </c>
    </row>
    <row r="24" spans="2:25" s="1063" customFormat="1" ht="18.75" customHeight="1" x14ac:dyDescent="0.25">
      <c r="B24" s="2297" t="s">
        <v>1054</v>
      </c>
      <c r="C24" s="2298"/>
      <c r="D24" s="1914"/>
      <c r="E24" s="1116">
        <v>5</v>
      </c>
      <c r="F24" s="1905">
        <f>ROUND(IF(D24&gt;0,D24,SUM(тУчДисцДЕО[КР]))*E24,1)</f>
        <v>0</v>
      </c>
      <c r="L24" s="1115">
        <f>IF(COUNTA(тУчДисцДЕО[[#This Row],[Дисциплина]:[Изпитани]]),MAX(L23:L23)+1,"")</f>
        <v>12</v>
      </c>
      <c r="M24" s="1214"/>
      <c r="N24" s="1214"/>
      <c r="O24" s="1115" t="s">
        <v>84</v>
      </c>
      <c r="P24" s="1115"/>
      <c r="Q24" s="1115"/>
      <c r="R24" s="1115"/>
      <c r="S24" s="1115"/>
      <c r="T24" s="1115"/>
      <c r="U24" s="1115"/>
      <c r="V24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Row],[Студенти]],C62:D67,2,0),0)),0)</f>
        <v>0</v>
      </c>
      <c r="W24" s="1216">
        <f>IF(тУчДисцДЕО[[#This Row],[Език]]="БЕ",1,IF(тУчДисцДЕО[[#This Row],[Език]]="ЧЕ-ЧЕ",1.2,IF(тУчДисцДЕО[[#This Row],[Език]]="ЧЕ",1.5,0)))</f>
        <v>1</v>
      </c>
      <c r="X24" s="1115">
        <f>тУчДисцДЕО[[#This Row],[Лекции]]*тУчДисцДЕО[[#This Row],[кСтуденти]]*тУчДисцДЕО[[#This Row],[кЕзик]]</f>
        <v>0</v>
      </c>
      <c r="Y24" s="1115">
        <f>тУчДисцДЕО[[#This Row],[Упражнения]]*тУчДисцДЕО[[#This Row],[кСтуденти]]*тУчДисцДЕО[[#This Row],[кЕзик]]</f>
        <v>0</v>
      </c>
    </row>
    <row r="25" spans="2:25" s="1063" customFormat="1" ht="18.75" customHeight="1" x14ac:dyDescent="0.25">
      <c r="B25" s="2297" t="s">
        <v>1055</v>
      </c>
      <c r="C25" s="2298"/>
      <c r="D25" s="1914"/>
      <c r="E25" s="1116">
        <v>30</v>
      </c>
      <c r="F25" s="1905">
        <f>D25*30</f>
        <v>0</v>
      </c>
      <c r="L25" s="1115">
        <f>IF(COUNTA(тУчДисцДЕО[[#This Row],[Дисциплина]:[Изпитани]]),MAX(L24:L24)+1,"")</f>
        <v>13</v>
      </c>
      <c r="M25" s="1214"/>
      <c r="N25" s="1214"/>
      <c r="O25" s="1115" t="s">
        <v>84</v>
      </c>
      <c r="P25" s="1115"/>
      <c r="Q25" s="1115"/>
      <c r="R25" s="1115"/>
      <c r="S25" s="1115"/>
      <c r="T25" s="1115"/>
      <c r="U25" s="1115"/>
      <c r="V25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Row],[Студенти]],C63:D68,2,0),0)),0)</f>
        <v>0</v>
      </c>
      <c r="W25" s="1216">
        <f>IF(тУчДисцДЕО[[#This Row],[Език]]="БЕ",1,IF(тУчДисцДЕО[[#This Row],[Език]]="ЧЕ-ЧЕ",1.2,IF(тУчДисцДЕО[[#This Row],[Език]]="ЧЕ",1.5,0)))</f>
        <v>1</v>
      </c>
      <c r="X25" s="1115">
        <f>тУчДисцДЕО[[#This Row],[Лекции]]*тУчДисцДЕО[[#This Row],[кСтуденти]]*тУчДисцДЕО[[#This Row],[кЕзик]]</f>
        <v>0</v>
      </c>
      <c r="Y25" s="1115">
        <f>тУчДисцДЕО[[#This Row],[Упражнения]]*тУчДисцДЕО[[#This Row],[кСтуденти]]*тУчДисцДЕО[[#This Row],[кЕзик]]</f>
        <v>0</v>
      </c>
    </row>
    <row r="26" spans="2:25" s="1063" customFormat="1" ht="18.75" customHeight="1" x14ac:dyDescent="0.25">
      <c r="B26" s="2295" t="s">
        <v>4560</v>
      </c>
      <c r="C26" s="2302"/>
      <c r="D26" s="1914"/>
      <c r="E26" s="1116">
        <v>30</v>
      </c>
      <c r="F26" s="1905">
        <f>IF(D26&lt;=E26,D26,E26)</f>
        <v>0</v>
      </c>
      <c r="L26" s="1115">
        <f>IF(COUNTA(тУчДисцДЕО[[#This Row],[Дисциплина]:[Изпитани]]),MAX(L25:L25)+1,"")</f>
        <v>14</v>
      </c>
      <c r="M26" s="1214"/>
      <c r="N26" s="1214"/>
      <c r="O26" s="1115" t="s">
        <v>84</v>
      </c>
      <c r="P26" s="1115"/>
      <c r="Q26" s="1115"/>
      <c r="R26" s="1115"/>
      <c r="S26" s="1115"/>
      <c r="T26" s="1115"/>
      <c r="U26" s="1115"/>
      <c r="V26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Row],[Студенти]],C64:D69,2,0),0)),0)</f>
        <v>0</v>
      </c>
      <c r="W26" s="1216">
        <f>IF(тУчДисцДЕО[[#This Row],[Език]]="БЕ",1,IF(тУчДисцДЕО[[#This Row],[Език]]="ЧЕ-ЧЕ",1.2,IF(тУчДисцДЕО[[#This Row],[Език]]="ЧЕ",1.5,0)))</f>
        <v>1</v>
      </c>
      <c r="X26" s="1115">
        <f>тУчДисцДЕО[[#This Row],[Лекции]]*тУчДисцДЕО[[#This Row],[кСтуденти]]*тУчДисцДЕО[[#This Row],[кЕзик]]</f>
        <v>0</v>
      </c>
      <c r="Y26" s="1115">
        <f>тУчДисцДЕО[[#This Row],[Упражнения]]*тУчДисцДЕО[[#This Row],[кСтуденти]]*тУчДисцДЕО[[#This Row],[кЕзик]]</f>
        <v>0</v>
      </c>
    </row>
    <row r="27" spans="2:25" s="1063" customFormat="1" ht="18.75" customHeight="1" x14ac:dyDescent="0.25">
      <c r="B27" s="2297" t="s">
        <v>1056</v>
      </c>
      <c r="C27" s="2298"/>
      <c r="D27" s="1914"/>
      <c r="E27" s="1116">
        <v>20</v>
      </c>
      <c r="F27" s="1905">
        <f>D27*20</f>
        <v>0</v>
      </c>
      <c r="L27" s="1115">
        <f>IF(COUNTA(тУчДисцДЕО[[#This Row],[Дисциплина]:[Изпитани]]),MAX(L26:L26)+1,"")</f>
        <v>15</v>
      </c>
      <c r="M27" s="1214"/>
      <c r="N27" s="1214"/>
      <c r="O27" s="1115" t="s">
        <v>84</v>
      </c>
      <c r="P27" s="1115"/>
      <c r="Q27" s="1115"/>
      <c r="R27" s="1115"/>
      <c r="S27" s="1115"/>
      <c r="T27" s="1115"/>
      <c r="U27" s="1115"/>
      <c r="V27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Row],[Студенти]],C65:D70,2,0),0)),0)</f>
        <v>0</v>
      </c>
      <c r="W27" s="1216">
        <f>IF(тУчДисцДЕО[[#This Row],[Език]]="БЕ",1,IF(тУчДисцДЕО[[#This Row],[Език]]="ЧЕ-ЧЕ",1.2,IF(тУчДисцДЕО[[#This Row],[Език]]="ЧЕ",1.5,0)))</f>
        <v>1</v>
      </c>
      <c r="X27" s="1115">
        <f>тУчДисцДЕО[[#This Row],[Лекции]]*тУчДисцДЕО[[#This Row],[кСтуденти]]*тУчДисцДЕО[[#This Row],[кЕзик]]</f>
        <v>0</v>
      </c>
      <c r="Y27" s="1115">
        <f>тУчДисцДЕО[[#This Row],[Упражнения]]*тУчДисцДЕО[[#This Row],[кСтуденти]]*тУчДисцДЕО[[#This Row],[кЕзик]]</f>
        <v>0</v>
      </c>
    </row>
    <row r="28" spans="2:25" s="1063" customFormat="1" ht="18.75" customHeight="1" x14ac:dyDescent="0.25">
      <c r="B28" s="2295" t="s">
        <v>4561</v>
      </c>
      <c r="C28" s="2296"/>
      <c r="D28" s="1914"/>
      <c r="E28" s="1116">
        <v>50</v>
      </c>
      <c r="F28" s="1905">
        <f>IF(D28&lt;=E28,D28,E28)</f>
        <v>0</v>
      </c>
      <c r="L28" s="1115">
        <f>IF(COUNTA(тУчДисцДЕО[[#This Row],[Дисциплина]:[Изпитани]]),MAX(L27:L27)+1,"")</f>
        <v>16</v>
      </c>
      <c r="M28" s="1214"/>
      <c r="N28" s="1214"/>
      <c r="O28" s="1115" t="s">
        <v>84</v>
      </c>
      <c r="P28" s="1115"/>
      <c r="Q28" s="1115"/>
      <c r="R28" s="1115"/>
      <c r="S28" s="1115"/>
      <c r="T28" s="1115"/>
      <c r="U28" s="1115"/>
      <c r="V28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Row],[Студенти]],C66:D71,2,0),0)),0)</f>
        <v>0</v>
      </c>
      <c r="W28" s="1216">
        <f>IF(тУчДисцДЕО[[#This Row],[Език]]="БЕ",1,IF(тУчДисцДЕО[[#This Row],[Език]]="ЧЕ-ЧЕ",1.2,IF(тУчДисцДЕО[[#This Row],[Език]]="ЧЕ",1.5,0)))</f>
        <v>1</v>
      </c>
      <c r="X28" s="1115">
        <f>тУчДисцДЕО[[#This Row],[Лекции]]*тУчДисцДЕО[[#This Row],[кСтуденти]]*тУчДисцДЕО[[#This Row],[кЕзик]]</f>
        <v>0</v>
      </c>
      <c r="Y28" s="1115">
        <f>тУчДисцДЕО[[#This Row],[Упражнения]]*тУчДисцДЕО[[#This Row],[кСтуденти]]*тУчДисцДЕО[[#This Row],[кЕзик]]</f>
        <v>0</v>
      </c>
    </row>
    <row r="29" spans="2:25" s="1063" customFormat="1" ht="18.75" customHeight="1" x14ac:dyDescent="0.25">
      <c r="B29" s="2309" t="s">
        <v>1057</v>
      </c>
      <c r="C29" s="2310"/>
      <c r="D29" s="1070"/>
      <c r="E29" s="1117">
        <v>20</v>
      </c>
      <c r="F29" s="1906">
        <f>D29*20</f>
        <v>0</v>
      </c>
      <c r="L29" s="1115">
        <f>IF(COUNTA(тУчДисцДЕО[[#This Row],[Дисциплина]:[Изпитани]]),MAX(L28:L28)+1,"")</f>
        <v>17</v>
      </c>
      <c r="M29" s="1214"/>
      <c r="N29" s="1214"/>
      <c r="O29" s="1115" t="s">
        <v>84</v>
      </c>
      <c r="P29" s="1115"/>
      <c r="Q29" s="1115"/>
      <c r="R29" s="1115"/>
      <c r="S29" s="1115"/>
      <c r="T29" s="1115"/>
      <c r="U29" s="1115"/>
      <c r="V29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Row],[Студенти]],C67:D72,2,0),0)),0)</f>
        <v>0</v>
      </c>
      <c r="W29" s="1216">
        <f>IF(тУчДисцДЕО[[#This Row],[Език]]="БЕ",1,IF(тУчДисцДЕО[[#This Row],[Език]]="ЧЕ-ЧЕ",1.2,IF(тУчДисцДЕО[[#This Row],[Език]]="ЧЕ",1.5,0)))</f>
        <v>1</v>
      </c>
      <c r="X29" s="1115">
        <f>тУчДисцДЕО[[#This Row],[Лекции]]*тУчДисцДЕО[[#This Row],[кСтуденти]]*тУчДисцДЕО[[#This Row],[кЕзик]]</f>
        <v>0</v>
      </c>
      <c r="Y29" s="1115">
        <f>тУчДисцДЕО[[#This Row],[Упражнения]]*тУчДисцДЕО[[#This Row],[кСтуденти]]*тУчДисцДЕО[[#This Row],[кЕзик]]</f>
        <v>0</v>
      </c>
    </row>
    <row r="30" spans="2:25" s="1063" customFormat="1" ht="18.75" customHeight="1" x14ac:dyDescent="0.25">
      <c r="B30" s="2311" t="s">
        <v>542</v>
      </c>
      <c r="C30" s="2270"/>
      <c r="D30" s="2270"/>
      <c r="E30" s="2271"/>
      <c r="F30" s="1907"/>
      <c r="L30" s="1115">
        <f>IF(COUNTA(тУчДисцДЕО[[#This Row],[Дисциплина]:[Изпитани]]),MAX(L29:L29)+1,"")</f>
        <v>18</v>
      </c>
      <c r="M30" s="1214"/>
      <c r="N30" s="1214"/>
      <c r="O30" s="1115" t="s">
        <v>84</v>
      </c>
      <c r="P30" s="1115"/>
      <c r="Q30" s="1115"/>
      <c r="R30" s="1115"/>
      <c r="S30" s="1115"/>
      <c r="T30" s="1115"/>
      <c r="U30" s="1115"/>
      <c r="V30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Row],[Студенти]],C68:D73,2,0),0)),0)</f>
        <v>0</v>
      </c>
      <c r="W30" s="1216">
        <f>IF(тУчДисцДЕО[[#This Row],[Език]]="БЕ",1,IF(тУчДисцДЕО[[#This Row],[Език]]="ЧЕ-ЧЕ",1.2,IF(тУчДисцДЕО[[#This Row],[Език]]="ЧЕ",1.5,0)))</f>
        <v>1</v>
      </c>
      <c r="X30" s="1115">
        <f>тУчДисцДЕО[[#This Row],[Лекции]]*тУчДисцДЕО[[#This Row],[кСтуденти]]*тУчДисцДЕО[[#This Row],[кЕзик]]</f>
        <v>0</v>
      </c>
      <c r="Y30" s="1115">
        <f>тУчДисцДЕО[[#This Row],[Упражнения]]*тУчДисцДЕО[[#This Row],[кСтуденти]]*тУчДисцДЕО[[#This Row],[кЕзик]]</f>
        <v>0</v>
      </c>
    </row>
    <row r="31" spans="2:25" s="1063" customFormat="1" ht="18.75" customHeight="1" x14ac:dyDescent="0.25">
      <c r="B31" s="2321" t="s">
        <v>543</v>
      </c>
      <c r="C31" s="2322"/>
      <c r="D31" s="2322"/>
      <c r="E31" s="2323"/>
      <c r="F31" s="1908"/>
      <c r="L31" s="1115">
        <f>IF(COUNTA(тУчДисцДЕО[[#This Row],[Дисциплина]:[Изпитани]]),MAX(L30:L30)+1,"")</f>
        <v>19</v>
      </c>
      <c r="M31" s="1214"/>
      <c r="N31" s="1214"/>
      <c r="O31" s="1115" t="s">
        <v>84</v>
      </c>
      <c r="P31" s="1115"/>
      <c r="Q31" s="1115"/>
      <c r="R31" s="1115"/>
      <c r="S31" s="1115"/>
      <c r="T31" s="1115"/>
      <c r="U31" s="1115"/>
      <c r="V31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Row],[Студенти]],C69:D74,2,0),0)),0)</f>
        <v>0</v>
      </c>
      <c r="W31" s="1216">
        <f>IF(тУчДисцДЕО[[#This Row],[Език]]="БЕ",1,IF(тУчДисцДЕО[[#This Row],[Език]]="ЧЕ-ЧЕ",1.2,IF(тУчДисцДЕО[[#This Row],[Език]]="ЧЕ",1.5,0)))</f>
        <v>1</v>
      </c>
      <c r="X31" s="1115">
        <f>тУчДисцДЕО[[#This Row],[Лекции]]*тУчДисцДЕО[[#This Row],[кСтуденти]]*тУчДисцДЕО[[#This Row],[кЕзик]]</f>
        <v>0</v>
      </c>
      <c r="Y31" s="1115">
        <f>тУчДисцДЕО[[#This Row],[Упражнения]]*тУчДисцДЕО[[#This Row],[кСтуденти]]*тУчДисцДЕО[[#This Row],[кЕзик]]</f>
        <v>0</v>
      </c>
    </row>
    <row r="32" spans="2:25" s="1063" customFormat="1" ht="18.75" customHeight="1" x14ac:dyDescent="0.25">
      <c r="B32" s="2311" t="s">
        <v>1010</v>
      </c>
      <c r="C32" s="2270"/>
      <c r="D32" s="2270"/>
      <c r="E32" s="2271"/>
      <c r="F32" s="1907">
        <f>SUM(F18:F29,F33)</f>
        <v>0</v>
      </c>
      <c r="L32" s="1115">
        <f>IF(COUNTA(тУчДисцДЕО[[#This Row],[Дисциплина]:[Изпитани]]),MAX(L31:L31)+1,"")</f>
        <v>20</v>
      </c>
      <c r="M32" s="1214"/>
      <c r="N32" s="1214"/>
      <c r="O32" s="1115" t="s">
        <v>84</v>
      </c>
      <c r="P32" s="1115"/>
      <c r="Q32" s="1115"/>
      <c r="R32" s="1115"/>
      <c r="S32" s="1115"/>
      <c r="T32" s="1115"/>
      <c r="U32" s="1115"/>
      <c r="V32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Row],[Студенти]],C68:D73,2,0),0)),0)</f>
        <v>0</v>
      </c>
      <c r="W32" s="1216">
        <f>IF(тУчДисцДЕО[[#This Row],[Език]]="БЕ",1,IF(тУчДисцДЕО[[#This Row],[Език]]="ЧЕ-ЧЕ",1.2,IF(тУчДисцДЕО[[#This Row],[Език]]="ЧЕ",1.5,0)))</f>
        <v>1</v>
      </c>
      <c r="X32" s="1115">
        <f>тУчДисцДЕО[[#This Row],[Лекции]]*тУчДисцДЕО[[#This Row],[кСтуденти]]*тУчДисцДЕО[[#This Row],[кЕзик]]</f>
        <v>0</v>
      </c>
      <c r="Y32" s="1115">
        <f>тУчДисцДЕО[[#This Row],[Упражнения]]*тУчДисцДЕО[[#This Row],[кСтуденти]]*тУчДисцДЕО[[#This Row],[кЕзик]]</f>
        <v>0</v>
      </c>
    </row>
    <row r="33" spans="2:25" s="1063" customFormat="1" ht="18.75" customHeight="1" thickBot="1" x14ac:dyDescent="0.3">
      <c r="B33" s="2312" t="s">
        <v>1011</v>
      </c>
      <c r="C33" s="2313"/>
      <c r="D33" s="2313"/>
      <c r="E33" s="2314"/>
      <c r="F33" s="1909">
        <f>SUM(F13:F16)</f>
        <v>0</v>
      </c>
      <c r="L33" s="1115">
        <f>IF(COUNTA(тУчДисцДЕО[[#This Row],[Дисциплина]:[Изпитани]]),MAX(L32:L32)+1,"")</f>
        <v>21</v>
      </c>
      <c r="M33" s="1214"/>
      <c r="N33" s="1214"/>
      <c r="O33" s="1115" t="s">
        <v>84</v>
      </c>
      <c r="P33" s="1115"/>
      <c r="Q33" s="1115"/>
      <c r="R33" s="1115"/>
      <c r="S33" s="1115"/>
      <c r="T33" s="1115"/>
      <c r="U33" s="1115"/>
      <c r="V33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Row],[Студенти]],C69:D74,2,0),0)),0)</f>
        <v>0</v>
      </c>
      <c r="W33" s="1216">
        <f>IF(тУчДисцДЕО[[#This Row],[Език]]="БЕ",1,IF(тУчДисцДЕО[[#This Row],[Език]]="ЧЕ-ЧЕ",1.2,IF(тУчДисцДЕО[[#This Row],[Език]]="ЧЕ",1.5,0)))</f>
        <v>1</v>
      </c>
      <c r="X33" s="1115">
        <f>тУчДисцДЕО[[#This Row],[Лекции]]*тУчДисцДЕО[[#This Row],[кСтуденти]]*тУчДисцДЕО[[#This Row],[кЕзик]]</f>
        <v>0</v>
      </c>
      <c r="Y33" s="1115">
        <f>тУчДисцДЕО[[#This Row],[Упражнения]]*тУчДисцДЕО[[#This Row],[кСтуденти]]*тУчДисцДЕО[[#This Row],[кЕзик]]</f>
        <v>0</v>
      </c>
    </row>
    <row r="34" spans="2:25" s="1063" customFormat="1" ht="18.75" customHeight="1" thickTop="1" x14ac:dyDescent="0.25">
      <c r="B34" s="2318" t="s">
        <v>1076</v>
      </c>
      <c r="C34" s="2319"/>
      <c r="D34" s="2319"/>
      <c r="E34" s="2320"/>
      <c r="F34" s="1916">
        <f>SUM(оксОЗ,деоОЗ)</f>
        <v>0</v>
      </c>
      <c r="L34" s="1115">
        <f>IF(COUNTA(тУчДисцДЕО[[#This Row],[Дисциплина]:[Изпитани]]),MAX(L33:L33)+1,"")</f>
        <v>22</v>
      </c>
      <c r="M34" s="1214"/>
      <c r="N34" s="1214"/>
      <c r="O34" s="1115" t="s">
        <v>84</v>
      </c>
      <c r="P34" s="1115"/>
      <c r="Q34" s="1115"/>
      <c r="R34" s="1115"/>
      <c r="S34" s="1115"/>
      <c r="T34" s="1115"/>
      <c r="U34" s="1115"/>
      <c r="V34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Row],[Студенти]],C70:D75,2,0),0)),0)</f>
        <v>0</v>
      </c>
      <c r="W34" s="1216">
        <f>IF(тУчДисцДЕО[[#This Row],[Език]]="БЕ",1,IF(тУчДисцДЕО[[#This Row],[Език]]="ЧЕ-ЧЕ",1.2,IF(тУчДисцДЕО[[#This Row],[Език]]="ЧЕ",1.5,0)))</f>
        <v>1</v>
      </c>
      <c r="X34" s="1115">
        <f>тУчДисцДЕО[[#This Row],[Лекции]]*тУчДисцДЕО[[#This Row],[кСтуденти]]*тУчДисцДЕО[[#This Row],[кЕзик]]</f>
        <v>0</v>
      </c>
      <c r="Y34" s="1115">
        <f>тУчДисцДЕО[[#This Row],[Упражнения]]*тУчДисцДЕО[[#This Row],[кСтуденти]]*тУчДисцДЕО[[#This Row],[кЕзик]]</f>
        <v>0</v>
      </c>
    </row>
    <row r="35" spans="2:25" s="1063" customFormat="1" ht="18.75" customHeight="1" thickBot="1" x14ac:dyDescent="0.3">
      <c r="B35" s="2315" t="s">
        <v>1021</v>
      </c>
      <c r="C35" s="2316"/>
      <c r="D35" s="2316"/>
      <c r="E35" s="2317"/>
      <c r="F35" s="1917">
        <f>SUM(оксАЗ,деоАЗ)</f>
        <v>0</v>
      </c>
      <c r="L35" s="1115">
        <f>IF(COUNTA(тУчДисцДЕО[[#This Row],[Дисциплина]:[Изпитани]]),MAX(L34:L34)+1,"")</f>
        <v>23</v>
      </c>
      <c r="M35" s="1214"/>
      <c r="N35" s="1214"/>
      <c r="O35" s="1115" t="s">
        <v>84</v>
      </c>
      <c r="P35" s="1115"/>
      <c r="Q35" s="1115"/>
      <c r="R35" s="1115"/>
      <c r="S35" s="1115"/>
      <c r="T35" s="1115"/>
      <c r="U35" s="1115"/>
      <c r="V35" s="1216">
        <f>IFERROR( IF(COUNTIF(тУчДисцДЕО[[#This Row],[Вид група]],"Извън*"),VLOOKUP(тУчДисцДЕО[[#This Row],[Студенти]],$C$59:$D$64,2,0),IF(COUNTIF(тУчДисцДЕО[[#This Row],[Вид група]],"Подготв*"),VLOOKUP(тУчДисцДЕО[[#This Row],[Студенти]],C71:D76,2,0),0)),0)</f>
        <v>0</v>
      </c>
      <c r="W35" s="1216">
        <f>IF(тУчДисцДЕО[[#This Row],[Език]]="БЕ",1,IF(тУчДисцДЕО[[#This Row],[Език]]="ЧЕ-ЧЕ",1.2,IF(тУчДисцДЕО[[#This Row],[Език]]="ЧЕ",1.5,0)))</f>
        <v>1</v>
      </c>
      <c r="X35" s="1115">
        <f>тУчДисцДЕО[[#This Row],[Лекции]]*тУчДисцДЕО[[#This Row],[кСтуденти]]*тУчДисцДЕО[[#This Row],[кЕзик]]</f>
        <v>0</v>
      </c>
      <c r="Y35" s="1115">
        <f>тУчДисцДЕО[[#This Row],[Упражнения]]*тУчДисцДЕО[[#This Row],[кСтуденти]]*тУчДисцДЕО[[#This Row],[кЕзик]]</f>
        <v>0</v>
      </c>
    </row>
    <row r="36" spans="2:25" s="1063" customFormat="1" ht="18.75" customHeight="1" thickTop="1" x14ac:dyDescent="0.25">
      <c r="B36" s="1065"/>
      <c r="C36" s="1065"/>
      <c r="D36" s="1066"/>
      <c r="E36" s="1066"/>
      <c r="F36" s="1077"/>
      <c r="W36"/>
      <c r="X36"/>
    </row>
    <row r="37" spans="2:25" x14ac:dyDescent="0.25">
      <c r="C37" s="2305" t="s">
        <v>1015</v>
      </c>
      <c r="D37" s="2306"/>
      <c r="E37" s="1118"/>
      <c r="F37" s="1078"/>
    </row>
    <row r="38" spans="2:25" ht="27" customHeight="1" x14ac:dyDescent="0.25">
      <c r="C38" s="2305" t="s">
        <v>1016</v>
      </c>
      <c r="D38" s="2306"/>
      <c r="E38" s="1118"/>
      <c r="F38" s="1079"/>
    </row>
    <row r="39" spans="2:25" ht="27" customHeight="1" x14ac:dyDescent="0.25">
      <c r="C39" s="2305" t="s">
        <v>1017</v>
      </c>
      <c r="D39" s="2306"/>
      <c r="E39" s="1118"/>
      <c r="F39" s="1079"/>
    </row>
    <row r="40" spans="2:25" ht="9.75" customHeight="1" x14ac:dyDescent="0.25">
      <c r="F40" s="1080"/>
    </row>
    <row r="42" spans="2:25" x14ac:dyDescent="0.25">
      <c r="B42" s="2303" t="s">
        <v>1068</v>
      </c>
      <c r="C42" s="2304"/>
      <c r="D42" s="2304"/>
      <c r="E42" s="2304"/>
      <c r="F42" s="2304"/>
    </row>
    <row r="44" spans="2:25" x14ac:dyDescent="0.25">
      <c r="B44" s="1915" t="s">
        <v>12892</v>
      </c>
    </row>
    <row r="45" spans="2:25" ht="6" customHeight="1" x14ac:dyDescent="0.25"/>
    <row r="46" spans="2:25" x14ac:dyDescent="0.25">
      <c r="B46" s="2324" t="s">
        <v>4</v>
      </c>
      <c r="C46" s="2325"/>
      <c r="D46" s="2325"/>
      <c r="E46" s="2325"/>
      <c r="F46" s="2326"/>
      <c r="G46"/>
      <c r="H46"/>
      <c r="I46"/>
      <c r="J46"/>
      <c r="K46"/>
      <c r="L46"/>
    </row>
    <row r="47" spans="2:25" x14ac:dyDescent="0.25">
      <c r="B47" s="2327" t="s">
        <v>1132</v>
      </c>
      <c r="C47" s="2328"/>
      <c r="D47" s="2328"/>
      <c r="E47" s="2328"/>
      <c r="F47" s="2329"/>
      <c r="G47"/>
      <c r="H47"/>
      <c r="I47"/>
      <c r="J47"/>
      <c r="K47"/>
      <c r="L47"/>
    </row>
    <row r="48" spans="2:25" x14ac:dyDescent="0.25">
      <c r="B48" s="2330" t="s">
        <v>4555</v>
      </c>
      <c r="C48" s="2331"/>
      <c r="D48" s="2331"/>
      <c r="E48" s="2331"/>
      <c r="F48" s="2332"/>
      <c r="G48"/>
      <c r="H48"/>
      <c r="I48"/>
      <c r="J48"/>
      <c r="K48"/>
      <c r="L48"/>
    </row>
    <row r="49" spans="1:12" ht="23.25" x14ac:dyDescent="0.35">
      <c r="A49" s="1554"/>
      <c r="B49" s="2333" t="s">
        <v>1133</v>
      </c>
      <c r="C49" s="2334"/>
      <c r="D49" s="2334"/>
      <c r="E49" s="2334"/>
      <c r="F49" s="2335"/>
      <c r="G49"/>
      <c r="H49"/>
      <c r="I49"/>
      <c r="J49"/>
      <c r="K49"/>
      <c r="L49"/>
    </row>
    <row r="50" spans="1:12" x14ac:dyDescent="0.25">
      <c r="B50" s="1541"/>
      <c r="C50" s="1542" t="s">
        <v>1134</v>
      </c>
      <c r="D50" s="1543" t="s">
        <v>4556</v>
      </c>
      <c r="E50" s="1544"/>
      <c r="F50" s="1545"/>
      <c r="G50"/>
      <c r="H50"/>
      <c r="I50"/>
      <c r="J50"/>
      <c r="K50"/>
      <c r="L50"/>
    </row>
    <row r="51" spans="1:12" ht="12.75" customHeight="1" x14ac:dyDescent="0.25">
      <c r="B51" s="1541"/>
      <c r="C51" s="1546">
        <v>6</v>
      </c>
      <c r="D51" s="1547">
        <v>1</v>
      </c>
      <c r="E51" s="1544"/>
      <c r="F51" s="1545"/>
      <c r="G51"/>
      <c r="H51"/>
      <c r="I51"/>
      <c r="J51"/>
      <c r="K51"/>
      <c r="L51"/>
    </row>
    <row r="52" spans="1:12" ht="12.75" customHeight="1" x14ac:dyDescent="0.25">
      <c r="B52" s="1541"/>
      <c r="C52" s="1548">
        <v>5</v>
      </c>
      <c r="D52" s="1547">
        <v>0.5</v>
      </c>
      <c r="E52" s="1544"/>
      <c r="F52" s="1545"/>
      <c r="G52"/>
      <c r="H52"/>
      <c r="I52"/>
      <c r="J52"/>
      <c r="K52"/>
      <c r="L52"/>
    </row>
    <row r="53" spans="1:12" ht="12.75" customHeight="1" x14ac:dyDescent="0.25">
      <c r="B53" s="1541"/>
      <c r="C53" s="1548">
        <v>4</v>
      </c>
      <c r="D53" s="1547">
        <v>0.4</v>
      </c>
      <c r="E53" s="1544"/>
      <c r="F53" s="1545"/>
      <c r="G53"/>
      <c r="H53"/>
      <c r="I53"/>
      <c r="J53"/>
      <c r="K53"/>
      <c r="L53"/>
    </row>
    <row r="54" spans="1:12" ht="12.75" customHeight="1" x14ac:dyDescent="0.25">
      <c r="B54" s="1541"/>
      <c r="C54" s="1548">
        <v>3</v>
      </c>
      <c r="D54" s="1547">
        <v>0.3</v>
      </c>
      <c r="E54" s="1544"/>
      <c r="F54" s="1545"/>
      <c r="G54"/>
      <c r="H54"/>
      <c r="I54"/>
      <c r="J54"/>
      <c r="K54"/>
      <c r="L54"/>
    </row>
    <row r="55" spans="1:12" ht="12.75" customHeight="1" x14ac:dyDescent="0.25">
      <c r="B55" s="1541"/>
      <c r="C55" s="1548">
        <v>2</v>
      </c>
      <c r="D55" s="1547">
        <v>0.2</v>
      </c>
      <c r="E55" s="1544"/>
      <c r="F55" s="1545"/>
      <c r="G55"/>
      <c r="H55"/>
      <c r="I55"/>
      <c r="J55"/>
      <c r="K55"/>
      <c r="L55"/>
    </row>
    <row r="56" spans="1:12" ht="29.25" customHeight="1" x14ac:dyDescent="0.25">
      <c r="A56" s="538"/>
      <c r="B56" s="2336" t="s">
        <v>4557</v>
      </c>
      <c r="C56" s="2337"/>
      <c r="D56" s="2337"/>
      <c r="E56" s="2337"/>
      <c r="F56" s="2338"/>
      <c r="G56"/>
      <c r="H56"/>
      <c r="I56"/>
      <c r="J56"/>
      <c r="K56"/>
      <c r="L56"/>
    </row>
    <row r="57" spans="1:12" x14ac:dyDescent="0.25">
      <c r="B57" s="1541"/>
      <c r="C57" s="1549" t="s">
        <v>1134</v>
      </c>
      <c r="D57" s="1543" t="s">
        <v>4556</v>
      </c>
      <c r="E57" s="1544"/>
      <c r="F57" s="1545"/>
      <c r="G57"/>
      <c r="H57"/>
      <c r="I57"/>
      <c r="J57"/>
      <c r="K57"/>
      <c r="L57"/>
    </row>
    <row r="58" spans="1:12" ht="12" customHeight="1" x14ac:dyDescent="0.25">
      <c r="B58" s="1541"/>
      <c r="C58" s="1546">
        <v>6</v>
      </c>
      <c r="D58" s="1547">
        <v>1</v>
      </c>
      <c r="E58" s="1544"/>
      <c r="F58" s="1545"/>
      <c r="G58"/>
      <c r="H58"/>
      <c r="I58"/>
      <c r="J58"/>
      <c r="K58"/>
      <c r="L58"/>
    </row>
    <row r="59" spans="1:12" ht="12" customHeight="1" x14ac:dyDescent="0.25">
      <c r="B59" s="1541"/>
      <c r="C59" s="1548">
        <v>5</v>
      </c>
      <c r="D59" s="1547">
        <v>0.9</v>
      </c>
      <c r="E59" s="1544"/>
      <c r="F59" s="1545"/>
      <c r="G59"/>
      <c r="H59"/>
      <c r="I59"/>
      <c r="J59"/>
      <c r="K59"/>
      <c r="L59"/>
    </row>
    <row r="60" spans="1:12" ht="12" customHeight="1" x14ac:dyDescent="0.25">
      <c r="B60" s="1541"/>
      <c r="C60" s="1548">
        <v>4</v>
      </c>
      <c r="D60" s="1547">
        <v>0.8</v>
      </c>
      <c r="E60" s="1544"/>
      <c r="F60" s="1545"/>
      <c r="G60"/>
      <c r="H60"/>
      <c r="I60"/>
      <c r="J60"/>
      <c r="K60"/>
      <c r="L60"/>
    </row>
    <row r="61" spans="1:12" ht="12" customHeight="1" x14ac:dyDescent="0.25">
      <c r="B61" s="1541"/>
      <c r="C61" s="1548">
        <v>3</v>
      </c>
      <c r="D61" s="1547">
        <v>0.7</v>
      </c>
      <c r="E61" s="1544"/>
      <c r="F61" s="1545"/>
      <c r="G61"/>
      <c r="H61"/>
      <c r="I61"/>
      <c r="J61"/>
      <c r="K61"/>
      <c r="L61"/>
    </row>
    <row r="62" spans="1:12" ht="12" customHeight="1" x14ac:dyDescent="0.25">
      <c r="B62" s="1541"/>
      <c r="C62" s="1548">
        <v>2</v>
      </c>
      <c r="D62" s="1547">
        <v>0.6</v>
      </c>
      <c r="E62" s="1544"/>
      <c r="F62" s="1545"/>
      <c r="G62"/>
      <c r="H62"/>
      <c r="I62"/>
      <c r="J62"/>
      <c r="K62"/>
      <c r="L62"/>
    </row>
    <row r="63" spans="1:12" ht="12" customHeight="1" x14ac:dyDescent="0.25">
      <c r="B63" s="1541"/>
      <c r="C63" s="1548">
        <v>1</v>
      </c>
      <c r="D63" s="1547">
        <v>0.5</v>
      </c>
      <c r="E63" s="1544"/>
      <c r="F63" s="1545"/>
      <c r="G63"/>
      <c r="H63"/>
      <c r="I63"/>
      <c r="J63"/>
      <c r="K63"/>
      <c r="L63"/>
    </row>
    <row r="64" spans="1:12" ht="8.25" customHeight="1" x14ac:dyDescent="0.25">
      <c r="B64" s="1550"/>
      <c r="C64" s="1551"/>
      <c r="D64" s="1551"/>
      <c r="E64" s="1552"/>
      <c r="F64" s="1553"/>
      <c r="G64"/>
      <c r="H64"/>
      <c r="I64"/>
      <c r="J64"/>
      <c r="K64"/>
      <c r="L64"/>
    </row>
    <row r="65" ht="10.5" customHeight="1" x14ac:dyDescent="0.25"/>
  </sheetData>
  <sheetProtection algorithmName="SHA-512" hashValue="ZTwERTtP+CVN5fryKXKlKABYcHH/3Dt5U91gCdF+MxptewfZmPZ8jeLaWfTVqgY7UKyLP5fynJuuMagrdM7oIg==" saltValue="kH2UfbSKa+/aou7whcd8xg==" spinCount="100000" sheet="1" objects="1" scenarios="1" formatCells="0" formatRows="0"/>
  <sortState xmlns:xlrd2="http://schemas.microsoft.com/office/spreadsheetml/2017/richdata2" ref="W9:X20">
    <sortCondition ref="W9:W20"/>
  </sortState>
  <mergeCells count="43">
    <mergeCell ref="B46:F46"/>
    <mergeCell ref="B47:F47"/>
    <mergeCell ref="B48:F48"/>
    <mergeCell ref="B49:F49"/>
    <mergeCell ref="B56:F56"/>
    <mergeCell ref="B42:F42"/>
    <mergeCell ref="C37:D37"/>
    <mergeCell ref="C38:D38"/>
    <mergeCell ref="C39:D39"/>
    <mergeCell ref="B16:C16"/>
    <mergeCell ref="B29:C29"/>
    <mergeCell ref="B32:E32"/>
    <mergeCell ref="B33:E33"/>
    <mergeCell ref="B35:E35"/>
    <mergeCell ref="B34:E34"/>
    <mergeCell ref="B30:E30"/>
    <mergeCell ref="B31:E31"/>
    <mergeCell ref="B13:C13"/>
    <mergeCell ref="B14:C14"/>
    <mergeCell ref="B15:C15"/>
    <mergeCell ref="B28:C28"/>
    <mergeCell ref="B18:C18"/>
    <mergeCell ref="B19:C19"/>
    <mergeCell ref="B20:C20"/>
    <mergeCell ref="B21:C21"/>
    <mergeCell ref="B22:C22"/>
    <mergeCell ref="B17:F17"/>
    <mergeCell ref="B23:C23"/>
    <mergeCell ref="B24:C24"/>
    <mergeCell ref="B25:C25"/>
    <mergeCell ref="B26:C26"/>
    <mergeCell ref="B27:C27"/>
    <mergeCell ref="B4:F4"/>
    <mergeCell ref="B3:F3"/>
    <mergeCell ref="B1:F1"/>
    <mergeCell ref="B2:F2"/>
    <mergeCell ref="B5:F5"/>
    <mergeCell ref="B6:F6"/>
    <mergeCell ref="C9:F9"/>
    <mergeCell ref="C8:F8"/>
    <mergeCell ref="B12:F12"/>
    <mergeCell ref="B11:C11"/>
    <mergeCell ref="C7:F7"/>
  </mergeCells>
  <phoneticPr fontId="129" type="noConversion"/>
  <conditionalFormatting sqref="B4">
    <cfRule type="expression" dxfId="79" priority="65">
      <formula>LEN($B$4)=0</formula>
    </cfRule>
  </conditionalFormatting>
  <conditionalFormatting sqref="B7">
    <cfRule type="expression" dxfId="78" priority="1">
      <formula>LEN($B$7)=0</formula>
    </cfRule>
  </conditionalFormatting>
  <conditionalFormatting sqref="C7:F7">
    <cfRule type="expression" dxfId="77" priority="2">
      <formula>LEN($C$7)=0</formula>
    </cfRule>
  </conditionalFormatting>
  <dataValidations disablePrompts="1" count="3">
    <dataValidation type="list" allowBlank="1" showInputMessage="1" showErrorMessage="1" sqref="B4" xr:uid="{07FF824A-DA8A-4E05-81B0-7A1B98A33793}">
      <formula1>"Български език и специализирано обучение на чужденци,Център за изучаване на чужди езици"</formula1>
    </dataValidation>
    <dataValidation type="list" allowBlank="1" showInputMessage="1" showErrorMessage="1" sqref="N13:N35" xr:uid="{42BE0384-B033-4016-B6DA-BC2E16CE61EF}">
      <formula1>"Подготвителна, Извън подготвителна"</formula1>
    </dataValidation>
    <dataValidation type="list" allowBlank="1" showInputMessage="1" showErrorMessage="1" sqref="O13:O35" xr:uid="{9FEEE873-0E81-4565-8A4C-6B9AEC6135C2}">
      <formula1>"БЕ,ЧЕ-ЧЕ,ЧЕ"</formula1>
    </dataValidation>
  </dataValidations>
  <printOptions horizontalCentered="1"/>
  <pageMargins left="0.35433070866141736" right="0.23622047244094491" top="0.19685039370078741" bottom="0.78740157480314965" header="0.31496062992125984" footer="0.31496062992125984"/>
  <pageSetup paperSize="9" scale="71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AA92259-03E2-47E3-87E2-DB99B0DADF4B}">
          <x14:formula1>
            <xm:f>ПЕРИОД!$F$48:$F$57</xm:f>
          </x14:formula1>
          <xm:sqref>B7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pageSetUpPr fitToPage="1"/>
  </sheetPr>
  <dimension ref="A1:S108"/>
  <sheetViews>
    <sheetView showGridLines="0" showRowColHeaders="0" tabSelected="1" topLeftCell="A5" zoomScale="90" zoomScaleNormal="90" workbookViewId="0">
      <selection activeCell="B7" sqref="B7:L7"/>
    </sheetView>
  </sheetViews>
  <sheetFormatPr defaultRowHeight="15" x14ac:dyDescent="0.25"/>
  <cols>
    <col min="1" max="1" width="2.28515625" style="34" customWidth="1"/>
    <col min="2" max="3" width="11.5703125" style="1" customWidth="1"/>
    <col min="4" max="4" width="22.7109375" style="1" customWidth="1"/>
    <col min="5" max="5" width="11.7109375" style="1" customWidth="1"/>
    <col min="6" max="6" width="14.140625" style="1" customWidth="1"/>
    <col min="7" max="7" width="15.85546875" style="1" customWidth="1"/>
    <col min="8" max="8" width="36.85546875" style="1" customWidth="1"/>
    <col min="9" max="9" width="3" style="1" bestFit="1" customWidth="1"/>
    <col min="10" max="10" width="18.7109375" style="1" customWidth="1"/>
    <col min="11" max="11" width="3.28515625" style="1" bestFit="1" customWidth="1"/>
    <col min="12" max="12" width="17.5703125" style="1" customWidth="1"/>
    <col min="13" max="13" width="10.85546875" style="34" customWidth="1"/>
    <col min="14" max="14" width="11.140625" style="34" hidden="1" customWidth="1"/>
    <col min="15" max="15" width="10.140625" style="34" hidden="1" customWidth="1"/>
    <col min="16" max="19" width="9.140625" style="34" hidden="1" customWidth="1"/>
    <col min="20" max="16384" width="9.140625" style="34"/>
  </cols>
  <sheetData>
    <row r="1" spans="2:18" ht="15.75" x14ac:dyDescent="0.25">
      <c r="B1" s="2065" t="s">
        <v>297</v>
      </c>
      <c r="C1" s="2065"/>
      <c r="D1" s="2065"/>
      <c r="E1" s="2065"/>
      <c r="F1" s="2065"/>
      <c r="G1" s="2065"/>
      <c r="H1" s="2065"/>
      <c r="I1" s="2065"/>
      <c r="J1" s="2065"/>
      <c r="K1" s="2065"/>
      <c r="L1" s="2065"/>
    </row>
    <row r="2" spans="2:18" ht="51" customHeight="1" thickBot="1" x14ac:dyDescent="0.3">
      <c r="B2" s="2068" t="s">
        <v>162</v>
      </c>
      <c r="C2" s="2065"/>
      <c r="D2" s="2065"/>
      <c r="E2" s="2065"/>
      <c r="F2" s="2065"/>
      <c r="G2" s="2065"/>
      <c r="H2" s="2065"/>
      <c r="I2" s="2065"/>
      <c r="J2" s="2065"/>
      <c r="K2" s="2065"/>
      <c r="L2" s="2065"/>
    </row>
    <row r="3" spans="2:18" s="35" customFormat="1" ht="20.100000000000001" customHeight="1" x14ac:dyDescent="0.3">
      <c r="B3" s="2534" t="s">
        <v>1</v>
      </c>
      <c r="C3" s="2535"/>
      <c r="D3" s="2538" t="s">
        <v>2</v>
      </c>
      <c r="E3" s="2563" t="s">
        <v>3</v>
      </c>
      <c r="F3" s="2563"/>
      <c r="G3" s="693"/>
      <c r="H3" s="694" t="s">
        <v>67</v>
      </c>
      <c r="I3" s="2542" t="s">
        <v>69</v>
      </c>
      <c r="J3" s="2542"/>
      <c r="K3" s="695"/>
      <c r="L3" s="2540" t="s">
        <v>118</v>
      </c>
    </row>
    <row r="4" spans="2:18" s="35" customFormat="1" ht="20.100000000000001" customHeight="1" thickBot="1" x14ac:dyDescent="0.35">
      <c r="B4" s="2536"/>
      <c r="C4" s="2537"/>
      <c r="D4" s="2539"/>
      <c r="E4" s="2554" t="s">
        <v>4</v>
      </c>
      <c r="F4" s="2554"/>
      <c r="G4" s="696"/>
      <c r="H4" s="697" t="s">
        <v>68</v>
      </c>
      <c r="I4" s="2543" t="s">
        <v>136</v>
      </c>
      <c r="J4" s="2543"/>
      <c r="K4" s="698"/>
      <c r="L4" s="2541"/>
    </row>
    <row r="5" spans="2:18" ht="27.75" customHeight="1" x14ac:dyDescent="0.25">
      <c r="B5" s="2555" t="s">
        <v>298</v>
      </c>
      <c r="C5" s="2555"/>
      <c r="D5" s="2555"/>
      <c r="E5" s="2555"/>
      <c r="F5" s="2555"/>
      <c r="G5" s="2555"/>
      <c r="H5" s="2555"/>
      <c r="I5" s="2555"/>
      <c r="J5" s="2555"/>
      <c r="K5" s="2555"/>
      <c r="L5" s="2555"/>
    </row>
    <row r="7" spans="2:18" ht="24.95" customHeight="1" x14ac:dyDescent="0.25">
      <c r="B7" s="2152"/>
      <c r="C7" s="2152"/>
      <c r="D7" s="2152"/>
      <c r="E7" s="2152"/>
      <c r="F7" s="2152"/>
      <c r="G7" s="2152"/>
      <c r="H7" s="2152"/>
      <c r="I7" s="2152"/>
      <c r="J7" s="2152"/>
      <c r="K7" s="2152"/>
      <c r="L7" s="2152"/>
    </row>
    <row r="8" spans="2:18" ht="23.25" customHeight="1" x14ac:dyDescent="0.25">
      <c r="B8" s="2073" t="s">
        <v>5</v>
      </c>
      <c r="C8" s="2073"/>
      <c r="D8" s="2073"/>
      <c r="E8" s="2073"/>
      <c r="F8" s="2073"/>
      <c r="G8" s="2073"/>
      <c r="H8" s="2073"/>
      <c r="I8" s="2073"/>
      <c r="J8" s="2073"/>
      <c r="K8" s="2073"/>
      <c r="L8" s="2073"/>
    </row>
    <row r="9" spans="2:18" ht="24.95" customHeight="1" x14ac:dyDescent="0.25">
      <c r="B9" s="2153"/>
      <c r="C9" s="2153"/>
      <c r="D9" s="2153"/>
      <c r="E9" s="2153"/>
      <c r="F9" s="2153"/>
      <c r="G9" s="2153"/>
      <c r="H9" s="2153"/>
      <c r="I9" s="2153"/>
      <c r="J9" s="2153"/>
      <c r="K9" s="2153"/>
      <c r="L9" s="2153"/>
    </row>
    <row r="10" spans="2:18" x14ac:dyDescent="0.25">
      <c r="B10" s="2066" t="s">
        <v>6</v>
      </c>
      <c r="C10" s="2066"/>
      <c r="D10" s="2066"/>
      <c r="E10" s="2066"/>
      <c r="F10" s="2066"/>
      <c r="G10" s="2066"/>
      <c r="H10" s="2066"/>
      <c r="I10" s="2066"/>
      <c r="J10" s="2066"/>
      <c r="K10" s="2066"/>
      <c r="L10" s="2066"/>
    </row>
    <row r="11" spans="2:18" ht="15.75" x14ac:dyDescent="0.2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2:18" ht="27.75" x14ac:dyDescent="0.4">
      <c r="B12" s="2074" t="s">
        <v>299</v>
      </c>
      <c r="C12" s="2074"/>
      <c r="D12" s="2074"/>
      <c r="E12" s="2074"/>
      <c r="F12" s="2074"/>
      <c r="G12" s="2074"/>
      <c r="H12" s="2074"/>
      <c r="I12" s="2074"/>
      <c r="J12" s="2074"/>
      <c r="K12" s="2074"/>
      <c r="L12" s="2074"/>
    </row>
    <row r="13" spans="2:18" x14ac:dyDescent="0.25">
      <c r="B13" s="2075"/>
      <c r="C13" s="2075"/>
      <c r="D13" s="2075"/>
      <c r="E13" s="2075"/>
      <c r="F13" s="2075"/>
      <c r="G13" s="2075"/>
      <c r="H13" s="2075"/>
      <c r="I13" s="2075"/>
      <c r="J13" s="2075"/>
      <c r="K13" s="33"/>
      <c r="L13" s="33"/>
      <c r="M13"/>
      <c r="N13"/>
      <c r="O13"/>
      <c r="P13"/>
      <c r="Q13"/>
      <c r="R13"/>
    </row>
    <row r="14" spans="2:18" ht="24.95" customHeight="1" x14ac:dyDescent="0.25">
      <c r="B14" s="2561"/>
      <c r="C14" s="2562"/>
      <c r="D14" s="2562"/>
      <c r="E14" s="2562"/>
      <c r="F14" s="1989"/>
      <c r="G14" s="1989"/>
      <c r="H14" s="1989"/>
      <c r="I14" s="1989"/>
      <c r="J14" s="1989"/>
      <c r="K14" s="1989"/>
      <c r="L14" s="1990"/>
      <c r="M14"/>
      <c r="N14"/>
      <c r="O14"/>
      <c r="P14"/>
      <c r="Q14"/>
      <c r="R14"/>
    </row>
    <row r="15" spans="2:18" x14ac:dyDescent="0.25">
      <c r="B15" s="1991" t="s">
        <v>614</v>
      </c>
      <c r="C15" s="1991"/>
      <c r="D15" s="1991"/>
      <c r="E15" s="1991"/>
      <c r="F15" s="1992" t="s">
        <v>615</v>
      </c>
      <c r="G15" s="1992"/>
      <c r="H15" s="1992"/>
      <c r="I15" s="1992"/>
      <c r="J15" s="1992"/>
      <c r="K15" s="1992"/>
      <c r="L15" s="1992"/>
      <c r="M15"/>
      <c r="N15"/>
      <c r="O15"/>
      <c r="P15"/>
      <c r="Q15"/>
      <c r="R15"/>
    </row>
    <row r="16" spans="2:18" x14ac:dyDescent="0.25">
      <c r="B16" s="98"/>
      <c r="C16" s="98"/>
      <c r="D16" s="98"/>
      <c r="E16" s="97"/>
      <c r="F16" s="97"/>
      <c r="G16" s="97"/>
      <c r="H16" s="97"/>
      <c r="I16" s="97"/>
      <c r="J16" s="97"/>
      <c r="K16" s="97"/>
      <c r="L16" s="97"/>
      <c r="M16"/>
      <c r="N16"/>
      <c r="O16"/>
      <c r="P16"/>
      <c r="Q16"/>
      <c r="R16"/>
    </row>
    <row r="17" spans="1:18" ht="31.5" x14ac:dyDescent="0.5">
      <c r="A17" s="156"/>
      <c r="B17" s="2556" t="s">
        <v>293</v>
      </c>
      <c r="C17" s="2556"/>
      <c r="D17" s="2556"/>
      <c r="E17" s="2083"/>
      <c r="F17" s="2084"/>
      <c r="G17" s="2084"/>
      <c r="H17" s="2084"/>
      <c r="I17" s="2084"/>
      <c r="J17" s="2084"/>
      <c r="K17" s="2084"/>
      <c r="L17" s="2085"/>
      <c r="M17"/>
      <c r="N17"/>
      <c r="O17"/>
      <c r="P17"/>
      <c r="Q17"/>
      <c r="R17"/>
    </row>
    <row r="18" spans="1:18" x14ac:dyDescent="0.25">
      <c r="B18" s="96"/>
      <c r="C18" s="96"/>
      <c r="D18" s="96"/>
      <c r="E18" s="33"/>
      <c r="F18" s="33"/>
      <c r="G18" s="33"/>
      <c r="H18" s="33"/>
      <c r="I18" s="33"/>
      <c r="J18" s="33"/>
      <c r="K18" s="33"/>
      <c r="L18" s="33"/>
      <c r="M18"/>
      <c r="N18"/>
      <c r="O18"/>
      <c r="P18"/>
      <c r="Q18"/>
      <c r="R18"/>
    </row>
    <row r="19" spans="1:18" ht="20.100000000000001" customHeight="1" x14ac:dyDescent="0.25">
      <c r="B19" s="2557" t="s">
        <v>8</v>
      </c>
      <c r="C19" s="2557"/>
      <c r="D19" s="2557"/>
      <c r="E19" s="2558" t="s">
        <v>60</v>
      </c>
      <c r="F19" s="2559"/>
      <c r="G19" s="2559"/>
      <c r="H19" s="2559"/>
      <c r="I19" s="2559"/>
      <c r="J19" s="2559"/>
      <c r="K19" s="2559"/>
      <c r="L19" s="2560"/>
      <c r="M19"/>
      <c r="N19"/>
      <c r="O19"/>
      <c r="P19"/>
      <c r="Q19"/>
      <c r="R19"/>
    </row>
    <row r="20" spans="1:18" ht="20.100000000000001" customHeight="1" x14ac:dyDescent="0.25">
      <c r="B20" s="2544" t="s">
        <v>161</v>
      </c>
      <c r="C20" s="2544"/>
      <c r="D20" s="2544"/>
      <c r="E20" s="2079" t="str">
        <f>IF(E19=0,list!B82,VLOOKUP(E19,Номенклатура!I5:J12,2,0))</f>
        <v>няма определена</v>
      </c>
      <c r="F20" s="2079"/>
      <c r="G20" s="2079"/>
      <c r="H20" s="2079"/>
      <c r="I20" s="2079"/>
      <c r="J20" s="2079"/>
      <c r="K20" s="2079"/>
      <c r="L20" s="2079"/>
      <c r="M20"/>
      <c r="N20"/>
      <c r="O20"/>
      <c r="P20"/>
      <c r="Q20"/>
      <c r="R20"/>
    </row>
    <row r="21" spans="1:18" ht="7.5" customHeight="1" x14ac:dyDescent="0.25">
      <c r="B21" s="98"/>
      <c r="C21" s="98"/>
      <c r="D21" s="98"/>
      <c r="E21" s="97"/>
      <c r="F21" s="97"/>
      <c r="G21" s="97"/>
      <c r="H21" s="97"/>
      <c r="I21" s="97"/>
      <c r="J21" s="97"/>
      <c r="K21" s="97"/>
      <c r="L21" s="97"/>
      <c r="M21"/>
      <c r="N21"/>
      <c r="O21"/>
      <c r="P21"/>
      <c r="Q21"/>
      <c r="R21"/>
    </row>
    <row r="22" spans="1:18" ht="20.100000000000001" customHeight="1" x14ac:dyDescent="0.25">
      <c r="B22" s="342" t="s">
        <v>520</v>
      </c>
      <c r="C22" s="275" t="s">
        <v>521</v>
      </c>
      <c r="D22" s="276"/>
      <c r="E22" s="275" t="s">
        <v>522</v>
      </c>
      <c r="F22" s="2095"/>
      <c r="G22" s="2096"/>
      <c r="H22" s="2097"/>
      <c r="I22" s="275" t="s">
        <v>523</v>
      </c>
      <c r="J22" s="458"/>
      <c r="K22" s="275" t="s">
        <v>524</v>
      </c>
      <c r="L22" s="458"/>
      <c r="M22"/>
      <c r="N22"/>
      <c r="O22"/>
      <c r="P22"/>
      <c r="Q22"/>
      <c r="R22"/>
    </row>
    <row r="23" spans="1:18" ht="6.75" customHeight="1" thickBot="1" x14ac:dyDescent="0.3">
      <c r="C23" s="3"/>
      <c r="D23" s="3"/>
      <c r="E23" s="3"/>
      <c r="M23"/>
      <c r="N23"/>
      <c r="O23"/>
      <c r="P23"/>
      <c r="Q23"/>
      <c r="R23"/>
    </row>
    <row r="24" spans="1:18" ht="41.25" customHeight="1" x14ac:dyDescent="0.25">
      <c r="B24" s="2090" t="s">
        <v>431</v>
      </c>
      <c r="C24" s="2091"/>
      <c r="D24" s="2522" t="str">
        <f>'1. Планд'!D23</f>
        <v>2024/2025</v>
      </c>
      <c r="E24" s="2522"/>
      <c r="F24" s="2523" t="str">
        <f>ПЕРИОД!D16</f>
        <v>СЕПТЕМВРИЙСКА
СЕСИЯ</v>
      </c>
      <c r="G24" s="2524"/>
      <c r="H24" s="1089" t="s">
        <v>154</v>
      </c>
      <c r="I24" s="2527" t="s">
        <v>68</v>
      </c>
      <c r="J24" s="2528"/>
      <c r="K24" s="2525" t="s">
        <v>69</v>
      </c>
      <c r="L24" s="2526"/>
      <c r="M24"/>
      <c r="N24"/>
      <c r="O24"/>
      <c r="P24"/>
      <c r="Q24"/>
      <c r="R24"/>
    </row>
    <row r="25" spans="1:18" s="149" customFormat="1" ht="27" customHeight="1" x14ac:dyDescent="0.25">
      <c r="B25" s="2545" t="s">
        <v>9</v>
      </c>
      <c r="C25" s="2546"/>
      <c r="D25" s="2546"/>
      <c r="E25" s="2546"/>
      <c r="F25" s="2546"/>
      <c r="G25" s="2546"/>
      <c r="H25" s="2546"/>
      <c r="I25" s="2546"/>
      <c r="J25" s="2546"/>
      <c r="K25" s="2546"/>
      <c r="L25" s="2547"/>
      <c r="M25"/>
      <c r="N25"/>
      <c r="O25"/>
      <c r="P25"/>
      <c r="Q25"/>
      <c r="R25"/>
    </row>
    <row r="26" spans="1:18" ht="24.95" customHeight="1" x14ac:dyDescent="0.25">
      <c r="A26" s="820"/>
      <c r="B26" s="2495" t="s">
        <v>756</v>
      </c>
      <c r="C26" s="2496"/>
      <c r="D26" s="2496"/>
      <c r="E26" s="2496"/>
      <c r="F26" s="2496"/>
      <c r="G26" s="2496"/>
      <c r="H26" s="398">
        <f>CHOOSE(ПЕРИОД!$D$15,0,'1. Планд'!H26,'1. Планд'!I26,SUM('1. Планд'!H26:I26)*N(A$26))</f>
        <v>0</v>
      </c>
      <c r="I26" s="2529">
        <f>CHOOSE(ПЕРИОД!$D$15,0,'1. Планд'!J26,'1. Планд'!K26,SUM('1. Планд'!J26:K26)*N(A$26))</f>
        <v>0</v>
      </c>
      <c r="J26" s="2530"/>
      <c r="K26" s="2529">
        <f>'1. Планд'!L26</f>
        <v>0</v>
      </c>
      <c r="L26" s="2530"/>
      <c r="M26"/>
      <c r="N26"/>
      <c r="O26"/>
      <c r="P26"/>
      <c r="Q26"/>
      <c r="R26"/>
    </row>
    <row r="27" spans="1:18" ht="24.95" customHeight="1" thickBot="1" x14ac:dyDescent="0.3">
      <c r="B27" s="2462" t="s">
        <v>757</v>
      </c>
      <c r="C27" s="2463"/>
      <c r="D27" s="2463"/>
      <c r="E27" s="2463"/>
      <c r="F27" s="2463"/>
      <c r="G27" s="2463"/>
      <c r="H27" s="400">
        <f>CHOOSE(ПЕРИОД!$D$15,0,'1. Планд'!H27,'1. Планд'!I27,SUM('1. Планд'!H27:I27)*N(A$26))</f>
        <v>0</v>
      </c>
      <c r="I27" s="2531">
        <f>CHOOSE(ПЕРИОД!$D$15,0,'1. Планд'!J27,'1. Планд'!K27,SUM('1. Планд'!J27:K27)*N(A$26))</f>
        <v>0</v>
      </c>
      <c r="J27" s="2532"/>
      <c r="K27" s="2531">
        <f>'1. Планд'!L27</f>
        <v>0</v>
      </c>
      <c r="L27" s="2532"/>
      <c r="M27"/>
      <c r="N27"/>
      <c r="O27"/>
      <c r="P27"/>
      <c r="Q27"/>
      <c r="R27"/>
    </row>
    <row r="28" spans="1:18" ht="24.95" customHeight="1" thickTop="1" x14ac:dyDescent="0.25">
      <c r="B28" s="2495" t="s">
        <v>758</v>
      </c>
      <c r="C28" s="2496"/>
      <c r="D28" s="2496"/>
      <c r="E28" s="2496"/>
      <c r="F28" s="2496"/>
      <c r="G28" s="2496"/>
      <c r="H28" s="398">
        <f>CHOOSE(ПЕРИОД!$D$15,0,'1. Планд'!H28,'1. Планд'!I28,SUM('1. Планд'!H28:I28)*N(A$26))</f>
        <v>0</v>
      </c>
      <c r="I28" s="2533">
        <f>CHOOSE(ПЕРИОД!$D$15,0,'1. Планд'!J28,'1. Планд'!K28,SUM('1. Планд'!J28:K28)*N(A$26))</f>
        <v>0</v>
      </c>
      <c r="J28" s="2388"/>
      <c r="K28" s="2533">
        <f>'1. Планд'!L28</f>
        <v>0</v>
      </c>
      <c r="L28" s="2388"/>
      <c r="M28"/>
      <c r="N28"/>
      <c r="O28"/>
      <c r="P28"/>
      <c r="Q28"/>
      <c r="R28"/>
    </row>
    <row r="29" spans="1:18" ht="24.95" customHeight="1" x14ac:dyDescent="0.25">
      <c r="B29" s="2513" t="s">
        <v>759</v>
      </c>
      <c r="C29" s="2514"/>
      <c r="D29" s="2514"/>
      <c r="E29" s="2514"/>
      <c r="F29" s="2514"/>
      <c r="G29" s="2514"/>
      <c r="H29" s="1088">
        <f>CHOOSE(ПЕРИОД!$D$15,0,'1. Планд'!H29,'1. Планд'!I29,SUM('1. Планд'!H29:I29)*N(A$26))</f>
        <v>0</v>
      </c>
      <c r="I29" s="2357">
        <f>CHOOSE(ПЕРИОД!$D$15,0,'1. Планд'!J29,'1. Планд'!K29,SUM('1. Планд'!J29:K29)*N(A$26))</f>
        <v>0</v>
      </c>
      <c r="J29" s="2358"/>
      <c r="K29" s="2357">
        <f>'1. Планд'!L29</f>
        <v>0</v>
      </c>
      <c r="L29" s="2358"/>
      <c r="M29"/>
      <c r="N29"/>
      <c r="O29"/>
      <c r="P29"/>
      <c r="Q29"/>
      <c r="R29"/>
    </row>
    <row r="30" spans="1:18" s="150" customFormat="1" ht="27" customHeight="1" x14ac:dyDescent="0.3">
      <c r="B30" s="2519" t="s">
        <v>10</v>
      </c>
      <c r="C30" s="2520"/>
      <c r="D30" s="2520"/>
      <c r="E30" s="2520"/>
      <c r="F30" s="2520"/>
      <c r="G30" s="2520"/>
      <c r="H30" s="2520"/>
      <c r="I30" s="2520"/>
      <c r="J30" s="2520"/>
      <c r="K30" s="2520"/>
      <c r="L30" s="2521"/>
      <c r="M30"/>
      <c r="N30"/>
      <c r="O30"/>
      <c r="P30"/>
      <c r="Q30"/>
      <c r="R30"/>
    </row>
    <row r="31" spans="1:18" ht="27" customHeight="1" thickBot="1" x14ac:dyDescent="0.35">
      <c r="A31" s="150"/>
      <c r="B31" s="2515" t="s">
        <v>760</v>
      </c>
      <c r="C31" s="2516"/>
      <c r="D31" s="2516"/>
      <c r="E31" s="2516"/>
      <c r="F31" s="2516"/>
      <c r="G31" s="2516"/>
      <c r="H31" s="1137">
        <f>SUM(H32:H43)</f>
        <v>0</v>
      </c>
      <c r="I31" s="2359">
        <f>SUM(I32:J43)</f>
        <v>0</v>
      </c>
      <c r="J31" s="2360"/>
      <c r="K31" s="2363">
        <v>0</v>
      </c>
      <c r="L31" s="2364"/>
      <c r="M31"/>
      <c r="N31"/>
      <c r="O31"/>
      <c r="P31"/>
      <c r="Q31"/>
      <c r="R31"/>
    </row>
    <row r="32" spans="1:18" ht="24" customHeight="1" thickTop="1" x14ac:dyDescent="0.25">
      <c r="B32" s="2517" t="s">
        <v>1086</v>
      </c>
      <c r="C32" s="2518"/>
      <c r="D32" s="2518"/>
      <c r="E32" s="2518"/>
      <c r="F32" s="2518"/>
      <c r="G32" s="2518"/>
      <c r="H32" s="1135">
        <f>CHOOSE(ПЕРИОД!$D$15,0,'1. Планд'!H32,'1. Планд'!I32,SUM('1. Планд'!H32:I32))</f>
        <v>0</v>
      </c>
      <c r="I32" s="2361">
        <f>CHOOSE(ПЕРИОД!$D$15,0,'1. Планд'!J32,'1. Планд'!K32,SUM('1. Планд'!J32:K32))</f>
        <v>0</v>
      </c>
      <c r="J32" s="2362"/>
      <c r="K32" s="2365">
        <v>0</v>
      </c>
      <c r="L32" s="2366"/>
      <c r="M32"/>
      <c r="N32"/>
      <c r="O32"/>
      <c r="P32"/>
      <c r="Q32"/>
      <c r="R32"/>
    </row>
    <row r="33" spans="2:18" ht="24" customHeight="1" x14ac:dyDescent="0.25">
      <c r="B33" s="2499" t="s">
        <v>1085</v>
      </c>
      <c r="C33" s="2500"/>
      <c r="D33" s="2500"/>
      <c r="E33" s="2500"/>
      <c r="F33" s="2500"/>
      <c r="G33" s="2500"/>
      <c r="H33" s="1136">
        <f>CHOOSE(ПЕРИОД!$D$15,0,'1. Планд'!H33,'1. Планд'!I33,SUM('1. Планд'!H33:I33))</f>
        <v>0</v>
      </c>
      <c r="I33" s="2353">
        <f>CHOOSE(ПЕРИОД!$D$15,0,'1. Планд'!J33,'1. Планд'!K33,SUM('1. Планд'!J33:K33))</f>
        <v>0</v>
      </c>
      <c r="J33" s="2354"/>
      <c r="K33" s="2367">
        <v>0</v>
      </c>
      <c r="L33" s="2368"/>
      <c r="M33"/>
      <c r="N33"/>
      <c r="O33"/>
      <c r="P33"/>
      <c r="Q33"/>
      <c r="R33"/>
    </row>
    <row r="34" spans="2:18" ht="24" customHeight="1" thickBot="1" x14ac:dyDescent="0.3">
      <c r="B34" s="2548" t="s">
        <v>2789</v>
      </c>
      <c r="C34" s="2549"/>
      <c r="D34" s="2549"/>
      <c r="E34" s="2549"/>
      <c r="F34" s="2549"/>
      <c r="G34" s="2549"/>
      <c r="H34" s="1137">
        <f>CHOOSE(ПЕРИОД!$D$15,0,'1. Планд'!H34,'1. Планд'!I34,SUM('1. Планд'!H34:I34))</f>
        <v>0</v>
      </c>
      <c r="I34" s="2341">
        <f>CHOOSE(ПЕРИОД!$D$15,0,'1. Планд'!J34,'1. Планд'!K34,SUM('1. Планд'!J34:K34))</f>
        <v>0</v>
      </c>
      <c r="J34" s="2342"/>
      <c r="K34" s="2343">
        <v>0</v>
      </c>
      <c r="L34" s="2344"/>
      <c r="M34"/>
      <c r="N34"/>
      <c r="O34"/>
      <c r="P34"/>
      <c r="Q34"/>
      <c r="R34"/>
    </row>
    <row r="35" spans="2:18" ht="24" customHeight="1" thickTop="1" x14ac:dyDescent="0.25">
      <c r="B35" s="2345" t="s">
        <v>885</v>
      </c>
      <c r="C35" s="2346"/>
      <c r="D35" s="2346"/>
      <c r="E35" s="2346"/>
      <c r="F35" s="2346"/>
      <c r="G35" s="2346"/>
      <c r="H35" s="1138">
        <f>CHOOSE(ПЕРИОД!$D$15,0,'1. Планд'!H35,'1. Планд'!I35,SUM('1. Планд'!H35:I35))</f>
        <v>0</v>
      </c>
      <c r="I35" s="2347">
        <f>CHOOSE(ПЕРИОД!$D$15,0,'1. Планд'!J35,'1. Планд'!K35,SUM('1. Планд'!J35:K35))</f>
        <v>0</v>
      </c>
      <c r="J35" s="2348"/>
      <c r="K35" s="2349">
        <v>0</v>
      </c>
      <c r="L35" s="2350"/>
      <c r="M35"/>
      <c r="N35"/>
      <c r="O35"/>
      <c r="P35"/>
      <c r="Q35"/>
      <c r="R35"/>
    </row>
    <row r="36" spans="2:18" ht="24" customHeight="1" x14ac:dyDescent="0.25">
      <c r="B36" s="2351" t="s">
        <v>887</v>
      </c>
      <c r="C36" s="2352"/>
      <c r="D36" s="2352"/>
      <c r="E36" s="2352"/>
      <c r="F36" s="2352"/>
      <c r="G36" s="2352"/>
      <c r="H36" s="1136">
        <f>CHOOSE(ПЕРИОД!$D$15,0,'1. Планд'!H36,'1. Планд'!I36,SUM('1. Планд'!H36:I36))</f>
        <v>0</v>
      </c>
      <c r="I36" s="2353">
        <f>CHOOSE(ПЕРИОД!$D$15,0,'1. Планд'!J36,'1. Планд'!K36,SUM('1. Планд'!J36:K36))</f>
        <v>0</v>
      </c>
      <c r="J36" s="2354"/>
      <c r="K36" s="2349">
        <v>0</v>
      </c>
      <c r="L36" s="2350"/>
      <c r="M36"/>
      <c r="N36"/>
      <c r="O36"/>
      <c r="P36"/>
      <c r="Q36"/>
      <c r="R36"/>
    </row>
    <row r="37" spans="2:18" ht="24" customHeight="1" x14ac:dyDescent="0.25">
      <c r="B37" s="2351" t="s">
        <v>889</v>
      </c>
      <c r="C37" s="2352"/>
      <c r="D37" s="2352"/>
      <c r="E37" s="2352"/>
      <c r="F37" s="2352"/>
      <c r="G37" s="2352"/>
      <c r="H37" s="1136">
        <f>CHOOSE(ПЕРИОД!$D$15,0,'1. Планд'!H37,'1. Планд'!I37,SUM('1. Планд'!H37:I37))</f>
        <v>0</v>
      </c>
      <c r="I37" s="2353">
        <f>CHOOSE(ПЕРИОД!$D$15,0,'1. Планд'!J37,'1. Планд'!K37,SUM('1. Планд'!J37:K37))</f>
        <v>0</v>
      </c>
      <c r="J37" s="2354"/>
      <c r="K37" s="2349">
        <v>0</v>
      </c>
      <c r="L37" s="2350"/>
      <c r="M37"/>
      <c r="N37"/>
      <c r="O37"/>
      <c r="P37"/>
      <c r="Q37"/>
      <c r="R37"/>
    </row>
    <row r="38" spans="2:18" ht="24" customHeight="1" thickBot="1" x14ac:dyDescent="0.3">
      <c r="B38" s="2339" t="s">
        <v>891</v>
      </c>
      <c r="C38" s="2340"/>
      <c r="D38" s="2340"/>
      <c r="E38" s="2340"/>
      <c r="F38" s="2340"/>
      <c r="G38" s="2340"/>
      <c r="H38" s="1139">
        <f>CHOOSE(ПЕРИОД!$D$15,0,'1. Планд'!H38,'1. Планд'!I38,SUM('1. Планд'!H38:I38))</f>
        <v>0</v>
      </c>
      <c r="I38" s="2341">
        <f>CHOOSE(ПЕРИОД!$D$15,0,'1. Планд'!J38,'1. Планд'!K38,SUM('1. Планд'!J38:K38))</f>
        <v>0</v>
      </c>
      <c r="J38" s="2342"/>
      <c r="K38" s="2343">
        <v>0</v>
      </c>
      <c r="L38" s="2344"/>
      <c r="M38"/>
      <c r="N38"/>
      <c r="O38"/>
      <c r="P38"/>
      <c r="Q38"/>
      <c r="R38"/>
    </row>
    <row r="39" spans="2:18" ht="24" customHeight="1" thickTop="1" x14ac:dyDescent="0.25">
      <c r="B39" s="2497" t="s">
        <v>1087</v>
      </c>
      <c r="C39" s="2498"/>
      <c r="D39" s="2498"/>
      <c r="E39" s="2498"/>
      <c r="F39" s="2498"/>
      <c r="G39" s="2498"/>
      <c r="H39" s="1138">
        <f>CHOOSE(ПЕРИОД!$D$15,0,'1. Планд'!H39,'1. Планд'!I39,SUM('1. Планд'!H39:I39))</f>
        <v>0</v>
      </c>
      <c r="I39" s="2347">
        <f>CHOOSE(ПЕРИОД!$D$15,0,'1. Планд'!J39,'1. Планд'!K39,SUM('1. Планд'!J39:K39))</f>
        <v>0</v>
      </c>
      <c r="J39" s="2348"/>
      <c r="K39" s="2349">
        <v>0</v>
      </c>
      <c r="L39" s="2350"/>
      <c r="M39"/>
      <c r="N39"/>
      <c r="O39"/>
      <c r="P39"/>
      <c r="Q39"/>
      <c r="R39"/>
    </row>
    <row r="40" spans="2:18" ht="35.1" customHeight="1" x14ac:dyDescent="0.25">
      <c r="B40" s="2499" t="s">
        <v>1088</v>
      </c>
      <c r="C40" s="2500"/>
      <c r="D40" s="2500"/>
      <c r="E40" s="2500"/>
      <c r="F40" s="2500"/>
      <c r="G40" s="2500"/>
      <c r="H40" s="1136">
        <f>CHOOSE(ПЕРИОД!$D$15,0,'1. Планд'!H40,'1. Планд'!I40,SUM('1. Планд'!H40:I40))</f>
        <v>0</v>
      </c>
      <c r="I40" s="2353">
        <f>CHOOSE(ПЕРИОД!$D$15,0,'1. Планд'!J40,'1. Планд'!K40,SUM('1. Планд'!J40:K40))</f>
        <v>0</v>
      </c>
      <c r="J40" s="2354"/>
      <c r="K40" s="2355">
        <v>0</v>
      </c>
      <c r="L40" s="2356"/>
    </row>
    <row r="41" spans="2:18" ht="24" customHeight="1" x14ac:dyDescent="0.25">
      <c r="B41" s="2499" t="s">
        <v>1089</v>
      </c>
      <c r="C41" s="2500"/>
      <c r="D41" s="2500"/>
      <c r="E41" s="2500"/>
      <c r="F41" s="2500"/>
      <c r="G41" s="2500"/>
      <c r="H41" s="1136">
        <f>CHOOSE(ПЕРИОД!$D$15,0,'1. Планд'!H41,'1. Планд'!I41,SUM('1. Планд'!H41:I41))</f>
        <v>0</v>
      </c>
      <c r="I41" s="2353">
        <f>CHOOSE(ПЕРИОД!$D$15,0,'1. Планд'!J41,'1. Планд'!K41,SUM('1. Планд'!J41:K41))</f>
        <v>0</v>
      </c>
      <c r="J41" s="2354"/>
      <c r="K41" s="2355">
        <v>0</v>
      </c>
      <c r="L41" s="2356"/>
    </row>
    <row r="42" spans="2:18" ht="24" customHeight="1" x14ac:dyDescent="0.25">
      <c r="B42" s="2499" t="s">
        <v>1090</v>
      </c>
      <c r="C42" s="2500"/>
      <c r="D42" s="2500"/>
      <c r="E42" s="2500"/>
      <c r="F42" s="2500"/>
      <c r="G42" s="2500"/>
      <c r="H42" s="1136">
        <f>CHOOSE(ПЕРИОД!$D$15,0,'1. Планд'!H42,'1. Планд'!I42,SUM('1. Планд'!H42:I42))</f>
        <v>0</v>
      </c>
      <c r="I42" s="2353">
        <f>CHOOSE(ПЕРИОД!$D$15,0,'1. Планд'!J42,'1. Планд'!K42,SUM('1. Планд'!J42:K42))</f>
        <v>0</v>
      </c>
      <c r="J42" s="2354"/>
      <c r="K42" s="2355">
        <v>0</v>
      </c>
      <c r="L42" s="2356"/>
    </row>
    <row r="43" spans="2:18" ht="24" customHeight="1" thickBot="1" x14ac:dyDescent="0.3">
      <c r="B43" s="2501" t="s">
        <v>1091</v>
      </c>
      <c r="C43" s="2502"/>
      <c r="D43" s="2502"/>
      <c r="E43" s="2502"/>
      <c r="F43" s="2502"/>
      <c r="G43" s="2502"/>
      <c r="H43" s="1139">
        <f>CHOOSE(ПЕРИОД!$D$15,0,'1. Планд'!H43,'1. Планд'!I43,SUM('1. Планд'!H43:I43))</f>
        <v>0</v>
      </c>
      <c r="I43" s="2341">
        <f>CHOOSE(ПЕРИОД!$D$15,0,'1. Планд'!J43,'1. Планд'!K43,SUM('1. Планд'!J43:K43))</f>
        <v>0</v>
      </c>
      <c r="J43" s="2494"/>
      <c r="K43" s="2343">
        <v>0</v>
      </c>
      <c r="L43" s="2344"/>
    </row>
    <row r="44" spans="2:18" ht="27" customHeight="1" thickTop="1" x14ac:dyDescent="0.25">
      <c r="B44" s="2503" t="s">
        <v>1098</v>
      </c>
      <c r="C44" s="2496"/>
      <c r="D44" s="2496"/>
      <c r="E44" s="2496"/>
      <c r="F44" s="2496"/>
      <c r="G44" s="2496"/>
      <c r="H44" s="1138">
        <f>CHOOSE(ПЕРИОД!$D$15,0,'1. Планд'!H44,'1. Планд'!I44,SUM('1. Планд'!H44:I44))</f>
        <v>0</v>
      </c>
      <c r="I44" s="2361">
        <f>CHOOSE(ПЕРИОД!$D$15,0,'1. Планд'!J44,'1. Планд'!K44,SUM('1. Планд'!J44:K44))</f>
        <v>0</v>
      </c>
      <c r="J44" s="2362"/>
      <c r="K44" s="2383">
        <v>0</v>
      </c>
      <c r="L44" s="2384"/>
    </row>
    <row r="45" spans="2:18" ht="27" customHeight="1" x14ac:dyDescent="0.25">
      <c r="B45" s="2508" t="s">
        <v>1099</v>
      </c>
      <c r="C45" s="2461"/>
      <c r="D45" s="2461"/>
      <c r="E45" s="2461"/>
      <c r="F45" s="2461"/>
      <c r="G45" s="2461"/>
      <c r="H45" s="1136">
        <f>CHOOSE(ПЕРИОД!$D$15,0,'1. Планд'!H45,'1. Планд'!I45,SUM('1. Планд'!H45:I45))</f>
        <v>0</v>
      </c>
      <c r="I45" s="2353">
        <f>CHOOSE(ПЕРИОД!$D$15,0,'1. Планд'!J45,'1. Планд'!K45,SUM('1. Планд'!J45:K45))</f>
        <v>0</v>
      </c>
      <c r="J45" s="2354"/>
      <c r="K45" s="2355">
        <v>0</v>
      </c>
      <c r="L45" s="2356"/>
    </row>
    <row r="46" spans="2:18" ht="27" customHeight="1" thickBot="1" x14ac:dyDescent="0.3">
      <c r="B46" s="2509" t="s">
        <v>1100</v>
      </c>
      <c r="C46" s="2463"/>
      <c r="D46" s="2463"/>
      <c r="E46" s="2463"/>
      <c r="F46" s="2463"/>
      <c r="G46" s="2463"/>
      <c r="H46" s="1139">
        <f>CHOOSE(ПЕРИОД!$D$15,0,'1. Планд'!H46,'1. Планд'!I46,SUM('1. Планд'!H46:I46))</f>
        <v>0</v>
      </c>
      <c r="I46" s="2341">
        <f>CHOOSE(ПЕРИОД!$D$15,0,'1. Планд'!J46,'1. Планд'!K46,SUM('1. Планд'!J46:K46))</f>
        <v>0</v>
      </c>
      <c r="J46" s="2494"/>
      <c r="K46" s="2385">
        <v>0</v>
      </c>
      <c r="L46" s="2386"/>
    </row>
    <row r="47" spans="2:18" ht="27" customHeight="1" thickTop="1" x14ac:dyDescent="0.25">
      <c r="B47" s="2503" t="s">
        <v>1101</v>
      </c>
      <c r="C47" s="2496"/>
      <c r="D47" s="2496"/>
      <c r="E47" s="2496"/>
      <c r="F47" s="2496"/>
      <c r="G47" s="2496"/>
      <c r="H47" s="1138">
        <f>CHOOSE(ПЕРИОД!$D$15,0,'1. Планд'!H47,'1. Планд'!I47,SUM('1. Планд'!H47:I47))</f>
        <v>0</v>
      </c>
      <c r="I47" s="2361">
        <f>CHOOSE(ПЕРИОД!$D$15,0,'1. Планд'!J47,'1. Планд'!K47,SUM('1. Планд'!J47:K47))</f>
        <v>0</v>
      </c>
      <c r="J47" s="2362"/>
      <c r="K47" s="2383">
        <v>0</v>
      </c>
      <c r="L47" s="2384"/>
    </row>
    <row r="48" spans="2:18" ht="27" customHeight="1" x14ac:dyDescent="0.25">
      <c r="B48" s="2508" t="s">
        <v>1102</v>
      </c>
      <c r="C48" s="2461"/>
      <c r="D48" s="2461"/>
      <c r="E48" s="2461"/>
      <c r="F48" s="2461"/>
      <c r="G48" s="2461"/>
      <c r="H48" s="1136">
        <f>CHOOSE(ПЕРИОД!$D$15,0,'1. Планд'!H48,'1. Планд'!I48,SUM('1. Планд'!H48:I48))</f>
        <v>0</v>
      </c>
      <c r="I48" s="2353">
        <f>CHOOSE(ПЕРИОД!$D$15,0,'1. Планд'!J48,'1. Планд'!K48,SUM('1. Планд'!J48:K48))</f>
        <v>0</v>
      </c>
      <c r="J48" s="2354"/>
      <c r="K48" s="2355">
        <v>0</v>
      </c>
      <c r="L48" s="2356"/>
    </row>
    <row r="49" spans="2:18" ht="27" customHeight="1" thickBot="1" x14ac:dyDescent="0.3">
      <c r="B49" s="2510" t="s">
        <v>1103</v>
      </c>
      <c r="C49" s="2511"/>
      <c r="D49" s="2511"/>
      <c r="E49" s="2511"/>
      <c r="F49" s="2511"/>
      <c r="G49" s="2512"/>
      <c r="H49" s="1139">
        <f>CHOOSE(ПЕРИОД!$D$15,0,'1. Планд'!H49,'1. Планд'!I49,SUM('1. Планд'!H49:I49))</f>
        <v>0</v>
      </c>
      <c r="I49" s="2341">
        <f>CHOOSE(ПЕРИОД!$D$15,0,'1. Планд'!J49,'1. Планд'!K49,SUM('1. Планд'!J49:K49))</f>
        <v>0</v>
      </c>
      <c r="J49" s="2494"/>
      <c r="K49" s="2385">
        <v>0</v>
      </c>
      <c r="L49" s="2386"/>
    </row>
    <row r="50" spans="2:18" ht="27" customHeight="1" thickTop="1" x14ac:dyDescent="0.25">
      <c r="B50" s="2495" t="s">
        <v>769</v>
      </c>
      <c r="C50" s="2496"/>
      <c r="D50" s="2496"/>
      <c r="E50" s="2496"/>
      <c r="F50" s="2496"/>
      <c r="G50" s="2496"/>
      <c r="H50" s="1138">
        <f>CHOOSE(ПЕРИОД!$D$15,0,'1. Планд'!H50,'1. Планд'!I50,0)</f>
        <v>0</v>
      </c>
      <c r="I50" s="2361">
        <f>CHOOSE(ПЕРИОД!$D$15,0,'1. Планд'!J50,'1. Планд'!K50,0)</f>
        <v>0</v>
      </c>
      <c r="J50" s="2362"/>
      <c r="K50" s="2383">
        <v>0</v>
      </c>
      <c r="L50" s="2384"/>
    </row>
    <row r="51" spans="2:18" ht="27" customHeight="1" x14ac:dyDescent="0.25">
      <c r="B51" s="2460" t="s">
        <v>770</v>
      </c>
      <c r="C51" s="2461"/>
      <c r="D51" s="2461"/>
      <c r="E51" s="2461"/>
      <c r="F51" s="2461"/>
      <c r="G51" s="2461"/>
      <c r="H51" s="1136">
        <f>CHOOSE(ПЕРИОД!$D$15,0,'1. Планд'!H51,'1. Планд'!I51,0)</f>
        <v>0</v>
      </c>
      <c r="I51" s="2353">
        <f>CHOOSE(ПЕРИОД!$D$15,0,'1. Планд'!J51,'1. Планд'!K51,0)</f>
        <v>0</v>
      </c>
      <c r="J51" s="2354"/>
      <c r="K51" s="2355">
        <v>0</v>
      </c>
      <c r="L51" s="2356"/>
    </row>
    <row r="52" spans="2:18" ht="27" customHeight="1" thickBot="1" x14ac:dyDescent="0.3">
      <c r="B52" s="2462" t="s">
        <v>771</v>
      </c>
      <c r="C52" s="2463"/>
      <c r="D52" s="2463"/>
      <c r="E52" s="2463"/>
      <c r="F52" s="2463"/>
      <c r="G52" s="2463"/>
      <c r="H52" s="1139">
        <f>CHOOSE(ПЕРИОД!$D$15,0,'1. Планд'!H52,'1. Планд'!I52,0)</f>
        <v>0</v>
      </c>
      <c r="I52" s="2341">
        <f>CHOOSE(ПЕРИОД!$D$15,0,'1. Планд'!J52,'1. Планд'!K52,0)</f>
        <v>0</v>
      </c>
      <c r="J52" s="2494"/>
      <c r="K52" s="2385">
        <v>0</v>
      </c>
      <c r="L52" s="2386"/>
    </row>
    <row r="53" spans="2:18" ht="27" customHeight="1" thickTop="1" x14ac:dyDescent="0.25">
      <c r="B53" s="2464" t="s">
        <v>772</v>
      </c>
      <c r="C53" s="2465"/>
      <c r="D53" s="2465"/>
      <c r="E53" s="2465"/>
      <c r="F53" s="2465"/>
      <c r="G53" s="2466"/>
      <c r="H53" s="404">
        <v>0</v>
      </c>
      <c r="I53" s="2487">
        <v>0</v>
      </c>
      <c r="J53" s="2488"/>
      <c r="K53" s="2387">
        <f>'1. Планд'!L53</f>
        <v>0</v>
      </c>
      <c r="L53" s="2388"/>
    </row>
    <row r="54" spans="2:18" ht="27" customHeight="1" thickBot="1" x14ac:dyDescent="0.3">
      <c r="B54" s="2467" t="s">
        <v>773</v>
      </c>
      <c r="C54" s="2468"/>
      <c r="D54" s="2468"/>
      <c r="E54" s="2468"/>
      <c r="F54" s="2468"/>
      <c r="G54" s="2468"/>
      <c r="H54" s="405">
        <v>0</v>
      </c>
      <c r="I54" s="2489">
        <v>0</v>
      </c>
      <c r="J54" s="2490"/>
      <c r="K54" s="2369">
        <f>'1. Планд'!L54</f>
        <v>0</v>
      </c>
      <c r="L54" s="2370"/>
    </row>
    <row r="55" spans="2:18" ht="27" customHeight="1" x14ac:dyDescent="0.25">
      <c r="B55" s="2469" t="s">
        <v>409</v>
      </c>
      <c r="C55" s="2470"/>
      <c r="D55" s="2470"/>
      <c r="E55" s="2470"/>
      <c r="F55" s="2470"/>
      <c r="G55" s="2471"/>
      <c r="H55" s="706">
        <f>SUM(H56,H35:H52)</f>
        <v>0</v>
      </c>
      <c r="I55" s="2491">
        <f>SUM(I56,I35:J52)</f>
        <v>0</v>
      </c>
      <c r="J55" s="2372"/>
      <c r="K55" s="2371">
        <f>IFERROR(SUM(K53:L54,K56),0)</f>
        <v>0</v>
      </c>
      <c r="L55" s="2372"/>
    </row>
    <row r="56" spans="2:18" ht="27" customHeight="1" thickBot="1" x14ac:dyDescent="0.3">
      <c r="B56" s="2472" t="s">
        <v>11</v>
      </c>
      <c r="C56" s="2473"/>
      <c r="D56" s="2473"/>
      <c r="E56" s="2473"/>
      <c r="F56" s="2473"/>
      <c r="G56" s="2474"/>
      <c r="H56" s="711">
        <f>SUM(H26:H29,H32:H34)</f>
        <v>0</v>
      </c>
      <c r="I56" s="2492">
        <f>SUM(I26:J29,I32:J34)</f>
        <v>0</v>
      </c>
      <c r="J56" s="2493"/>
      <c r="K56" s="2373">
        <f>IFERROR(SUM(K26:L29),0)</f>
        <v>0</v>
      </c>
      <c r="L56" s="2374"/>
    </row>
    <row r="57" spans="2:18" ht="27" customHeight="1" x14ac:dyDescent="0.25">
      <c r="B57" s="2475" t="s">
        <v>542</v>
      </c>
      <c r="C57" s="2476"/>
      <c r="D57" s="2476"/>
      <c r="E57" s="2476"/>
      <c r="F57" s="2476"/>
      <c r="G57" s="2477"/>
      <c r="H57" s="2481">
        <f>'1. Планд'!H57</f>
        <v>0</v>
      </c>
      <c r="I57" s="2482"/>
      <c r="J57" s="2483"/>
      <c r="K57" s="2375">
        <v>0</v>
      </c>
      <c r="L57" s="2376"/>
      <c r="N57"/>
      <c r="O57"/>
      <c r="P57"/>
      <c r="Q57"/>
      <c r="R57"/>
    </row>
    <row r="58" spans="2:18" ht="27" customHeight="1" thickBot="1" x14ac:dyDescent="0.3">
      <c r="B58" s="2478" t="s">
        <v>543</v>
      </c>
      <c r="C58" s="2479"/>
      <c r="D58" s="2479"/>
      <c r="E58" s="2479"/>
      <c r="F58" s="2479"/>
      <c r="G58" s="2480"/>
      <c r="H58" s="2484">
        <f>'1. Планд'!H58</f>
        <v>0</v>
      </c>
      <c r="I58" s="2485"/>
      <c r="J58" s="2486"/>
      <c r="K58" s="2377">
        <v>0</v>
      </c>
      <c r="L58" s="2378"/>
      <c r="N58"/>
      <c r="O58"/>
      <c r="P58"/>
      <c r="Q58"/>
      <c r="R58"/>
    </row>
    <row r="59" spans="2:18" ht="27" customHeight="1" x14ac:dyDescent="0.25">
      <c r="B59" s="2504" t="s">
        <v>410</v>
      </c>
      <c r="C59" s="2505"/>
      <c r="D59" s="2505"/>
      <c r="E59" s="2505"/>
      <c r="F59" s="2505"/>
      <c r="G59" s="2506"/>
      <c r="H59" s="2507">
        <f>IFERROR(SUM(H55:J55,H57),0)</f>
        <v>0</v>
      </c>
      <c r="I59" s="2507"/>
      <c r="J59" s="2507"/>
      <c r="K59" s="2379">
        <f>IFERROR(SUM(K60,K53:L54),0)</f>
        <v>0</v>
      </c>
      <c r="L59" s="2380"/>
      <c r="N59"/>
      <c r="O59"/>
      <c r="P59"/>
      <c r="Q59"/>
      <c r="R59"/>
    </row>
    <row r="60" spans="2:18" ht="27" customHeight="1" thickBot="1" x14ac:dyDescent="0.3">
      <c r="B60" s="2454" t="s">
        <v>408</v>
      </c>
      <c r="C60" s="2455"/>
      <c r="D60" s="2455"/>
      <c r="E60" s="2455"/>
      <c r="F60" s="2455"/>
      <c r="G60" s="2456"/>
      <c r="H60" s="2457">
        <f>IFERROR(SUM(H56:J56,H58),0)</f>
        <v>0</v>
      </c>
      <c r="I60" s="2457"/>
      <c r="J60" s="2457"/>
      <c r="K60" s="2381">
        <f>IFERROR(SUM(K26:L29),0)</f>
        <v>0</v>
      </c>
      <c r="L60" s="2382"/>
      <c r="N60"/>
      <c r="O60"/>
      <c r="P60"/>
      <c r="Q60"/>
      <c r="R60"/>
    </row>
    <row r="61" spans="2:18" ht="8.1" customHeight="1" thickBot="1" x14ac:dyDescent="0.3">
      <c r="B61" s="4"/>
      <c r="C61" s="4"/>
      <c r="D61" s="4"/>
      <c r="E61" s="4"/>
      <c r="F61" s="4"/>
      <c r="G61" s="4"/>
      <c r="H61" s="5"/>
      <c r="I61" s="5"/>
      <c r="J61" s="5"/>
      <c r="K61" s="5"/>
      <c r="L61" s="5"/>
      <c r="N61"/>
      <c r="O61"/>
      <c r="P61"/>
      <c r="Q61"/>
      <c r="R61"/>
    </row>
    <row r="62" spans="2:18" x14ac:dyDescent="0.25">
      <c r="B62" s="2458" t="s">
        <v>75</v>
      </c>
      <c r="C62" s="2459"/>
      <c r="D62" s="2459"/>
      <c r="E62" s="2459"/>
      <c r="F62" s="2459"/>
      <c r="G62" s="2459"/>
      <c r="H62" s="162" t="s">
        <v>67</v>
      </c>
      <c r="I62" s="2397" t="s">
        <v>68</v>
      </c>
      <c r="J62" s="2398"/>
      <c r="K62" s="2397" t="s">
        <v>3</v>
      </c>
      <c r="L62" s="2401"/>
      <c r="N62"/>
      <c r="O62"/>
      <c r="P62"/>
      <c r="Q62"/>
      <c r="R62"/>
    </row>
    <row r="63" spans="2:18" ht="27" customHeight="1" x14ac:dyDescent="0.25">
      <c r="B63" s="2043" t="s">
        <v>303</v>
      </c>
      <c r="C63" s="2044"/>
      <c r="D63" s="2044"/>
      <c r="E63" s="2044"/>
      <c r="F63" s="2044"/>
      <c r="G63" s="2045"/>
      <c r="H63" s="95" cm="1">
        <f t="array" ref="H63">CHOOSE(ПЕРИОД!$D$15,0,SUMPRODUCT((BAZZS[Студенти]&gt;0)*(BAZZS[Лекции]+BAZZS[Упражнения])),SUMPRODUCT((BAZLS[Студенти]&gt;0)*(BAZLS[Лекции]+BAZLS[Упражнения])),0)</f>
        <v>0</v>
      </c>
      <c r="I63" s="2393" cm="1">
        <f t="array" ref="I63">CHOOSE(ПЕРИОД!$D$15,0,SUMPRODUCT((MAZZS[Студенти]&gt;0)*(MAZZS[Лекции]+MAZZS[Упражнения])),SUMPRODUCT((MAZLS[Студенти]&gt;0)*(MAZLS[Лекции]+MAZLS[Упражнения])),0)</f>
        <v>0</v>
      </c>
      <c r="J63" s="2399"/>
      <c r="K63" s="2393">
        <f>SUM(H63:I63)</f>
        <v>0</v>
      </c>
      <c r="L63" s="2394"/>
      <c r="N63"/>
      <c r="O63"/>
      <c r="P63"/>
      <c r="Q63"/>
      <c r="R63"/>
    </row>
    <row r="64" spans="2:18" ht="27" customHeight="1" thickBot="1" x14ac:dyDescent="0.3">
      <c r="B64" s="2056" t="s">
        <v>302</v>
      </c>
      <c r="C64" s="2057"/>
      <c r="D64" s="2057"/>
      <c r="E64" s="2057"/>
      <c r="F64" s="2057"/>
      <c r="G64" s="2057"/>
      <c r="H64" s="94" cm="1">
        <f t="array" ref="H64">CHOOSE(ПЕРИОД!$D$15,0,SUMPRODUCT((BAZZS[Вид]="З")*(BAZZS[Студенти]&gt;0)*(BAZZS[Лекции]+BAZZS[Упражнения])),SUMPRODUCT((BAZLS[Вид]="З")*(BAZLS[Студенти]&gt;0)*(BAZLS[Лекции]+BAZLS[Упражнения])),0)</f>
        <v>0</v>
      </c>
      <c r="I64" s="2395" cm="1">
        <f t="array" ref="I64">CHOOSE(ПЕРИОД!$D$15,0,SUMPRODUCT((MAZZS[Вид]="З")*(MAZZS[Студенти]&gt;0)*(MAZZS[Лекции]+MAZZS[Упражнения])),SUMPRODUCT((MAZLS[Вид]="З")*(MAZLS[Студенти]&gt;0)*(MAZLS[Лекции]+MAZLS[Упражнения])),0)</f>
        <v>0</v>
      </c>
      <c r="J64" s="2453"/>
      <c r="K64" s="2395">
        <f>SUM(H64:I64)</f>
        <v>0</v>
      </c>
      <c r="L64" s="2396"/>
      <c r="N64"/>
      <c r="O64"/>
      <c r="P64"/>
      <c r="Q64"/>
      <c r="R64"/>
    </row>
    <row r="65" spans="1:18" ht="8.1" customHeight="1" thickBot="1" x14ac:dyDescent="0.3">
      <c r="B65" s="21"/>
      <c r="C65" s="21"/>
      <c r="D65" s="21"/>
      <c r="E65" s="21"/>
      <c r="F65" s="21"/>
      <c r="G65" s="21"/>
      <c r="H65" s="20"/>
      <c r="I65" s="20"/>
      <c r="J65" s="5"/>
      <c r="K65" s="5"/>
      <c r="L65" s="5"/>
      <c r="N65"/>
      <c r="O65"/>
      <c r="P65"/>
      <c r="Q65"/>
      <c r="R65"/>
    </row>
    <row r="66" spans="1:18" ht="27" customHeight="1" x14ac:dyDescent="0.25">
      <c r="B66" s="2445" t="s">
        <v>108</v>
      </c>
      <c r="C66" s="2446"/>
      <c r="D66" s="2446"/>
      <c r="E66" s="2446"/>
      <c r="F66" s="2446"/>
      <c r="G66" s="2446"/>
      <c r="H66" s="2446"/>
      <c r="I66" s="2446"/>
      <c r="J66" s="2446"/>
      <c r="K66" s="2447"/>
      <c r="L66" s="2448"/>
      <c r="N66"/>
      <c r="O66"/>
      <c r="P66"/>
      <c r="Q66"/>
      <c r="R66"/>
    </row>
    <row r="67" spans="1:18" ht="27" customHeight="1" x14ac:dyDescent="0.25">
      <c r="B67" s="2098" t="s">
        <v>109</v>
      </c>
      <c r="C67" s="2099"/>
      <c r="D67" s="2100"/>
      <c r="E67" s="2101"/>
      <c r="F67" s="2101"/>
      <c r="G67" s="2101"/>
      <c r="H67" s="2101"/>
      <c r="I67" s="2101"/>
      <c r="J67" s="2101"/>
      <c r="K67" s="2101"/>
      <c r="L67" s="2102"/>
      <c r="N67"/>
      <c r="O67"/>
      <c r="P67"/>
      <c r="Q67"/>
      <c r="R67"/>
    </row>
    <row r="68" spans="1:18" ht="46.5" customHeight="1" thickBot="1" x14ac:dyDescent="0.3">
      <c r="B68" s="2103" t="s">
        <v>110</v>
      </c>
      <c r="C68" s="2104"/>
      <c r="D68" s="2449" t="s">
        <v>73</v>
      </c>
      <c r="E68" s="2450"/>
      <c r="F68" s="2450"/>
      <c r="G68" s="2451"/>
      <c r="H68" s="2449" t="s">
        <v>74</v>
      </c>
      <c r="I68" s="2450"/>
      <c r="J68" s="2450"/>
      <c r="K68" s="2450"/>
      <c r="L68" s="2452"/>
    </row>
    <row r="69" spans="1:18" ht="8.1" customHeight="1" x14ac:dyDescent="0.25">
      <c r="B69" s="4"/>
      <c r="C69" s="4"/>
      <c r="D69" s="4"/>
      <c r="E69" s="4"/>
      <c r="F69" s="4"/>
      <c r="G69" s="4"/>
      <c r="H69" s="5"/>
      <c r="I69" s="5"/>
      <c r="J69" s="5"/>
      <c r="K69" s="5"/>
      <c r="L69" s="5"/>
    </row>
    <row r="70" spans="1:18" s="157" customFormat="1" ht="18.75" customHeight="1" x14ac:dyDescent="0.25">
      <c r="A70" s="159"/>
      <c r="B70" s="2427" t="s">
        <v>12</v>
      </c>
      <c r="C70" s="2428"/>
      <c r="D70" s="2428"/>
      <c r="E70" s="2428"/>
      <c r="F70" s="2428"/>
      <c r="G70" s="2428"/>
      <c r="H70" s="2428"/>
      <c r="I70" s="2428"/>
      <c r="J70" s="2428"/>
      <c r="K70" s="2428"/>
      <c r="L70" s="2429"/>
    </row>
    <row r="71" spans="1:18" s="157" customFormat="1" ht="15.75" x14ac:dyDescent="0.25">
      <c r="A71" s="1111"/>
      <c r="B71" s="2430" t="s">
        <v>190</v>
      </c>
      <c r="C71" s="2431"/>
      <c r="D71" s="2431"/>
      <c r="E71" s="2431"/>
      <c r="F71" s="2431"/>
      <c r="G71" s="2431"/>
      <c r="H71" s="2431"/>
      <c r="I71" s="2431"/>
      <c r="J71" s="2431"/>
      <c r="K71" s="2431"/>
      <c r="L71" s="2432"/>
    </row>
    <row r="72" spans="1:18" s="157" customFormat="1" ht="23.25" x14ac:dyDescent="0.25">
      <c r="A72" s="158"/>
      <c r="B72" s="2433" t="s">
        <v>13</v>
      </c>
      <c r="C72" s="2434"/>
      <c r="D72" s="2434"/>
      <c r="E72" s="2434"/>
      <c r="F72" s="2434"/>
      <c r="G72" s="2434"/>
      <c r="H72" s="2434"/>
      <c r="I72" s="2434"/>
      <c r="J72" s="2434"/>
      <c r="K72" s="2434"/>
      <c r="L72" s="2435"/>
    </row>
    <row r="73" spans="1:18" x14ac:dyDescent="0.25"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</row>
    <row r="74" spans="1:18" ht="28.5" x14ac:dyDescent="0.25">
      <c r="B74" s="2436" t="s">
        <v>594</v>
      </c>
      <c r="C74" s="2437"/>
      <c r="D74" s="2437"/>
      <c r="E74" s="2437"/>
      <c r="F74" s="2437"/>
      <c r="G74" s="2437"/>
      <c r="H74" s="2437"/>
      <c r="I74" s="2437"/>
      <c r="J74" s="2437"/>
      <c r="K74" s="2437"/>
      <c r="L74" s="2438"/>
      <c r="N74" s="408" t="s">
        <v>582</v>
      </c>
    </row>
    <row r="75" spans="1:18" ht="28.5" x14ac:dyDescent="0.25">
      <c r="B75" s="2439" t="s">
        <v>595</v>
      </c>
      <c r="C75" s="2440"/>
      <c r="D75" s="2440"/>
      <c r="E75" s="2440"/>
      <c r="F75" s="2440"/>
      <c r="G75" s="2440"/>
      <c r="H75" s="2440"/>
      <c r="I75" s="2440"/>
      <c r="J75" s="2440"/>
      <c r="K75" s="2440"/>
      <c r="L75" s="2441"/>
      <c r="N75" s="408" t="s">
        <v>582</v>
      </c>
    </row>
    <row r="76" spans="1:18" ht="23.25" x14ac:dyDescent="0.35">
      <c r="B76" s="2439" t="s">
        <v>667</v>
      </c>
      <c r="C76" s="2440"/>
      <c r="D76" s="2440"/>
      <c r="E76" s="2440"/>
      <c r="F76" s="2440"/>
      <c r="G76" s="2440"/>
      <c r="H76" s="2440"/>
      <c r="I76" s="2440"/>
      <c r="J76" s="2440"/>
      <c r="K76" s="2440"/>
      <c r="L76" s="2441"/>
      <c r="N76" s="409" t="s">
        <v>581</v>
      </c>
    </row>
    <row r="77" spans="1:18" ht="23.25" x14ac:dyDescent="0.35">
      <c r="B77" s="2550" t="s">
        <v>2790</v>
      </c>
      <c r="C77" s="2440"/>
      <c r="D77" s="2440"/>
      <c r="E77" s="2440"/>
      <c r="F77" s="2440"/>
      <c r="G77" s="2440"/>
      <c r="H77" s="2440"/>
      <c r="I77" s="2440"/>
      <c r="J77" s="2440"/>
      <c r="K77" s="2440"/>
      <c r="L77" s="2441"/>
      <c r="N77" s="409"/>
    </row>
    <row r="78" spans="1:18" ht="21.75" customHeight="1" x14ac:dyDescent="0.25">
      <c r="B78" s="2442" t="s">
        <v>4</v>
      </c>
      <c r="C78" s="2443"/>
      <c r="D78" s="2443"/>
      <c r="E78" s="2443"/>
      <c r="F78" s="2443"/>
      <c r="G78" s="2443"/>
      <c r="H78" s="2443"/>
      <c r="I78" s="2443"/>
      <c r="J78" s="2443"/>
      <c r="K78" s="2443"/>
      <c r="L78" s="2444"/>
    </row>
    <row r="79" spans="1:18" x14ac:dyDescent="0.25">
      <c r="B79" s="2402" t="s">
        <v>432</v>
      </c>
      <c r="C79" s="2403"/>
      <c r="D79" s="2403"/>
      <c r="E79" s="2403"/>
      <c r="F79" s="2403"/>
      <c r="G79" s="2403"/>
      <c r="H79" s="2403"/>
      <c r="I79" s="2403"/>
      <c r="J79" s="2403"/>
      <c r="K79" s="2403"/>
      <c r="L79" s="2404"/>
    </row>
    <row r="80" spans="1:18" x14ac:dyDescent="0.25">
      <c r="B80" s="2416" t="s">
        <v>589</v>
      </c>
      <c r="C80" s="2417"/>
      <c r="D80" s="2417"/>
      <c r="E80" s="2417"/>
      <c r="F80" s="2417"/>
      <c r="G80" s="2417"/>
      <c r="H80" s="2417"/>
      <c r="I80" s="2417"/>
      <c r="J80" s="2417"/>
      <c r="K80" s="2417"/>
      <c r="L80" s="2418"/>
    </row>
    <row r="81" spans="2:12" ht="147" customHeight="1" x14ac:dyDescent="0.25">
      <c r="B81" s="2407" t="s">
        <v>678</v>
      </c>
      <c r="C81" s="2408"/>
      <c r="D81" s="2408"/>
      <c r="E81" s="2408"/>
      <c r="F81" s="2408"/>
      <c r="G81" s="2408"/>
      <c r="H81" s="2408"/>
      <c r="I81" s="2408"/>
      <c r="J81" s="2408"/>
      <c r="K81" s="2408"/>
      <c r="L81" s="2409"/>
    </row>
    <row r="82" spans="2:12" ht="50.25" customHeight="1" x14ac:dyDescent="0.25">
      <c r="B82" s="2422" t="s">
        <v>2792</v>
      </c>
      <c r="C82" s="2423"/>
      <c r="D82" s="2423"/>
      <c r="E82" s="2423"/>
      <c r="F82" s="2423"/>
      <c r="G82" s="2423"/>
      <c r="H82" s="2423"/>
      <c r="I82" s="2423"/>
      <c r="J82" s="2423"/>
      <c r="K82" s="2423"/>
      <c r="L82" s="2424"/>
    </row>
    <row r="83" spans="2:12" ht="15" customHeight="1" x14ac:dyDescent="0.25">
      <c r="B83" s="406"/>
      <c r="C83" s="2425" t="s">
        <v>14</v>
      </c>
      <c r="D83" s="2426"/>
      <c r="E83" s="2410" t="s">
        <v>15</v>
      </c>
      <c r="F83" s="2410"/>
      <c r="G83" s="147"/>
      <c r="H83" s="147"/>
      <c r="I83" s="147"/>
      <c r="J83" s="2411"/>
      <c r="K83" s="2411"/>
      <c r="L83" s="2412"/>
    </row>
    <row r="84" spans="2:12" ht="15" customHeight="1" x14ac:dyDescent="0.25">
      <c r="B84" s="406"/>
      <c r="C84" s="2389" t="s">
        <v>776</v>
      </c>
      <c r="D84" s="2390"/>
      <c r="E84" s="2391">
        <v>1</v>
      </c>
      <c r="F84" s="2391"/>
      <c r="G84" s="148"/>
      <c r="H84" s="148"/>
      <c r="I84" s="148"/>
      <c r="J84" s="2392"/>
      <c r="K84" s="2392"/>
      <c r="L84" s="2392"/>
    </row>
    <row r="85" spans="2:12" ht="15" customHeight="1" x14ac:dyDescent="0.25">
      <c r="B85" s="406"/>
      <c r="C85" s="2389" t="s">
        <v>777</v>
      </c>
      <c r="D85" s="2390"/>
      <c r="E85" s="2391">
        <v>0.8</v>
      </c>
      <c r="F85" s="2391"/>
      <c r="G85" s="148"/>
      <c r="H85" s="148"/>
      <c r="I85" s="148"/>
      <c r="J85" s="2392"/>
      <c r="K85" s="2392"/>
      <c r="L85" s="2392"/>
    </row>
    <row r="86" spans="2:12" ht="15" customHeight="1" x14ac:dyDescent="0.25">
      <c r="B86" s="407"/>
      <c r="C86" s="2389" t="s">
        <v>778</v>
      </c>
      <c r="D86" s="2390"/>
      <c r="E86" s="2391">
        <v>0.6</v>
      </c>
      <c r="F86" s="2391"/>
      <c r="G86" s="148"/>
      <c r="H86" s="148"/>
      <c r="I86" s="148"/>
      <c r="J86" s="2392"/>
      <c r="K86" s="2392"/>
      <c r="L86" s="2392"/>
    </row>
    <row r="87" spans="2:12" ht="15" customHeight="1" x14ac:dyDescent="0.25">
      <c r="B87" s="406"/>
      <c r="C87" s="2389" t="s">
        <v>779</v>
      </c>
      <c r="D87" s="2390"/>
      <c r="E87" s="2391">
        <v>0.5</v>
      </c>
      <c r="F87" s="2391"/>
      <c r="G87" s="148"/>
      <c r="H87" s="148"/>
      <c r="I87" s="148"/>
      <c r="J87" s="2392"/>
      <c r="K87" s="2392"/>
      <c r="L87" s="2392"/>
    </row>
    <row r="88" spans="2:12" ht="15" customHeight="1" x14ac:dyDescent="0.25">
      <c r="B88" s="406"/>
      <c r="C88" s="2389" t="s">
        <v>780</v>
      </c>
      <c r="D88" s="2390"/>
      <c r="E88" s="2391">
        <v>0.3</v>
      </c>
      <c r="F88" s="2391"/>
      <c r="G88" s="148"/>
      <c r="H88" s="148"/>
      <c r="I88" s="148"/>
      <c r="J88" s="2392"/>
      <c r="K88" s="2392"/>
      <c r="L88" s="2392"/>
    </row>
    <row r="89" spans="2:12" ht="15" customHeight="1" x14ac:dyDescent="0.25">
      <c r="B89" s="406"/>
      <c r="C89" s="2389" t="s">
        <v>300</v>
      </c>
      <c r="D89" s="2390"/>
      <c r="E89" s="2391">
        <v>0.2</v>
      </c>
      <c r="F89" s="2391"/>
      <c r="G89" s="148"/>
      <c r="H89" s="148"/>
      <c r="I89" s="148"/>
      <c r="J89" s="2400"/>
      <c r="K89" s="2400"/>
      <c r="L89" s="2392"/>
    </row>
    <row r="90" spans="2:12" ht="31.5" customHeight="1" x14ac:dyDescent="0.25">
      <c r="B90" s="2407" t="s">
        <v>153</v>
      </c>
      <c r="C90" s="2408"/>
      <c r="D90" s="2408"/>
      <c r="E90" s="2408"/>
      <c r="F90" s="2408"/>
      <c r="G90" s="2408"/>
      <c r="H90" s="2408"/>
      <c r="I90" s="2408"/>
      <c r="J90" s="2408"/>
      <c r="K90" s="2408"/>
      <c r="L90" s="2409"/>
    </row>
    <row r="91" spans="2:12" ht="65.25" customHeight="1" x14ac:dyDescent="0.25">
      <c r="B91" s="2407" t="s">
        <v>591</v>
      </c>
      <c r="C91" s="2408"/>
      <c r="D91" s="2408"/>
      <c r="E91" s="2408"/>
      <c r="F91" s="2408"/>
      <c r="G91" s="2408"/>
      <c r="H91" s="2408"/>
      <c r="I91" s="2408"/>
      <c r="J91" s="2408"/>
      <c r="K91" s="2408"/>
      <c r="L91" s="2409"/>
    </row>
    <row r="92" spans="2:12" ht="15" customHeight="1" x14ac:dyDescent="0.25">
      <c r="B92" s="406"/>
      <c r="C92" s="2410" t="s">
        <v>14</v>
      </c>
      <c r="D92" s="2410"/>
      <c r="E92" s="2410" t="s">
        <v>15</v>
      </c>
      <c r="F92" s="2410"/>
      <c r="G92" s="147"/>
      <c r="H92" s="147"/>
      <c r="I92" s="147"/>
      <c r="J92" s="2411"/>
      <c r="K92" s="2411"/>
      <c r="L92" s="2412"/>
    </row>
    <row r="93" spans="2:12" ht="15" customHeight="1" x14ac:dyDescent="0.25">
      <c r="B93" s="406"/>
      <c r="C93" s="2405" t="s">
        <v>776</v>
      </c>
      <c r="D93" s="2405"/>
      <c r="E93" s="2391">
        <v>1</v>
      </c>
      <c r="F93" s="2391"/>
      <c r="G93" s="148"/>
      <c r="H93" s="148"/>
      <c r="I93" s="148"/>
      <c r="J93" s="2392"/>
      <c r="K93" s="2392"/>
      <c r="L93" s="2392"/>
    </row>
    <row r="94" spans="2:12" x14ac:dyDescent="0.25">
      <c r="B94" s="406"/>
      <c r="C94" s="2405" t="s">
        <v>777</v>
      </c>
      <c r="D94" s="2405"/>
      <c r="E94" s="2391">
        <v>0.8</v>
      </c>
      <c r="F94" s="2391"/>
      <c r="G94" s="148"/>
      <c r="H94" s="148"/>
      <c r="I94" s="148"/>
      <c r="J94" s="2392"/>
      <c r="K94" s="2392"/>
      <c r="L94" s="2392"/>
    </row>
    <row r="95" spans="2:12" x14ac:dyDescent="0.25">
      <c r="B95" s="407"/>
      <c r="C95" s="2405" t="s">
        <v>778</v>
      </c>
      <c r="D95" s="2405"/>
      <c r="E95" s="2391">
        <v>0.6</v>
      </c>
      <c r="F95" s="2391"/>
      <c r="G95" s="148"/>
      <c r="H95" s="148"/>
      <c r="I95" s="148"/>
      <c r="J95" s="2392"/>
      <c r="K95" s="2392"/>
      <c r="L95" s="2392"/>
    </row>
    <row r="96" spans="2:12" x14ac:dyDescent="0.25">
      <c r="B96" s="406"/>
      <c r="C96" s="2405" t="s">
        <v>779</v>
      </c>
      <c r="D96" s="2405"/>
      <c r="E96" s="2391">
        <v>0.5</v>
      </c>
      <c r="F96" s="2391"/>
      <c r="G96" s="148"/>
      <c r="H96" s="148"/>
      <c r="I96" s="148"/>
      <c r="J96" s="2392"/>
      <c r="K96" s="2392"/>
      <c r="L96" s="2392"/>
    </row>
    <row r="97" spans="2:12" x14ac:dyDescent="0.25">
      <c r="B97" s="406"/>
      <c r="C97" s="2405" t="s">
        <v>780</v>
      </c>
      <c r="D97" s="2405"/>
      <c r="E97" s="2391">
        <v>0.3</v>
      </c>
      <c r="F97" s="2391"/>
      <c r="G97" s="148"/>
      <c r="H97" s="148"/>
      <c r="I97" s="148"/>
      <c r="J97" s="2392"/>
      <c r="K97" s="2392"/>
      <c r="L97" s="2392"/>
    </row>
    <row r="98" spans="2:12" x14ac:dyDescent="0.25">
      <c r="B98" s="406"/>
      <c r="C98" s="2405" t="s">
        <v>300</v>
      </c>
      <c r="D98" s="2405"/>
      <c r="E98" s="2391">
        <v>0.2</v>
      </c>
      <c r="F98" s="2391"/>
      <c r="G98" s="148"/>
      <c r="H98" s="148"/>
      <c r="I98" s="148"/>
      <c r="J98" s="2400"/>
      <c r="K98" s="2400"/>
      <c r="L98" s="2392"/>
    </row>
    <row r="99" spans="2:12" x14ac:dyDescent="0.25">
      <c r="B99" s="1097"/>
      <c r="C99" s="1098"/>
      <c r="D99" s="1098"/>
      <c r="E99" s="147"/>
      <c r="F99" s="147"/>
      <c r="G99" s="148"/>
      <c r="H99" s="148"/>
      <c r="I99" s="148"/>
      <c r="J99" s="148"/>
      <c r="K99" s="148"/>
      <c r="L99" s="942"/>
    </row>
    <row r="100" spans="2:12" ht="33" customHeight="1" x14ac:dyDescent="0.25">
      <c r="B100" s="2551" t="s">
        <v>2791</v>
      </c>
      <c r="C100" s="2552"/>
      <c r="D100" s="2552"/>
      <c r="E100" s="2552"/>
      <c r="F100" s="2552"/>
      <c r="G100" s="2552"/>
      <c r="H100" s="2552"/>
      <c r="I100" s="2552"/>
      <c r="J100" s="2552"/>
      <c r="K100" s="2552"/>
      <c r="L100" s="2553"/>
    </row>
    <row r="101" spans="2:12" x14ac:dyDescent="0.25">
      <c r="B101" s="2402" t="s">
        <v>433</v>
      </c>
      <c r="C101" s="2403"/>
      <c r="D101" s="2403"/>
      <c r="E101" s="2403"/>
      <c r="F101" s="2403"/>
      <c r="G101" s="2403"/>
      <c r="H101" s="2403"/>
      <c r="I101" s="2403"/>
      <c r="J101" s="2403"/>
      <c r="K101" s="2403"/>
      <c r="L101" s="2404"/>
    </row>
    <row r="102" spans="2:12" ht="33.75" customHeight="1" x14ac:dyDescent="0.25">
      <c r="B102" s="2416" t="s">
        <v>592</v>
      </c>
      <c r="C102" s="2417"/>
      <c r="D102" s="2417"/>
      <c r="E102" s="2417"/>
      <c r="F102" s="2417"/>
      <c r="G102" s="2417"/>
      <c r="H102" s="2417"/>
      <c r="I102" s="2417"/>
      <c r="J102" s="2417"/>
      <c r="K102" s="2417"/>
      <c r="L102" s="2418"/>
    </row>
    <row r="103" spans="2:12" x14ac:dyDescent="0.25">
      <c r="B103" s="406"/>
      <c r="C103" s="2410" t="s">
        <v>106</v>
      </c>
      <c r="D103" s="2410"/>
      <c r="E103" s="2410" t="s">
        <v>15</v>
      </c>
      <c r="F103" s="2410"/>
      <c r="G103" s="93"/>
      <c r="H103" s="93"/>
      <c r="I103" s="93"/>
      <c r="J103" s="2406"/>
      <c r="K103" s="2406"/>
      <c r="L103" s="2406"/>
    </row>
    <row r="104" spans="2:12" ht="15" customHeight="1" x14ac:dyDescent="0.25">
      <c r="B104" s="406"/>
      <c r="C104" s="2405" t="s">
        <v>781</v>
      </c>
      <c r="D104" s="2405"/>
      <c r="E104" s="2391">
        <v>1</v>
      </c>
      <c r="F104" s="2391"/>
      <c r="G104" s="148"/>
      <c r="H104" s="148"/>
      <c r="I104" s="148"/>
      <c r="J104" s="2406"/>
      <c r="K104" s="2406"/>
      <c r="L104" s="2406"/>
    </row>
    <row r="105" spans="2:12" x14ac:dyDescent="0.25">
      <c r="B105" s="407"/>
      <c r="C105" s="2405" t="s">
        <v>782</v>
      </c>
      <c r="D105" s="2405"/>
      <c r="E105" s="2391">
        <v>0.8</v>
      </c>
      <c r="F105" s="2391"/>
      <c r="G105" s="148"/>
      <c r="H105" s="148"/>
      <c r="I105" s="148"/>
      <c r="J105" s="2406"/>
      <c r="K105" s="2406"/>
      <c r="L105" s="2406"/>
    </row>
    <row r="106" spans="2:12" x14ac:dyDescent="0.25">
      <c r="B106" s="406"/>
      <c r="C106" s="2405" t="s">
        <v>301</v>
      </c>
      <c r="D106" s="2405"/>
      <c r="E106" s="2391">
        <v>0.6</v>
      </c>
      <c r="F106" s="2391"/>
      <c r="G106" s="148"/>
      <c r="H106" s="148"/>
      <c r="I106" s="148"/>
      <c r="J106" s="2406"/>
      <c r="K106" s="2406"/>
      <c r="L106" s="2406"/>
    </row>
    <row r="107" spans="2:12" ht="29.25" customHeight="1" x14ac:dyDescent="0.25">
      <c r="B107" s="2419" t="s">
        <v>593</v>
      </c>
      <c r="C107" s="2420"/>
      <c r="D107" s="2420"/>
      <c r="E107" s="2420"/>
      <c r="F107" s="2420"/>
      <c r="G107" s="2420"/>
      <c r="H107" s="2420"/>
      <c r="I107" s="2420"/>
      <c r="J107" s="2420"/>
      <c r="K107" s="2420"/>
      <c r="L107" s="2421"/>
    </row>
    <row r="108" spans="2:12" ht="30" customHeight="1" x14ac:dyDescent="0.25">
      <c r="B108" s="2413" t="s">
        <v>787</v>
      </c>
      <c r="C108" s="2414"/>
      <c r="D108" s="2414"/>
      <c r="E108" s="2414"/>
      <c r="F108" s="2414"/>
      <c r="G108" s="2414"/>
      <c r="H108" s="2414"/>
      <c r="I108" s="2414"/>
      <c r="J108" s="2414"/>
      <c r="K108" s="2414"/>
      <c r="L108" s="2415"/>
    </row>
  </sheetData>
  <sheetProtection algorithmName="SHA-512" hashValue="4JqXJpimBKpN5FJ3gPkepno2Lnl0P2oe1tH3xNK+9fCi+Ot1limbG+apArhe+Wnonrby4NwX8BEGOaYD+vMMqQ==" saltValue="dpalATu79KChnIkrfJFO0w==" spinCount="100000" sheet="1" objects="1" scenarios="1" formatCells="0" formatRows="0"/>
  <mergeCells count="224">
    <mergeCell ref="B34:G34"/>
    <mergeCell ref="B77:L77"/>
    <mergeCell ref="B100:L100"/>
    <mergeCell ref="I34:J34"/>
    <mergeCell ref="K34:L34"/>
    <mergeCell ref="B1:L1"/>
    <mergeCell ref="B2:L2"/>
    <mergeCell ref="E4:F4"/>
    <mergeCell ref="B5:L5"/>
    <mergeCell ref="B7:L7"/>
    <mergeCell ref="B17:D17"/>
    <mergeCell ref="E17:L17"/>
    <mergeCell ref="B19:D19"/>
    <mergeCell ref="E19:L19"/>
    <mergeCell ref="F14:L14"/>
    <mergeCell ref="B14:E14"/>
    <mergeCell ref="F15:L15"/>
    <mergeCell ref="B15:E15"/>
    <mergeCell ref="B8:L8"/>
    <mergeCell ref="B9:L9"/>
    <mergeCell ref="B10:L10"/>
    <mergeCell ref="B12:L12"/>
    <mergeCell ref="B13:J13"/>
    <mergeCell ref="E3:F3"/>
    <mergeCell ref="B3:C4"/>
    <mergeCell ref="D3:D4"/>
    <mergeCell ref="L3:L4"/>
    <mergeCell ref="I3:J3"/>
    <mergeCell ref="I4:J4"/>
    <mergeCell ref="B20:D20"/>
    <mergeCell ref="E20:L20"/>
    <mergeCell ref="F22:H22"/>
    <mergeCell ref="B25:L25"/>
    <mergeCell ref="B28:G28"/>
    <mergeCell ref="B29:G29"/>
    <mergeCell ref="B31:G31"/>
    <mergeCell ref="B32:G32"/>
    <mergeCell ref="B33:G33"/>
    <mergeCell ref="B30:L30"/>
    <mergeCell ref="B24:C24"/>
    <mergeCell ref="D24:E24"/>
    <mergeCell ref="F24:G24"/>
    <mergeCell ref="B26:G26"/>
    <mergeCell ref="B27:G27"/>
    <mergeCell ref="K24:L24"/>
    <mergeCell ref="I24:J24"/>
    <mergeCell ref="K26:L26"/>
    <mergeCell ref="K27:L27"/>
    <mergeCell ref="K28:L28"/>
    <mergeCell ref="K29:L29"/>
    <mergeCell ref="I26:J26"/>
    <mergeCell ref="I27:J27"/>
    <mergeCell ref="I28:J28"/>
    <mergeCell ref="B50:G50"/>
    <mergeCell ref="B39:G39"/>
    <mergeCell ref="B40:G40"/>
    <mergeCell ref="B41:G41"/>
    <mergeCell ref="B42:G42"/>
    <mergeCell ref="B43:G43"/>
    <mergeCell ref="B44:G44"/>
    <mergeCell ref="B59:G59"/>
    <mergeCell ref="H59:J59"/>
    <mergeCell ref="I41:J41"/>
    <mergeCell ref="I42:J42"/>
    <mergeCell ref="I43:J43"/>
    <mergeCell ref="I44:J44"/>
    <mergeCell ref="I45:J45"/>
    <mergeCell ref="I46:J46"/>
    <mergeCell ref="I47:J47"/>
    <mergeCell ref="I48:J48"/>
    <mergeCell ref="I49:J49"/>
    <mergeCell ref="I50:J50"/>
    <mergeCell ref="B45:G45"/>
    <mergeCell ref="B46:G46"/>
    <mergeCell ref="B47:G47"/>
    <mergeCell ref="B48:G48"/>
    <mergeCell ref="B49:G49"/>
    <mergeCell ref="B60:G60"/>
    <mergeCell ref="H60:J60"/>
    <mergeCell ref="B62:G62"/>
    <mergeCell ref="B63:G63"/>
    <mergeCell ref="B51:G51"/>
    <mergeCell ref="B52:G52"/>
    <mergeCell ref="B53:G53"/>
    <mergeCell ref="B54:G54"/>
    <mergeCell ref="B55:G55"/>
    <mergeCell ref="B56:G56"/>
    <mergeCell ref="B57:G57"/>
    <mergeCell ref="B58:G58"/>
    <mergeCell ref="H57:J57"/>
    <mergeCell ref="H58:J58"/>
    <mergeCell ref="I53:J53"/>
    <mergeCell ref="I54:J54"/>
    <mergeCell ref="I55:J55"/>
    <mergeCell ref="I56:J56"/>
    <mergeCell ref="I51:J51"/>
    <mergeCell ref="I52:J52"/>
    <mergeCell ref="B64:G64"/>
    <mergeCell ref="B66:L66"/>
    <mergeCell ref="B67:C67"/>
    <mergeCell ref="D67:L67"/>
    <mergeCell ref="B68:C68"/>
    <mergeCell ref="D68:G68"/>
    <mergeCell ref="H68:L68"/>
    <mergeCell ref="I64:J64"/>
    <mergeCell ref="B76:L76"/>
    <mergeCell ref="B80:L80"/>
    <mergeCell ref="B81:L81"/>
    <mergeCell ref="B82:L82"/>
    <mergeCell ref="C83:D83"/>
    <mergeCell ref="E83:F83"/>
    <mergeCell ref="J83:L83"/>
    <mergeCell ref="B70:L70"/>
    <mergeCell ref="B71:L71"/>
    <mergeCell ref="B72:L72"/>
    <mergeCell ref="B74:L74"/>
    <mergeCell ref="B75:L75"/>
    <mergeCell ref="B78:L78"/>
    <mergeCell ref="B90:L90"/>
    <mergeCell ref="B91:L91"/>
    <mergeCell ref="C92:D92"/>
    <mergeCell ref="E92:F92"/>
    <mergeCell ref="J92:L92"/>
    <mergeCell ref="C93:D93"/>
    <mergeCell ref="E93:F93"/>
    <mergeCell ref="J93:L93"/>
    <mergeCell ref="B108:L108"/>
    <mergeCell ref="C104:D104"/>
    <mergeCell ref="E104:F104"/>
    <mergeCell ref="J104:L104"/>
    <mergeCell ref="C105:D105"/>
    <mergeCell ref="E105:F105"/>
    <mergeCell ref="J105:L105"/>
    <mergeCell ref="C98:D98"/>
    <mergeCell ref="E98:F98"/>
    <mergeCell ref="J98:L98"/>
    <mergeCell ref="B101:L101"/>
    <mergeCell ref="B102:L102"/>
    <mergeCell ref="C103:D103"/>
    <mergeCell ref="E103:F103"/>
    <mergeCell ref="J103:L103"/>
    <mergeCell ref="B107:L107"/>
    <mergeCell ref="C96:D96"/>
    <mergeCell ref="E96:F96"/>
    <mergeCell ref="J96:L96"/>
    <mergeCell ref="C97:D97"/>
    <mergeCell ref="E97:F97"/>
    <mergeCell ref="J97:L97"/>
    <mergeCell ref="C94:D94"/>
    <mergeCell ref="E94:F94"/>
    <mergeCell ref="C106:D106"/>
    <mergeCell ref="E106:F106"/>
    <mergeCell ref="J106:L106"/>
    <mergeCell ref="J94:L94"/>
    <mergeCell ref="C95:D95"/>
    <mergeCell ref="E95:F95"/>
    <mergeCell ref="J95:L95"/>
    <mergeCell ref="C88:D88"/>
    <mergeCell ref="E88:F88"/>
    <mergeCell ref="J88:L88"/>
    <mergeCell ref="K63:L63"/>
    <mergeCell ref="K64:L64"/>
    <mergeCell ref="I62:J62"/>
    <mergeCell ref="I63:J63"/>
    <mergeCell ref="C89:D89"/>
    <mergeCell ref="E89:F89"/>
    <mergeCell ref="J89:L89"/>
    <mergeCell ref="C86:D86"/>
    <mergeCell ref="E86:F86"/>
    <mergeCell ref="J86:L86"/>
    <mergeCell ref="C87:D87"/>
    <mergeCell ref="E87:F87"/>
    <mergeCell ref="J87:L87"/>
    <mergeCell ref="C84:D84"/>
    <mergeCell ref="E84:F84"/>
    <mergeCell ref="J84:L84"/>
    <mergeCell ref="C85:D85"/>
    <mergeCell ref="E85:F85"/>
    <mergeCell ref="K62:L62"/>
    <mergeCell ref="J85:L85"/>
    <mergeCell ref="B79:L79"/>
    <mergeCell ref="K54:L54"/>
    <mergeCell ref="K55:L55"/>
    <mergeCell ref="K56:L56"/>
    <mergeCell ref="K57:L57"/>
    <mergeCell ref="K58:L58"/>
    <mergeCell ref="K59:L59"/>
    <mergeCell ref="K60:L60"/>
    <mergeCell ref="K43:L43"/>
    <mergeCell ref="K44:L44"/>
    <mergeCell ref="K45:L45"/>
    <mergeCell ref="K46:L46"/>
    <mergeCell ref="K47:L47"/>
    <mergeCell ref="K48:L48"/>
    <mergeCell ref="K49:L49"/>
    <mergeCell ref="K50:L50"/>
    <mergeCell ref="K51:L51"/>
    <mergeCell ref="K52:L52"/>
    <mergeCell ref="K53:L53"/>
    <mergeCell ref="K41:L41"/>
    <mergeCell ref="K42:L42"/>
    <mergeCell ref="I29:J29"/>
    <mergeCell ref="I31:J31"/>
    <mergeCell ref="I32:J32"/>
    <mergeCell ref="I33:J33"/>
    <mergeCell ref="I39:J39"/>
    <mergeCell ref="I40:J40"/>
    <mergeCell ref="K31:L31"/>
    <mergeCell ref="K32:L32"/>
    <mergeCell ref="K33:L33"/>
    <mergeCell ref="K39:L39"/>
    <mergeCell ref="K40:L40"/>
    <mergeCell ref="B38:G38"/>
    <mergeCell ref="I38:J38"/>
    <mergeCell ref="K38:L38"/>
    <mergeCell ref="B35:G35"/>
    <mergeCell ref="I35:J35"/>
    <mergeCell ref="K35:L35"/>
    <mergeCell ref="B36:G36"/>
    <mergeCell ref="I36:J36"/>
    <mergeCell ref="K36:L36"/>
    <mergeCell ref="B37:G37"/>
    <mergeCell ref="I37:J37"/>
    <mergeCell ref="K37:L37"/>
  </mergeCells>
  <phoneticPr fontId="129" type="noConversion"/>
  <conditionalFormatting sqref="B14:E14">
    <cfRule type="expression" dxfId="76" priority="8">
      <formula>LEN($B$14)=0</formula>
    </cfRule>
  </conditionalFormatting>
  <conditionalFormatting sqref="B26:G29">
    <cfRule type="expression" dxfId="75" priority="3">
      <formula>COUNTIF($H$26:$L$29,"&gt;0")</formula>
    </cfRule>
  </conditionalFormatting>
  <conditionalFormatting sqref="B31:G60">
    <cfRule type="expression" dxfId="74" priority="1">
      <formula>COUNTIF($H31:$L31,"&gt;0")</formula>
    </cfRule>
  </conditionalFormatting>
  <conditionalFormatting sqref="B7:L7">
    <cfRule type="expression" dxfId="73" priority="10">
      <formula>LEN($B$7)=0</formula>
    </cfRule>
  </conditionalFormatting>
  <conditionalFormatting sqref="B9:L9">
    <cfRule type="expression" dxfId="72" priority="9">
      <formula>LEN($B$9)=0</formula>
    </cfRule>
  </conditionalFormatting>
  <conditionalFormatting sqref="C22:L22">
    <cfRule type="expression" dxfId="71" priority="12">
      <formula>NOT(Лекторат)</formula>
    </cfRule>
  </conditionalFormatting>
  <conditionalFormatting sqref="E19:L19">
    <cfRule type="expression" dxfId="70" priority="6">
      <formula>LEN($E$19)=0</formula>
    </cfRule>
  </conditionalFormatting>
  <conditionalFormatting sqref="F14:L14">
    <cfRule type="expression" dxfId="69" priority="7">
      <formula>LEN($F$14)=0</formula>
    </cfRule>
  </conditionalFormatting>
  <conditionalFormatting sqref="H35:I38">
    <cfRule type="expression" dxfId="68" priority="5">
      <formula>N(H35)&gt;0</formula>
    </cfRule>
  </conditionalFormatting>
  <conditionalFormatting sqref="I34">
    <cfRule type="expression" dxfId="67" priority="4">
      <formula>N(I34)&gt;0</formula>
    </cfRule>
  </conditionalFormatting>
  <conditionalFormatting sqref="J22">
    <cfRule type="expression" dxfId="66" priority="21">
      <formula>AND(NOT(nGetLogData1),nGetLenData1&gt;0)</formula>
    </cfRule>
  </conditionalFormatting>
  <conditionalFormatting sqref="L22">
    <cfRule type="expression" dxfId="65" priority="19">
      <formula>AND(NOT(nGetLogData2),nGetLenData2&gt;0)</formula>
    </cfRule>
  </conditionalFormatting>
  <dataValidations count="4">
    <dataValidation type="textLength" allowBlank="1" showInputMessage="1" showErrorMessage="1" promptTitle="Формат за въвеждане на дата" prompt="дд.мм.гггг_x000a_Пример: 01.09.2019" sqref="J22" xr:uid="{08CC7743-26E7-4742-A52C-8D4B6833552D}">
      <formula1>0</formula1>
      <formula2>10</formula2>
    </dataValidation>
    <dataValidation allowBlank="1" showInputMessage="1" showErrorMessage="1" promptTitle="Формат за въвеждане на дата" prompt="дд.мм.гггг_x000a_Пример: 01.09.2020_x000a_" sqref="L22" xr:uid="{6E7F1206-0859-4676-A94F-C103B6FC931A}"/>
    <dataValidation allowBlank="1" showInputMessage="1" showErrorMessage="1" promptTitle="Попълване на избраното поле!" prompt="Въведете само вашите три имена (име, презиме и фамилия) без академична длъжност и научна степен._x000a__x000a_Всички допълнителни пояснения и уточнения се попълват в полето &quot;Допълнителна забележка, ....&quot;." sqref="F14:L14" xr:uid="{A0F65573-64D7-468B-80F1-2F05CED91DBF}"/>
    <dataValidation allowBlank="1" showInputMessage="1" showErrorMessage="1" promptTitle="Попълване на избраното поле!" prompt="Въведете цялото наименование на катедрата." sqref="B9:L9" xr:uid="{274945F6-A243-4CE3-8CD1-9D5677607EF8}"/>
  </dataValidations>
  <hyperlinks>
    <hyperlink ref="E3" location="BMHomeTotal" display="Общо" xr:uid="{00000000-0004-0000-0B00-000000000000}"/>
    <hyperlink ref="D3" location="IPBMD" display="Начало" xr:uid="{00000000-0004-0000-0B00-000001000000}"/>
    <hyperlink ref="E4:F4" location="'1. Отчет'!B72" display="Общи положения" xr:uid="{00000000-0004-0000-0B00-000002000000}"/>
    <hyperlink ref="H3" location="'2. ОКС &quot;бакалавър&quot;'!N24" tooltip="ОКС &quot;бакалавър&quot;" display="ОКС &quot;бакалавър&quot;" xr:uid="{00000000-0004-0000-0B00-000003000000}"/>
    <hyperlink ref="I3" location="ONSDr" display="ОНС &quot;доктор&quot;" xr:uid="{00000000-0004-0000-0B00-000004000000}"/>
    <hyperlink ref="L3" r:id="rId1" xr:uid="{00000000-0004-0000-0B00-000005000000}"/>
    <hyperlink ref="H4" location="'3. ОКС &quot;магистър&quot;'!N24" tooltip="ОКС &quot;магистър&quot;" display="ОКС &quot;магистър&quot;" xr:uid="{1E46BE1B-25B5-48AF-A60B-ADAD6484C54D}"/>
    <hyperlink ref="I3:J3" location="'4. ОНС &quot;доктор&quot;'!B21" tooltip="ОНС &quot;доктор&quot;" display="ОНС &quot;доктор&quot;" xr:uid="{D4895311-CAF0-4E15-B4B7-7F3112174105}"/>
    <hyperlink ref="I4:J4" location="'5. Подготовка на курс'!B23" tooltip="Подготовка на курс" display="Подготовка на курс" xr:uid="{B5126383-BF12-4973-9A38-7A89CFC9C855}"/>
    <hyperlink ref="L3:L4" r:id="rId2" tooltip="ipio@uni-sofia.bg" display="Помощ" xr:uid="{7959834E-DA59-4D95-B55A-875A59EEF121}"/>
    <hyperlink ref="E3:F3" location="'1. Отчет'!B54" display="Общо" xr:uid="{21C76CDC-2170-46AE-A18A-A7C999B349D8}"/>
    <hyperlink ref="D3:D4" location="'1. Отчет'!B14" tooltip="Начало" display="Начало" xr:uid="{4A64B8F0-C52C-4B13-859B-D6A49ED3283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portrait" r:id="rId3"/>
  <headerFooter>
    <oddFooter xml:space="preserve">&amp;L&amp;"-,Bold"Преподавател: &amp;"-,Regular"............................
&amp;D&amp;C&amp;"-,Bold"Ръководител катедра:&amp;"-,Regular" ............................
&amp;R&amp;"-,Bold"Декан:&amp;"-,Regular" ............................
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57" r:id="rId6" name="Check Box 33">
              <controlPr locked="0" defaultSize="0" autoFill="0" autoLine="0" autoPict="0">
                <anchor moveWithCells="1">
                  <from>
                    <xdr:col>0</xdr:col>
                    <xdr:colOff>161925</xdr:colOff>
                    <xdr:row>21</xdr:row>
                    <xdr:rowOff>9525</xdr:rowOff>
                  </from>
                  <to>
                    <xdr:col>1</xdr:col>
                    <xdr:colOff>200025</xdr:colOff>
                    <xdr:row>21</xdr:row>
                    <xdr:rowOff>228600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Номенклатура!$C$5:$C$24</xm:f>
          </x14:formula1>
          <xm:sqref>B7:L7</xm:sqref>
        </x14:dataValidation>
        <x14:dataValidation type="list" allowBlank="1" showInputMessage="1" showErrorMessage="1" xr:uid="{00000000-0002-0000-0B00-000001000000}">
          <x14:formula1>
            <xm:f>Номенклатура!$I$5:$I$12</xm:f>
          </x14:formula1>
          <xm:sqref>E19:L19</xm:sqref>
        </x14:dataValidation>
        <x14:dataValidation type="list" allowBlank="1" showInputMessage="1" showErrorMessage="1" promptTitle="Попълване на избраното поле!" prompt="Изберете заеманата академична длъжност в СУ без научна степен." xr:uid="{F047816E-E173-44CD-BE2A-662D60631C48}">
          <x14:formula1>
            <xm:f>IF(LEFT(nЩат,1)="Щ",Номенклатура!$I$16:$I$25,IF(LEFT(nФакултетОтчет,1)="М",Номенклатура!$I$37:$I$44,Номенклатура!$I$29:$I$32))</xm:f>
          </x14:formula1>
          <xm:sqref>B14:E14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7 e b 3 4 3 d - 7 4 8 b - 4 8 1 4 - b 2 b 2 - 9 2 1 d 0 f 6 e 2 1 4 c "   x m l n s = " h t t p : / / s c h e m a s . m i c r o s o f t . c o m / D a t a M a s h u p " > A A A A A A s p A A B Q S w M E F A A C A A g A p H I P W 4 x s c 0 O m A A A A 9 w A A A B I A H A B D b 2 5 m a W c v U G F j a 2 F n Z S 5 4 b W w g o h g A K K A U A A A A A A A A A A A A A A A A A A A A A A A A A A A A h Y 8 9 C s I w A I W v U r I 3 f y p K S V P Q w c W C I I h r j D E N t q k 0 q e n d H D y S V 7 C i V T f H 9 7 1 v e O 9 + v b G s q 8 r o o h p n a p s C A j G I l J X 1 w V i d g t Y f 4 x n I O F s L e R J a R b 1 s X d K 5 Q w o K 7 8 8 J Q i E E G E a w b j S i G B O 0 y 1 c b W a h K g I 9 s / s u x s c 4 L K x X g b P s a w y k k 4 w k k m E 4 h Z m i g L D f 2 a 9 B + 8 L P 9 g W z R l r 5 t F N / r e L 5 k a I g M v U / w B 1 B L A w Q U A A I A C A C k c g 9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H I P W 8 Z g a 7 E D J g A A J S Y B A B M A H A B G b 3 J t d W x h c y 9 T Z W N 0 a W 9 u M S 5 t I K I Y A C i g F A A A A A A A A A A A A A A A A A A A A A A A A A A A A O 0 9 a 3 M U R 5 L f H e H / 0 N F E O K S 7 0 a A Z C Q y 7 x h E Y z C 5 3 v B b h u z j r F I p B a m D C o x l u N P L C C U W A 8 e 6 t 9 8 P 5 J a 8 d r A 1 m 7 d v 7 d m G w t M j Y i L / Q 8 x f u l 1 y 9 u r s e m f X o a Q n h A z t A 6 n p l Z W V l Z W X l Y z l Z G L R 7 3 W i G / 9 v 4 5 c s v v f z S 8 p V W P 1 m M h u + l n 6 f f D T 9 I 7 6 d P 0 8 3 h 7 6 M j U S c Z v P x S R P 7 M 9 F b 6 C w n 5 8 u a 1 h a R T P 7 b S 7 y f d w T / 3 + u 9 c 7 P X e G R t f n T 3 T W k q O x H o f 8 d z a 7 L F e d 0 A q z 9 V 4 V / v i Y 1 d a 3 c t k w A v X r y Y x 6 f N C 6 2 I n q V / o t 7 r L l 3 r 9 p W O 9 z s p S l x Y u j / F x a 6 u r 8 f + + / 6 e 4 F p 3 s D g 5 O 1 2 n Z W i 1 a j d N v 0 + / S x 8 P b 6 Y 9 k 4 M 3 h e 6 T G g J R F g + T a g F U 4 1 l t M 5 t N 7 6 V d G S X p v e D P d H r 5 P m t 1 K t 9 L t 9 A n p 6 k f y 9 3 b E f n x K i r 9 L H 5 J P m + T 3 r X Q T 7 v v 0 2 T M A W E + y + Z O G o t f h L Q A 8 U p g h S i 5 a G 8 9 x d b K 7 n P Q H F F m k I H o j I Q h K o u N J p 7 3 U H i T 9 A n t H F x c 5 3 s Y 0 / N Y i a Z Q G + T V p L V x h v d V 5 b 3 l n Y 7 N F x T n S b C w e l 4 A C Q D r R 7 i 8 P I j J a v 7 V A 2 i / D 0 D h m o M A 3 l T 4 Y 3 l R g n B m 0 + g M C G Y J R A u e U A u X L L 7 W 7 b k A N s q + Q 5 F U A 0 6 0 X W 8 C + B a A N o O 6 N h q W s a S m b w j b V + W S p 9 y 7 B / t n B l a Q f c W R L 1 D u T d A h 7 F J + N / Q S i X M F y K c T a M C Y j K U 4 / p q O z G q S P 4 R / Z h o n T L 8 l v 3 6 d b t A X 7 J k 1 3 5 m q n P R D T j C 5 e h 9 j H m 9 e u t r q L p 9 r L Y t p j I E F S Z M C 4 I 4 h X l p I N S U a o s x / o T n 7 j e s F o 4 h q p 8 p u V 3 i C Z G V w n w 5 z p d R O y i 8 n W i 0 j 5 E s U z g W y M r V 1 3 p d O h s P D t H S 0 l g 1 Y 0 O 5 P 0 2 6 1 O + 9 + T x T r j K k e i Q X 8 l m Y v a X b 7 g q 1 k 3 a 3 T Z J f y N g z u w 4 d i C N h T W V h E a V u i t 1 1 9 M K L M x a E 0 U w c T W o N R W A W U B 9 O p F b T I N 9 R g n P d / 7 r b x R y M c x a H o U K T L c Z 2 l 5 / e j y Q t J d b H c v l + Y + Y D / m 7 M B q + I T B 6 s W S 6 s U S V s g 5 x 2 Z N C q g 4 1 e o I D M A n o Y z D f C N n p 1 3 7 U j R r b u 0 5 0 l E j I l u t S 0 q z s z l K O s t 8 Y 7 g h a c C g o I D n r E S B S 2 M u 3 l C d T 6 5 2 W g t k p H 9 q d V Y S m e r Z d / b V A g 2 h / 3 i M k M G D c f H D T + Q H 0 b a f d U I Z A G X K H O o 1 b P A G O r o G Z D F S P j Y 2 J F 9 A 4 G A B t j k t k L m o C l v e W w h f V z t p W i a o Q l W j i 1 S L b 5 g T Y y 2 K m R X E s K Y I V v r A s j g 1 8 9 b 8 z I W 3 j r 9 5 5 s L x o x e O v n F 0 5 k 0 u V K k y 1 c y / d e r H W 4 P W x d Y y 4 a / x w W Z 9 e r r e m D x c b 0 x P 5 0 z a 7 K p B m 7 I + M u n L r E P l L d r 1 X A E x 0 J E M 8 u L F + Q U h y H j A 2 u k t t D p X e s s D A m c V Y P J O F i / 2 6 P i U a c 5 c T R b o 6 T Z o J 8 u 0 I 7 P 7 1 d m Z h S v J U u t I T J r F t Z P k s D s S A 6 2 1 M Q I F H w Q k c S T l n 6 7 T G e Y i E B c G 4 z c X V x Z a d C + f 6 7 S 6 v 0 5 a l H G e 7 F 7 q K W W t z v H k c j 9 J G D c k D c / 1 e 5 d + 1 e + t X F 2 m V C 5 A 5 p I J g R l o p o k v 5 5 M F c h D l P A 6 T V G A A V s 3 P b G J r l i I T S H U W d v h s M z M Q o k n b c V 5 U A J k V 1 x t A h R z U E + 3 O g J 3 V 2 l H O l p 5 + G 0 O n I 0 6 E s d l i p L n o t d e j e D I e z / s P v B 2 q 4 B C 4 j W b A b V A a v x Y 1 1 F s q e G 8 + T 2 U q x / U U G D i W G s t g n G 4 v L n Y S H Q 7 9 K l o r J W l C g F N x S g F F u m w V K 3 s 6 6 V + G z p 5 j v a W L 7 W 5 + + F h H 1 6 T P S B 9 Y E m 8 J e i 5 e n n j j V 4 Q N r k K r J j d c q w k g + h k 0 x p W g D l 0 J Y n I g b q c b 5 B C 6 S + T I f K Z c X p h Z u X S p f Q 1 F K J 2 O h h J + S 5 G 7 F K s 6 H 7 0 S M Q g U 8 b 2 E 9 K 5 A F s Y p F d Y i V Y K 2 s 4 3 D 2 l i n X l d j U O x n i X 8 a Y r 2 V s a / G 5 K x J j i 4 s k C b t A a v E W n Q X w e 9 n j h 4 7 e Z x Q + 6 A 9 W O H z L x B 1 c l F D z Q m y r M u c z e 3 4 I N a j h 9 c J Z e z 2 U 5 D 3 q Z 0 z 9 C N 4 A B U F I I d x M h h 8 V p T N Q F h k m 2 K R F H B Q Y F Q X l S w 7 p + F 5 8 c 3 v v W K T w N s I 3 T o Q t t w 7 y p + w 5 B l 6 C / w G K m o h t F w M y W A W B 6 a E T / Y Z E v b J k r l 3 g R v Z G t s 0 0 I c t R 7 R G A F 9 l 1 / R t e q 9 K v 1 O O U n E c j F H V E 9 c n s J + O k 7 / a 3 Y X B G D / 2 q f Z l T K k / C 6 z x H F U r k V O C / T 2 e X d y P J 9 n N X Z Q I W l U U S w r R d k l f 4 J L S g m J J 1 Y W o m U e L p A J h O 8 e g u K I I w T m s s b D t s K Z l h + k z A z a Z p G g S / y J K E 3 z z S Q u N I r W B Y x W Y E U U t P t z d 9 E 5 6 X 8 a J X V W l w e G n q Q K L E J m 6 g Q j V q v a H 7 Y B Z 2 j M T o S k x R o Q t S 5 / i G J p R w 5 i S N r j X h H w 1 Y W v j 5 A 4 N A Y F c n + f T r 9 P P + 6 Q G d I + W 6 p U 4 u I p n E P z R w f b U A X 3 0 f K H g F G Z 8 l h k a J D d W q n b X 3 v R 0 h r r X 9 O 0 F b C W v Q Q 6 F u w v 3 F / r t p S V x i b L e E H R 1 u 9 Y 3 O 3 N o Z 9 j V g B + 2 x 1 c I u I Q / y T q J / A j T o P H k U 0 b H l W 5 s T Z 3 g u e + V b Z 9 + l X 6 U / j X 9 I l 2 f J z v k A T n 5 H g w / o L r 6 e T L q e 8 P / o L r 4 k P f U X K 3 p 1 l A I X p C p I 9 j Z T + r F b x x 9 + 9 R M H P X 6 k f L t b e P b 8 f b V T m + p T c g h O T X T s J S + b Z a e M 4 c 4 Z 4 x w v H / 0 b e 3 T a Q C 4 0 w B w p 6 3 A n b Y C d 9 o E 7 r Q J 3 I X m f L p O 1 u v x 8 D 1 K 6 v O E v X 0 x T 5 b z a 7 0 7 Q m l U n v m e L i j 5 6 S F V T 8 / T t 5 b h z e E t K m K V e e D S N D 5 E O s 3 F c / Z I L m u 4 8 7 t K V h Z + Y c 1 a U o q / w Q S G 7 T p 9 X 2 K b Z O M G 2 e f b 2 N M Q E e T u 0 R b D 2 + l / k w a 3 G A o 2 u c B W U V f B T y U G R m q x 0 O e j u v w w I M 3 X r Z X l Q W + p C W v P 9 L c T g p M 7 m X T T K H o S e p j f r J B z J J F l m D P J M m E u / 9 B r S 4 9 S Y j z G z + 5 Q b J + / k N H r b Q I + 4 T A E V D a f 4 Y f z v 5 6 n c x n e p L X f o Z V j n 9 q k c z r m P 7 a 7 i / V T y a X B 2 R V C k g D Z e f V l p U l 9 5 v 4 A M k s G / W 1 z D f s u E 5 K v q B 0 2 T X Y 2 B h N 8 W I t 6 X P 5 1 1 R T t S 2 z Q / M l T 3 a h M I J / k A v q + 4 D n N v f Y 6 k + / 5 g 2 m J 9 v x p t X K w j h R Q x Z M 3 J s m f i T h 6 J Z o 1 6 W s u e i W e G P 6 O / n f j 2 r V r M f z W C z y 3 G J c h X V U K P U E X R 0 L l X N b r p o b M J L u 0 h W I 6 1 m 5 4 0 B r u k L G O f j e M y u x h x 9 3 i l 7 t 9 t w i D H 7 b 4 G f X + E Y p D q x m a 4 / a g w I 1 b h g 5 + m 5 C N n M O J v L d B F 4 s I O l F U Q 1 H W e d H 3 W I l N Q I a Z i N l f s F m p r E 4 z 1 Z r O 2 T I 9 p 8 w 2 A K k N O j r T L V w f y Z F 1 h l D t s q a W h H g k k Y f J Z h g 3 9 A Q P y G 0 S w S 7 r 9 F h v p T s o N + A 4 Z H c p l g S 9 C 4 Z P N n y x V V w Y q l a D h o + 3 3 2 0 v U z 0 3 S L Q K a f C l p d Z h 8 v J m z F l n r v v J c Q Y s w F w O 2 d J F W f K T R V D E d M q E m W 4 g O o b A R x 1 Y X U m N P e t a o j m G u n E E Q m / 1 t D o V y r V A t A F f V S n M m C + C F 0 O 7 b F 2 n f e C 4 b L 3 2 a d j E 1 i r Q i h e Y R 8 1 r v 0 D T 8 L G u b Z Q 5 s W 3 m t W 5 Q 9 9 p R 7 Y L Y / z R D i M 6 C / F L H m n t v B p x i U + H H W M N 2 8 U N 2 c M F r Z l a W x m b N O n M q L y l / T n i y L h f X l z S K T U P z q S K w B p 7 Z 8 G O M c 0 M 2 y 2 x I B d i f / z 6 s S E v P H + 0 8 M O U p G D e c k n H D w k x 8 n K a g M Y t n 7 1 z X X Z c M w 2 2 e V B 5 8 5 A b C Q u R Z N Z 1 L 4 H K v K p 6 l w T m o l m Q Q F 2 u a X E y F E O F Y 2 P l v A W f N d 3 8 5 7 Q d s g r R r a c Y 9 h V f b + 4 2 K Q G 8 u x l B p W S 0 L 1 1 O u + k 1 E s w G + Q W P j 6 Q / T 1 n p x D A v R H l a f l I L i 1 2 6 8 n k H E r m / A v l B V q R 4 6 Z E a Z t G O X D r l 4 y M p 1 y a K Z X V m r t a t E q 6 z 3 G a B d d i q X T X g Z X X 5 D H + v S B 3 R j R P S x h 6 z y F v 3 l F 0 K G u p / Q r j I P B P 7 1 q U 7 N 2 e c 7 Z D j y I d 2 g 7 j v Z x 4 + Y Y 8 N G P S J d / z j 8 Y / q 3 b L N l F b 4 m H x 8 j x R c o V S T 9 U 7 3 B G S a / Z G 2 o / 9 A m + Z f C S x 2 F + L g / Z l B / l n 6 a f s V / e U D g / z G 9 m 3 4 u / / q R + u u G X r 4 h 1 6 C e G d + o v 3 6 U P u K / / s Q 8 N P J S / m v e 9 i n 1 D i V N N p k j 0 9 8 o I u R Z z Z 8 8 z n 4 9 R 4 S / X p c a 6 2 d f T h 0 / e u 4 t w t u p U u M X 2 R Z Z e 7 F k z 9 m S 1 R v q 4 0 y A R W Q 5 h l G r 6 j T 2 E R x z z j 3 6 k n N c 8 a 9 7 n L x / D t S p e 3 Q Z d C n b e i i G z M u y V Y d m 2 2 E 6 K w n S p 8 5 E R i + Z j x T g z a T W L R y Z S i l / z M F r q + o I B E d x T b N u z 7 T J R y / 2 3 6 X / v p F c b n f / J W m x m A V H F 5 f a X S J T 9 k l 1 a u e 7 a B r l L x 8 j t 4 j L v e x k h r 1 8 A D N w + R v t Z y Z Z o h J O f 9 n K S K x 2 n 6 B O q Q Q K H L P 2 n x m A H w W 9 P i g Y x T P M 5 t k w u l e Y D c J y D g Q u z I a 7 D t h g V F F u l U A t 3 g S W V a R w 0 a X m R w W t K n 5 a w 0 t s I O v k F A y y D p 6 N U l d j Z G N z V r X m r u G c S i k H E 4 z f 8 B 4 V U t C r r 9 l L A 1 B v K L 1 d u M + g 8 8 a 4 h l 9 V v i r M o + Q K I 2 K T S S V K h x I I 1 6 k S R P B O x i b X L I U q s E G u m N r 4 / O 6 u D U O N 9 p o l v N E N k z w d f D u G P f 1 w Z a M 8 d X V x X z Z 7 q Y s u v V 3 d o E n p J K k 7 u 2 G F t n P 0 z M x J 4 9 B k D 4 Q K 7 w l w W q O d v 9 k l 5 3 F 3 I W E a Q a N 0 5 k r 7 k t o 9 5 C h u R T Q 2 I y 6 u 7 9 0 5 A e Q B 1 a v A m Q / q F n f r y Q 2 v L a 4 / R R 0 X k W v I 8 J w N D L E D z a u W c k E k g N x h r 1 r e A t Y K K z O J b a B G s X b g M B 4 9 h T B p w w p W 8 5 P P N a n j h p L U 0 7 h R A 4 O L R b F k r 2 i d k B y v h Y t T w q Q w + + 3 v G y V V F D Y j v p 2 6 X T i 8 P E f m Y v I W t P t u i y N d v 7 y o 8 q u F K b q 3 i C w F y 2 R 5 r N V Z W O m 0 q D L / d G 9 x p d N D 3 4 k w 5 1 P 6 0 i L R U H O C j 1 U n 3 Y 3 N 1 6 g Y o b w Z Q w Y h M y u I e t + E j q t t P i 0 0 O b H + b r 0 6 m + N w r h b N F j i c W x u f a M g P V S V s Y R S Q a / n M e a y 4 T V m X B N 1 A S K 0 7 w u e B l R b L T v B l v t S H W / j p 8 y h p r 6 r Y 9 A k W Z N k N B V d i D z w i / K O C D Z N x 7 d / v + d R k m J 5 m r M o c R b J D n l W p h D I u 9 Y v g W 8 5 q / M k K m N A R A A A L 8 5 u y M D / D 8 x K k B 4 j 0 I c L T + Y G N Y 6 q q q E r Z p 0 T s V T B T f + n G Q P 2 0 V a V l r N O z R r + K u D 1 y l o 0 q X K p y e K B W b d o p 1 q / i x d A U 5 X J E 0 A z v o k B B z j 8 X D V k s L 3 L c C / B 7 i 2 X F i 4 J o g o x 8 9 X q M H n F N / I w z o U f 9 5 r N h M D A Y a Z S K p K c B W + M P + k Y Q u x o s t 2 q L J 4 m t U H Q 8 f h S Y n U d Y v D 6 n v l b T V D R w j Q k Q v 8 9 K h r D Z i O n M b 0 B A 1 x B m a 6 D t i M 7 p k E o m 8 4 M q Q r z P W Y 9 v O n f M T I t 1 i I I h y q 4 y a w 6 h 9 M p u V a / E E / E r s w B 2 e A m z D z r V + 2 3 S H 5 O D h 2 E U z 0 K J v R I h V Y s Y I 6 Q W b L f l 7 3 i n G q m s A m E 4 y M 8 N o R 7 I J i 9 x b Z x k m z a S N U J f y G N p z 4 F a r / p j I N O Q z u t v x / P 2 O N r q C 1 x 5 d 2 + r K g m 6 a 3 t H A 9 A V o a v Z 6 Y 7 F A S h p i 6 4 A h A s u m W g x g v J s l F h J n h G X N L q F G K r z / g N h r 8 z 5 Y 1 6 E 4 u E t 9 l C + E R F u R 0 0 R N u h T P v u O B n b 1 l h j 8 I 7 B q x 0 U B V f o o O 9 C G f 2 C R j r e j 9 C E 7 z f 5 A D T T i 9 O H o Y H p G B j T n o 0 U I c g l j z i B / M R T j T w r L B S g Z F N g R L w A j z J + w a q k X r C m G j E Z X 2 W 8 n + r 0 l J 1 e p F d E O I z X u 4 y z d p X P U V h A z 6 A 1 X U 2 i T l h i R n D L C y Y A s 3 r d A L C j 8 9 i R Z B P m H E u N 3 k c r Y i 7 m i p X z e M d / e 3 E x a p R n x E Q q w q m r x c e T Z 9 U O + 0 j 0 Y u M q 9 G O Q O O i C / n y P i D P m A W y 1 k S B b B t D C 7 A V p l W w 7 w V S p 2 m Z V m D X 0 S i o M m b u q m 0 q y K B E 2 H q 8 w H h 7 t A j k Q U F Z r j 8 M n g Y 3 t M U 5 l V A a s + P w P 2 8 N D + Y Z H 0 v Q 3 f M 5 j B Q n U a e m g / y X L e 5 / Z x k t z c r y l n C f s C 3 U A o z n j i l Q b 7 H 9 Z D B z + Z c A h q W V K X 8 K X P 5 m p b a p g 8 I F W + c u B g D j L A I 0 I O H b 1 S a k 4 x + S m r 5 h W C P J n p 6 f m v 6 O k Z E O I Q m V C B Z 4 M X W B B f o B h e g l D E m + h y L g U a d s c M k p i b 8 m Y T W k + / x t Y D 8 0 l y r 1 Q N u V V z Z P A 7 t P J d Q s 1 c j V y d b U s N 4 2 A K x g G G s A I R H / m g Q l m Q O X H T 2 6 H 5 B S k Y M W S o l K n d w G P l G m + O p 8 V t V K / k 8 z x y 6 T x 9 k 5 N v 8 M s n y H W a 6 Q 2 d y b A K g / G s j Z z + a n W S / s x k 2 s y S V 4 s K l / d I b u L 0 f s L a L Y / l E B C 8 s p d 9 5 v C Y I d Y 6 k X m G X 8 n Y m N s X W 9 v E N e r D c y R m T U 3 b 4 4 B A I h 6 g M Q 1 f l 4 h w 1 7 t c d F L D R 8 C C p V o H l M C 0 K B R w p j n l 2 D Q 7 F W x L L Y A F Q 7 S O L m S q F X V + D G p X f A z l t A C Z 8 l 7 v D l r t 7 r K e 3 m 4 i H l c 2 i z q I 9 0 a Z H 7 7 X g N V d 9 p 1 i J 8 D K c s b 5 k E + F t O F B i T t K P l o 0 F G R f 4 T c w / A K m h S c v e + M L C E 4 c 5 j Y K Y t 6 q r T d x 6 6 g u L Z d F w g 6 5 C i l y t t 9 l r j j 7 Z L n K E O u U l X c + r y L q T A 2 f D p c Z j W e k m + l f m K P O j + k W P R J D m I S U u o j V l H v 2 C d Y H j m W C J N b M 2 m O k p z K y 1 h 6 V c V k 7 F / v B 5 h x m M j b D U 8 y o 8 g k p v 0 l z 0 A 0 / B M s / I g P 8 R I d A S i 2 O Z E Z t i 1 e Z U d f i O W f U z d 3 o t J I / E 9 H w v 8 H v X 4 D 1 7 x O 4 b h O 4 g D L V v 0 x j t I a 3 m V a u e 0 Y a E w B 8 9 4 w 6 h i O f U e N u H n h 4 I m J d / o D g 6 x 5 7 R 3 5 C q 9 0 j h A G N Z 3 V d N O q 6 4 Q c c E Y 0 a I c R k d V E 0 6 o I + g 0 a t P 5 N S E R W Y w o r 2 9 J T 7 j 6 Y b E b l W g 7 U + y f w X j R I a S 3 i d Y Q K G Y Y P 0 b S v H l / U p u p a K v 6 U R C k d x v z R K F W 9 M p P Q j p J R i G x + X l 9 r b 3 p X m Y 5 Y S V o n M S P J P R U q x c S n + c Z h 5 K d Z W 8 3 x F y / H 2 f C U + n z c c l Y 2 6 p F Y 0 x q i R 7 x f 6 Z P b 7 + r h H y 3 z N P O o y 4 5 I 6 5 R P l x / M b i e K m 1 B g V J j Y u 5 3 k t e 3 G H + 8 i 7 f M R 3 0 6 8 b 8 6 0 e y e E 7 3 M U B c d i N J 1 2 h v k d f v + d v e U q / w q g + G 8 9 D W I 1 d j a B R W Z y B A M s v 0 D H 7 n U y d g 7 y + e M T s 1 K I C W Q I D 6 t 9 Z 8 F N g i e c U D a 9 8 L 1 T B M e 6 E W k 8 0 d 8 b n d r s p 9 N 6 2 + 6 k y r J k y S i X K K J c V w 5 o U o 1 R O j I B U F 4 o p D 2 7 z o 9 m S C e z W 4 g b Z 3 M y Y d Y J s s C 1 + y 5 1 Q O Y 8 4 + E n p U 7 r k 3 J Y T M Q K y m y Q 1 p i y H j D a R m i A K B c Q / s x j J O w r i t C + I U w S 0 0 x I W m W y 2 K 1 g 8 4 A v i N A f x l A b i L m D x o C + I B + h C n 2 N I b L p J k U Y M + o 7 d C b f o l i g L 3 a u + 0 B 1 k 0 J 3 S o M P w V x F 0 h 3 y h e 5 U u b 4 E 7 B w F W B N 1 h X + g O M e h O a d D t L O 6 a k 7 7 Q H a Y r q z L q W j w F U u C 6 2 B D b V O / G w H x C b z 3 l A L S Z i 2 o z q e n H n Q K g h M h K A f Q 1 G 2 1 S u 9 H T E A Z N O q w U Q N 8 z p N n U A D y l A b h T G P Q 9 Q Z r 0 B L G f 9 L V 4 m s A L V I m K K p 5 A W s M c G z N g 9 n z O x 5 W w h F h a 7 G I l F x Z h B V z b R 0 8 f m g O B f v l G c A V 6 7 a C 2 y F v D D 0 X J F + k j s l 5 b V C t H v / O v F 8 7 G d g s a 6 D X n D r P F M N x 2 h r c 4 l i k A 2 + n 3 D A x h T k O G v 6 c z K 9 L B u u j o a z Y 4 B f d R N p X 0 i / 2 k m P z 1 O Q 7 g / g A I S I G R A e w F A k d A Y M m s L G b 2 M / o k J M N q q N X M y R l V O B 7 0 z y D S j L Z 3 k L Z s Z Y E u T T I A K s F U B F R U C d A A z v n w 7 5 k A 1 X u d f b o P I B v D F s F T C R p g M K i r Q C v c 1 d D e x X d 6 w F 4 a f T c K F j I q X x j B z w R I 8 r w n s F P W i Q U e V n F p 8 T Y 1 0 d 1 Z U I t r E S / V x 9 L e U + + s G a A w b f M k q m 8 u v T U q o T / L o R J k k G 1 q g n M f B i i K b n U M o g o s y L t v p T M g s n c b s C 4 N i A k j o G L 6 w v n o 7 6 I D K J 8 1 x s P z R T C q N s D j 4 6 2 r 4 0 1 N + g + I Z 0 c A B 8 x m a G K 0 z G y n w g b P k o f I D D Q f d r J + a I R w O w B o 3 D w 9 H 0 O K s q P S L 7 X y h u l X l G j 0 y 7 9 e O M u s w w m l i F o a / b L S d V 6 q Y 5 t + 2 y e j Y a 4 2 q 2 7 k u T U 8 9 5 X / + 4 4 W 8 g c + j u / a 5 N v 8 h N v T u z 7 w y R d y 6 B k F N 6 W i R M C v m 6 7 H T U v O W 8 8 w S Z o T b v Y o Y m Y 7 N V 3 I 1 c a 4 R k S P C R R P p I 8 b b H K I 1 g A 7 v b G h f X U d U 3 z s Z p V j + 6 r B p / n Y U 1 W O 7 a s l O 8 D H n q 5 y b F / d e p O P f a D K s X 0 1 5 w f 5 2 A e r H L v h q 9 y l e n H C E W r 0 P 2 x s y / b 1 j s 9 g g G f 1 R n Q F b T j W S V p d M a x d d t H i N b j G Z B 2 j B u f y F H D d v g p c L S a N 6 d + V r a 3 v m 8 d h N n a l Q z d 8 V f K H P M j K O b a H e Y A B X k 0 P O q M n a s 2 D V 3 B f M J H Y E 8 u J V 4 v H x 6 W z x J 7 p V s v b C e t x i j i r q 7 C g R x 3 W P g c T / 8 F Z W y 1 Z c I u s W v m s j R x b 2 N x Z L q 3 a v r H O p X F 3 Q q 0 g 9 z g 9 J 6 x l X r I H g U e a Q F 2 n 7 p M l E A i + J d I N F 6 4 L j q S A N V W v c G z 5 3 Z 3 N C R i E k 1 K 5 T C 0 5 t E O R s + s Z E y H s m O F l J K F E C m d j w S J 8 + N j v s d C w N R 1 / z n N H P s L s h 5 0 K G T y S R y g k V / J G F a D A N G 9 w t k b k J i N F T K n 5 R K 9 C o x Z o X d l 9 + C h A X u n g H L 1 Y X / j M B H B O m K x 6 V i 3 a C R D W I y h 8 h O 8 c G Z F 5 R o n A + b z V K c 0 r E J U 8 l 9 C Y E W A U 3 v D Q E b a A s 0 j o C E w 8 8 D 8 V a 1 h E H i Z b I C J z m H p x y i I 3 M 3 i c H M x t P q p A Z 5 l 9 I 0 j Y c Y t 4 V K v F h b x C 2 C m R h k M L C 4 g j a 6 T I R + 5 n B Y 4 g y / D I 8 6 0 7 X z A Y x c h C E 8 g B E x A o W I X P v m l y l Z f q c O q 1 C q H R t 8 x Q u X 7 7 O Q N R 8 Y I F 9 q 1 0 U J W L b 4 q E y W J A I p m C G + Z l x o x n 6 r 7 P s G t W r h 3 P i I C J d I a q 7 o g i 7 d U i 5 q K q f a M 4 O 8 J v Q L W o Q M w R X s o d h U 8 u F q 2 y q i Z m 9 Z 4 X S I 3 T Z 8 + o n + c w n o X E c l E x y H X A V G v 8 R L q T Q S f O L M M T j W Q w f A 8 5 Z R w E a q S z g F l R E 1 M R 5 8 R W A A y Z K k n F V l k G g V H H C C q Z I G 7 i 2 Z b h W L K J N n 4 d l E 3 h A e F D 9 F 6 P p U w e + 8 R A c t I O d p n n 8 Y 6 Z X r p E + F d b p g 7 9 l D f Y 0 w E L h z V A c F G L m H B O t l Y H f 8 M F H z x 5 3 G n S g S k h Q q d q d A I H U x F T M C x y x I w 0 5 2 d l f u G R W 8 w Q H C N l a j f 0 s I z p D t + H 1 U j 7 x G T n D O 2 N a k G l c a w K 2 H Y 2 s s m Y s x 1 i l k j c X T 8 E G B b 1 r y 4 W P w f a X h b T d d z O t C z w B i O r Z k t U 1 x N 4 q Z v G b 3 U y I g K u c J b g J B n Y 5 l V O d r F S o A v z s K K / P R h + Q L B g D V X t i t 3 j G g a I g 8 E 7 b / g G 7 n F y p n z H 6 l z o 2 b K s o L B N A i e B L 7 F B D 9 5 G b k P Q q O d 9 R P Y v c R Z 5 H E V w O l 4 X q / f U Y S i w l L A + g / Q Y M m x G z L k J r s o Z L c y R d 3 6 D Y n V 2 K A a R n T y Q u f u o U 0 b 3 h E 0 f x 3 Z X W C / d q e Y M S 5 e W H i I + c Y V o 7 X e Y 6 t O n t q 8 C 1 K u v Q D W o J 3 y u O C + S T 7 V H V B i 5 d g n 9 T x h C a n z h b H k b S p + N 5 G u E J 3 l / c T r u 3 d P R / r a s H Y b 4 d a D k Z U C l R g U W m R T 1 Q T m t q U Q 2 d q L 1 z g q B d j A e H X k 9 Y m V R X o v + y c r p J J M 8 Z m v e q l Z U J D X I x T o r k b L N s Z / y e u x 6 T S q q U S O z Z v w Y 2 K I u a 9 R Q c f g + s y D f i s e z B E X f p t / G U U B v 3 B a d h V r a Y k G r t P 6 + o P 0 F d P e U 5 b b 4 j o W t + F 5 Y F E r A 3 Q v p b H h L 5 F n 6 k P A e Y 5 7 3 S W E Y b A 8 Y T N u s 2 2 3 S r d b l x + R D W I e P K X w s Z h u A u W / T O + S E D u v w J 8 H H + b 8 G 9 r 5 M v w j C H 6 W U R x h 0 j 8 J g G / 6 O + X V S 6 1 K p k / 8 K X o I t g v o f O X F A c H 1 M O g z o 7 3 u C r K y / 7 a K X T 8 l / Y b P 7 T 7 o B m C c 8 A N T / B M 6 S h h + + r e P 7 K 8 K 1 w p a P b U y y o 7 4 z y f 8 + K Q q D 6 W / U b 5 R C x s J 3 3 I L I 6 0 + E w O 4 E 0 u s m w x l 9 l j B g / D J w C W 6 x s G w 3 C f f P u 1 h P 7 w f B s 0 U l o f R J l G 4 Q / P / A / M w f F r 3 9 l f C M T 8 J Y E O n g E U M U t Q n f l g H 7 L L 0 b N L v b B J o t L q T J S F o n H P a b 9 J u 4 U K u K P t v d r P M T 0 U v i F z M M p x r e B z z B F k + 0 k 8 6 i f H 6 p J x j 9 c 3 5 S P b 9 E m 5 p a i c p F k A H c 2 P n J W h y l W 9 w + T 2 / V R F s R m Y I 0 o 2 E A q N R q t p x C W z Z Z y 0 d o y 2 m 0 5 R R r S Q g N a X k A b T l N 6 w 9 v I e 0 O o u 0 O s B E f s 3 X C R n 0 V b X 2 Q 7 4 x t + e V v Q l D k E + G 3 n n E s 7 m W r V Y 7 Q y j o Q h 1 A g X s 1 Z N 5 O U f s c 6 y 5 g 4 8 z b g p R F Y r I 9 z G B 3 n U D G O O L p y j w T R v / z Z I M 9 J t O P D R c f F M S Z 1 K 5 1 t e q c 4 0 T c m O Q s k 0 D D 3 P f V s 4 / 3 n p Z F R b I x k 2 S i N 7 A D e w E Y q S j 1 G w j d W o 8 m F O E a s O b b 1 W Y n y C K x g j I Z v x s Y U 0 x G L 4 F 4 P h b T C 5 y O + R t J n o 2 d 8 s z a m c + n A I C X 2 1 U F K + H Z u 0 P 3 M X G Y 2 I E I t S h w j 4 F u + c Z D h m K e J 4 + c G O 7 M / S L O 8 w a I s M g q N U f A 9 3 X i V S 7 B b T P D h I T A 2 m c B B o d 8 U 2 d 9 k p y C p b m S t b E C B 7 / j G I X 7 I P m R 0 T S 8 P + q i i L D I K j X M G 3 / 6 N w 5 x q t x m q 3 g P o m Z V E W p E x A s 4 L m p M Z N 2 H h 0 T i j Z H z 3 E Z O 5 n l A 0 x U i d S K l k j I r z h W a D a 3 t E Z G j h V 3 x T X B 4 e M j 7 M n c M e 5 g + 9 1 t q R U t 2 A x H I g M 7 7 x v X B E 2 8 h F V n N 8 o I 5 j V J x / N K c y Z e g T T h h k P r f Z 4 b f N H o T M 0 S 1 1 H V D g v K Y 5 L W R + F l T x U a a K A 8 c H a z l G x n l R k / I i 5 p w A t L I Q K x N J h l / B D V / N R M F z / d 5 V I g v S r o x K h 7 J K 3 C K N t A J F P 7 r x m e L m T K 9 L T f S 5 7 w J p b o h 6 k 1 w 9 w p s I g w M K i 1 K N / 2 G S s m k z l + v q a P + 1 a O z a O J F 4 O Y w s S c 4 1 l j N 3 P O + w 3 Y 1 0 G H A 5 u 9 1 j K q z l k H c 6 W / j 8 r L 9 5 c u G 9 N 9 + Y z 4 N i r f N Y b O A 4 W a M d D b w 4 D q j G v c L 8 6 F o 9 J c 5 P S m N x Z 8 k M n 9 L r K 7 m g b Q i l 8 p b 4 C v i r k s 3 y G T 9 D x W 9 Q y 8 d S S 6 o J / 4 B / 5 Z 6 u F f r M r k N x 8 m y + q a B 5 3 y d U U G M / 3 c l C O b G a I n 0 T 1 X 7 z X o G Z a j P B 5 q H g T O p Z P C d C 2 I J w / x d y x W V w c m / g 9 u J 8 + r V Y Q g A V D S G 2 I Y a K 6 Z f k 5 g 3 g p J H x R Z 6 w 6 Q a B l D J k u J e s j + 1 6 e 7 G e A 7 N d D 2 x f + M L H N 4 S Y b m + z 9 o K G X 9 D w 8 0 7 D l U a 7 K v a C / i o F 7 Q y z j r l W e h 1 5 1 5 h l 7 j G g H W X U Y b t C + 2 r s N r M c p l m z n n O W Y l / q c M G 7 l D 1 2 t b r X P a J m 5 b W Q F 8 q 8 P N v J 6 t d i V + u 9 q T t c g 8 h Y E 7 U c i B O W l 1 m C j e V 1 C n r Q 3 k 1 1 9 q A 2 M 8 k A K 1 e C o e X l n I V o C C o C r m X f C t a i V k X Y j F L J y X K s i 2 p 0 F 8 Z K 1 K Y y W 9 J L R u i 3 Y F f K 5 x s A 8 Q f 0 r L 7 0 K m z N O 1 m V 4 n i 3 1 5 J W B Z m Z O d J W P Z v E G q L F q d 7 g D H u d f z 7 S O X B N j Z S u R 8 v P o y X k 0 T L w 7 J F M H Z N Q E I 4 K s 3 S 8 I I Z d J o Y X e U V + f n l F X r v x e i z 0 M + w 0 L N J 5 l B P X N f d N 5 8 J r o p R H r s I 9 n m Y O 4 j H m / a O K t I a j 5 D e r J k f Z 7 u e S 8 8 r h t 0 N J G j 2 l P S K s l U 5 5 u h d z 2 p y a a Q R l v F E K j a b P J h + O O Q d 7 t h z r H K r J p e O b d V s l J q q w / 5 K p 7 N n j q 3 m 5 g 8 l N 7 2 Y X 6 Q x f y / F y s o X h y 5 K 5 f W U K o t K Z A s A D c o f S B V S j C K 1 K w T m i O r P q V A A / L + R U q f g E D f e d M f B D o u n 7 x O Y H 4 / r b t I a F 0 O I Z b N 8 d t B 9 W 9 s n w O P I C + G E E 1 / o h e j 2 o A o Z J W b f n z q d Q a P g k k Q W K k Z y F Q u a R h p A o M U r I f 7 Y j p Z j X P K y x E Q q 6 Z G x x D D C J d z s e R k r s f n k H j 8 I J S u 7 + 6 r i h W J k y a h k z u L k j l n 1 F m H o m W F E T B k w o A + U o 0 p I w O F x U V S U G c w k C m I q D D / O 7 A w H 5 4 u W J N 3 4 V j 9 e M X v S G H u k X 6 F X d z L 8 w / E P R D z M g w 3 A D o b w U j m x I 5 w i z s F k Z c a 5 q G g J x m o F K R k E o 1 B + O W J 1 i K 0 E q P N l V / I i R E W u r o i E V 3 G 7 G 1 1 G Q q f e F I 5 I y j k q Q Z 0 5 q V T 1 4 J W Q V c g 2 E H s H L W L V R k E D 7 w S d O u V o l E + f g r q r i h E w Z + m d t u g X L Z o x 2 h A n T 9 s W E 3 + p e b b / b G 0 B 3 P V H E 3 h G k L B I A h u R w H 7 s v O + g y A c X c 0 c G g 3 7 6 4 M m A g 8 R O j R N w B E z l U 6 l f 6 Z h q w J 8 M P 2 f P s p i X D j S 3 A t B Z 8 g K y S N W S 6 N m R Q / G B W B Y s y X S D L G f 0 W J C 8 q L X / M j L d / Y M R 6 2 y f D m j t E n y V o 7 6 o y o n E 3 U g F A 8 5 l 4 5 W r Q w v Z l K h h 1 D O b / P G n R J x n p t 0 G F U p M r l L R s H L u m T P J T C y K K t + d S k Q T k P X F o R b 4 i 3 0 R u U 7 b 0 w m K f u 7 D p m W z 3 Z 6 p G X j V i p Q + Y M r I M R / S z r W P W P G B G l 0 8 J K L e p 4 4 7 g 0 q R V l Y q n F 8 h 8 L h R V o A a D 8 f A q l 2 O H N E 6 g 8 V m Q Q g p b U a 0 n e X k B J R t f b a N g 1 9 V R X q l B y y o U w 7 U d q k L L p e f w 0 1 W E s Z W y 2 T d N Y w l I s v 0 Z M i w k + 5 c n G 4 N X Q r m l Z a s Z n p 0 z L I x m l t Z u 7 9 w q g 3 T B e q r N Y G 2 w 2 k G j H F Z R L f E e v M O q E 2 5 W c W H P 8 j I + 9 y o d + S K i 4 8 n n J j J F r U j 5 / Z 2 H D L j J e t 7 c t b v I M z G M 2 C 1 T h u f y r r S e b 2 M g I y S l Z 3 e e 9 o C z z T v z M 3 d 8 C X a d 8 c / C / P 9 6 9 t W e 2 e Y l h X H b S p O 6 2 x j x q L m 7 K 8 7 J z V a j 5 H O u k Z k 7 Z w Z l S c J e 6 k W 3 w f s k O M d s Y H h b 8 + 1 1 V d r N w D 3 J B A S 6 T E l z A O 6 G U N c e H V u 7 v W F S f y l X H M f m g a u O c C s v e x 1 T L 5 J 7 g r g l 0 r a Q L U z 4 K t k r J F S B S U H T f d X e c d g r u X 2 A j / 3 r 8 K V D / 6 y x e n X C o 8 j W 6 7 t 1 6 U B Y h D x p W x U N A X 7 r O w p i 9 L 4 w J E 1 V g S Q o a b 1 5 J w M L 9 d s Y T s 6 j 3 M D y X i p 7 Z J 2 K 5 Q f W Z 8 X 5 X j y r 7 v 6 z K s + 4 a r y q P n 3 2 7 6 o q C L q 6 G H P N 8 H v 9 n J 6 3 m u v v q O r B 2 2 X g e b u 4 M 0 X v D 8 o V 9 D M a x S 1 9 K m Q a w 1 R j v 0 P L / V i K 9 n E 3 v Z P e x 9 n M / p A b l 5 8 Q J l u F + N p E 3 k 8 3 Z X c 2 9 u 2 x R s i l + O v a C w z v N I Z L X o + B 5 9 C R T 9 I X 6 2 y u q b H y F d / V w R d s K G D E i L d h f W 2 1 4 m K h f R w u / N d d G y Y j A p + r e g B F V P z I j j p j V O P r o d O Y U c F k N j u n b 3 i x 6 X 0 2 f W n m r m a M M d b r l / 8 H U E s B A i 0 A F A A C A A g A p H I P W 4 x s c 0 O m A A A A 9 w A A A B I A A A A A A A A A A A A A A A A A A A A A A E N v b m Z p Z y 9 Q Y W N r Y W d l L n h t b F B L A Q I t A B Q A A g A I A K R y D 1 s P y u m r p A A A A O k A A A A T A A A A A A A A A A A A A A A A A P I A A A B b Q 2 9 u d G V u d F 9 U e X B l c 1 0 u e G 1 s U E s B A i 0 A F A A C A A g A p H I P W 8 Z g a 7 E D J g A A J S Y B A B M A A A A A A A A A A A A A A A A A 4 w E A A E Z v c m 1 1 b G F z L 1 N l Y 3 R p b 2 4 x L m 1 Q S w U G A A A A A A M A A w D C A A A A M y g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g U E A g A A A A A A 4 w M C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C d 0 F B Q U F B Q U F B Q V d P c 1 o 3 N m Y 0 N 1 N y N U 9 5 V 3 d a V 0 1 x M 0 N 0 Q 2 Q w S k R R c H R D W T B K U U F B Q U 1 B Q U F B Q U F B Q U F B O G F K d G M 2 Z m g w V 0 Y r N l d E Y 1 d 4 M 3 J B a l F v Z E N q M E t I U W 1 B Q U F C Q U F B Q U F B Q U F B Q W N X N W t t S W k v N 1 J w Q X o 5 L 2 F a N H p R Z k t k Q 1 g w T E R S a W R D N D B Z T F F 0 Z E M 5 M E x n Z z B Z S F F 2 O U M x M F l i U X V O Q 3 c w T H Z R d m R D K z B Z S F J n d E M 0 Q U F B R k F B Q U F B Q U F B Q U x 4 d V V 6 S U I 1 Z 0 Z I b y t L T E Z w T F N s T G N P M E t I U X Y 5 R 0 E w T E R R c 3 R D N j B M Q U F B Q U V B Q U F B Q U F B Q U E z V 3 V E e k x Z M 1 B F S z E 5 Z W 0 0 N 3 J L V E x 5 T F F v d E N 3 M E x I U X U 5 Q z Q w W W J R d U N E U X N p R F F z Z E M 3 M E x E U X Z k Q z Y w T E R S Z 3 R D d 0 F B Q U d B Q U F B Q U F B Q U F J a 2 N 5 N 3 J 2 a U Z s U G h r Z k 9 z c z h j Z n B J W j B K M 1 F r T k N t M E p q U W x D M 1 F v Z E M v M F l E U X N O Q 3 k w T H J R c 0 F B Q U F B Q U F B Q U F B Q U F C M F d F c X Z s T k h Q U 3 F I V m 8 z e i t T O U R Z R X R D M z B M R F F s T k M r M E x y U X U 5 Q 3 c w T F R R d U F B Q U F n Q U F B Q T 0 9 I i A v P j w v U 3 R h Y m x l R W 5 0 c m l l c z 4 8 L 0 l 0 Z W 0 + P E l 0 Z W 0 + P E l 0 Z W 1 M b 2 N h d G l v b j 4 8 S X R l b V R 5 c G U + R m 9 y b X V s Y T w v S X R l b V R 5 c G U + P E l 0 Z W 1 Q Y X R o P l N l Y 3 R p b 2 4 x L y V E M S U 4 M i V E M C U 5 N y V E M C V C M C V E M S U 4 O S V E M C V B M S V E M C V C R i V E M C V C N S V E M S U 4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S 0 x M S 0 w N 1 Q x O D o x N T o w M C 4 z O T g w N T Y 1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R 3 J v d X B J R C I g V m F s d W U 9 I n M y N j k 5 N W I x Y y 0 y Z j I y L T Q 2 Z m I t O T A z M y 1 m N 2 Y 2 O T l l M z M 0 M W Y i I C 8 + P E V u d H J 5 I F R 5 c G U 9 I l F 1 Z X J 5 S U Q i I F Z h b H V l P S J z O G F l O D c 2 M 2 Q t Y m E 4 N C 0 0 N j h h L W I 5 Y z Q t O D Q 4 M j V m Z m I 1 N W Y 0 I i A v P j w v U 3 R h Y m x l R W 5 0 c m l l c z 4 8 L 0 l 0 Z W 0 + P E l 0 Z W 0 + P E l 0 Z W 1 M b 2 N h d G l v b j 4 8 S X R l b V R 5 c G U + R m 9 y b X V s Y T w v S X R l b V R 5 c G U + P E l 0 Z W 1 Q Y X R o P l N l Y 3 R p b 2 4 x L y V E M S U 4 M i V E M C U 5 N y V E M C V C M C V E M S U 4 O S V E M C V B M S V E M C V C R i V E M C V C N S V E M S U 4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j A l R D E l O D k l R D A l Q T E l R D A l Q k Y l R D A l Q j U l R D E l O D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j A l R D E l O D k l R D A l Q T E l R D A l Q k Y l R D A l Q j U l R D E l O D Y v S W 5 z Z X J 0 Z W Q l M j B U Z X h 0 J T I w Q m V m b 3 J l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y J U Q w J T k 3 J U Q w J U I w J U Q x J T g 5 J U Q w J U E x J U Q w J U J G J U Q w J U I 1 J U Q x J T g 2 L 0 l u c 2 V y d G V k J T I w R m l y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5 f J U Q w J U E w J U Q w J T k 3 c m 9 3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O Q U N J R E l u c 3 R p d H V 0 a W 9 u Y W x T c G V j a W F s a X R 5 S W Q m c X V v d D s s J n F 1 b 3 Q 7 Q 2 9 k Z V 9 N T 0 4 m c X V v d D s s J n F 1 b 3 Q 7 Q 2 9 k Z V / Q n 9 C d J n F 1 b 3 Q 7 L C Z x d W 9 0 O 9 C f 0 J 0 m c X V v d D s s J n F 1 b 3 Q 7 0 K H Q v 9 C 1 0 Y b Q u N C w 0 L v Q v d C + 0 Y H R g i Z x d W 9 0 O y w m c X V v d D v Q n t C a 0 K E m c X V v d D s s J n F 1 b 3 Q 7 0 K T Q v t G A 0 L z Q s C Z x d W 9 0 O 1 0 i I C 8 + P E V u d H J 5 I F R 5 c G U 9 I k Z p b G x D b 2 x 1 b W 5 U e X B l c y I g V m F s d W U 9 I n N B Z 0 1 H Q m d Z R 0 J n P T 0 i I C 8 + P E V u d H J 5 I F R 5 c G U 9 I k Z p b G x M Y X N 0 V X B k Y X R l Z C I g V m F s d W U 9 I m Q y M D I z L T A 2 L T I 3 V D E y O j U w O j Q z L j Q w M z k w N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D c 4 I i A v P j x F b n R y e S B U e X B l P S J G a W x s V G F y Z 2 V 0 I i B W Y W x 1 Z T 0 i c 2 R i X 2 N v Z G V f T U 9 O X 9 C g 0 J d y b 3 d z I i A v P j x F b n R y e S B U e X B l P S J G a W x s Z W R D b 2 1 w b G V 0 Z V J l c 3 V s d F R v V 2 9 y a 3 N o Z W V 0 I i B W Y W x 1 Z T 0 i b D E i I C 8 + P E V u d H J 5 I F R 5 c G U 9 I l J l Y 2 9 2 Z X J 5 V G F y Z 2 V 0 U m 9 3 I i B W Y W x 1 Z T 0 i b D M i I C 8 + P E V u d H J 5 I F R 5 c G U 9 I l J l Y 2 9 2 Z X J 5 V G F y Z 2 V 0 Q 2 9 s d W 1 u I i B W Y W x 1 Z T 0 i b D Y z I i A v P j x F b n R y e S B U e X B l P S J S Z W N v d m V y e V R h c m d l d F N o Z W V 0 I i B W Y W x 1 Z T 0 i c 9 C d 0 L 7 Q v N C 1 0 L 3 Q u t C 7 0 L D R g t G D 0 Y D Q s C I g L z 4 8 R W 5 0 c n k g V H l w Z T 0 i U X V l c n l H c m 9 1 c E l E I i B W Y W x 1 Z T 0 i c 2 I 1 O D l j N j A z L T l m Y 2 U t N D U 4 N y 0 4 N W Z i L W E 1 O D M 3 M T Z j N z d h Y y I g L z 4 8 R W 5 0 c n k g V H l w Z T 0 i Q W R k Z W R U b 0 R h d G F N b 2 R l b C I g V m F s d W U 9 I m w w I i A v P j x F b n R y e S B U e X B l P S J R d W V y e U l E I i B W Y W x 1 Z T 0 i c z c 1 M m I w O T h j L T N l M G M t N D R k Z C 0 5 Z D M x L W I 1 O D J j Z D Q 2 Z W M 5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J f Y 2 9 k Z V 9 N T 0 5 f 0 K D Q l 3 J v d 3 M v Q X V 0 b 1 J l b W 9 2 Z W R D b 2 x 1 b W 5 z M S 5 7 T k F D S U R J b n N 0 a X R 1 d G l v b m F s U 3 B l Y 2 l h b G l 0 e U l k L D B 9 J n F 1 b 3 Q 7 L C Z x d W 9 0 O 1 N l Y 3 R p b 2 4 x L 2 R i X 2 N v Z G V f T U 9 O X 9 C g 0 J d y b 3 d z L 0 F 1 d G 9 S Z W 1 v d m V k Q 2 9 s d W 1 u c z E u e 0 N v Z G V f T U 9 O L D F 9 J n F 1 b 3 Q 7 L C Z x d W 9 0 O 1 N l Y 3 R p b 2 4 x L 2 R i X 2 N v Z G V f T U 9 O X 9 C g 0 J d y b 3 d z L 0 F 1 d G 9 S Z W 1 v d m V k Q 2 9 s d W 1 u c z E u e 0 N v Z G V f 0 J / Q n S w y f S Z x d W 9 0 O y w m c X V v d D t T Z W N 0 a W 9 u M S 9 k Y l 9 j b 2 R l X 0 1 P T l / Q o N C X c m 9 3 c y 9 B d X R v U m V t b 3 Z l Z E N v b H V t b n M x L n v Q n 9 C d L D N 9 J n F 1 b 3 Q 7 L C Z x d W 9 0 O 1 N l Y 3 R p b 2 4 x L 2 R i X 2 N v Z G V f T U 9 O X 9 C g 0 J d y b 3 d z L 0 F 1 d G 9 S Z W 1 v d m V k Q 2 9 s d W 1 u c z E u e 9 C h 0 L / Q t d G G 0 L j Q s N C 7 0 L 3 Q v t G B 0 Y I s N H 0 m c X V v d D s s J n F 1 b 3 Q 7 U 2 V j d G l v b j E v Z G J f Y 2 9 k Z V 9 N T 0 5 f 0 K D Q l 3 J v d 3 M v Q X V 0 b 1 J l b W 9 2 Z W R D b 2 x 1 b W 5 z M S 5 7 0 J 7 Q m t C h L D V 9 J n F 1 b 3 Q 7 L C Z x d W 9 0 O 1 N l Y 3 R p b 2 4 x L 2 R i X 2 N v Z G V f T U 9 O X 9 C g 0 J d y b 3 d z L 0 F 1 d G 9 S Z W 1 v d m V k Q 2 9 s d W 1 u c z E u e 9 C k 0 L 7 R g N C 8 0 L A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Z G J f Y 2 9 k Z V 9 N T 0 5 f 0 K D Q l 3 J v d 3 M v Q X V 0 b 1 J l b W 9 2 Z W R D b 2 x 1 b W 5 z M S 5 7 T k F D S U R J b n N 0 a X R 1 d G l v b m F s U 3 B l Y 2 l h b G l 0 e U l k L D B 9 J n F 1 b 3 Q 7 L C Z x d W 9 0 O 1 N l Y 3 R p b 2 4 x L 2 R i X 2 N v Z G V f T U 9 O X 9 C g 0 J d y b 3 d z L 0 F 1 d G 9 S Z W 1 v d m V k Q 2 9 s d W 1 u c z E u e 0 N v Z G V f T U 9 O L D F 9 J n F 1 b 3 Q 7 L C Z x d W 9 0 O 1 N l Y 3 R p b 2 4 x L 2 R i X 2 N v Z G V f T U 9 O X 9 C g 0 J d y b 3 d z L 0 F 1 d G 9 S Z W 1 v d m V k Q 2 9 s d W 1 u c z E u e 0 N v Z G V f 0 J / Q n S w y f S Z x d W 9 0 O y w m c X V v d D t T Z W N 0 a W 9 u M S 9 k Y l 9 j b 2 R l X 0 1 P T l / Q o N C X c m 9 3 c y 9 B d X R v U m V t b 3 Z l Z E N v b H V t b n M x L n v Q n 9 C d L D N 9 J n F 1 b 3 Q 7 L C Z x d W 9 0 O 1 N l Y 3 R p b 2 4 x L 2 R i X 2 N v Z G V f T U 9 O X 9 C g 0 J d y b 3 d z L 0 F 1 d G 9 S Z W 1 v d m V k Q 2 9 s d W 1 u c z E u e 9 C h 0 L / Q t d G G 0 L j Q s N C 7 0 L 3 Q v t G B 0 Y I s N H 0 m c X V v d D s s J n F 1 b 3 Q 7 U 2 V j d G l v b j E v Z G J f Y 2 9 k Z V 9 N T 0 5 f 0 K D Q l 3 J v d 3 M v Q X V 0 b 1 J l b W 9 2 Z W R D b 2 x 1 b W 5 z M S 5 7 0 J 7 Q m t C h L D V 9 J n F 1 b 3 Q 7 L C Z x d W 9 0 O 1 N l Y 3 R p b 2 4 x L 2 R i X 2 N v Z G V f T U 9 O X 9 C g 0 J d y b 3 d z L 0 F 1 d G 9 S Z W 1 v d m V k Q 2 9 s d W 1 u c z E u e 9 C k 0 L 7 R g N C 8 0 L A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i X 2 N v Z G V f T U 9 O X y V E M C V B M C V E M C U 5 N 3 J v d 3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5 f J U Q w J U E w J U Q w J T k 3 c m 9 3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X y V E M C V B M C V E M C U 5 N 3 J v d 3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X y V E M C V B M C V E M C U 5 N 3 J v d 3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5 f J U Q w J U E w J U Q w J T k 3 c m 9 3 c y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X y V E M C V B M C V E M C U 5 N 3 J v d 3 M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l 8 l R D A l Q T A l R D A l O T d y b 3 d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V 9 T V F V E R U 5 U R E F U Q U J B U 0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l F 1 Z X J 5 R 3 J v d X B J R C I g V m F s d W U 9 I n N i N T g 5 Y z Y w M y 0 5 Z m N l L T Q 1 O D c t O D V m Y i 1 h N T g z N z E 2 Y z c 3 Y W M i I C 8 + P E V u d H J 5 I F R 5 c G U 9 I k Z p b G x M Y X N 0 V X B k Y X R l Z C I g V m F s d W U 9 I m Q y M D I y L T A 4 L T E 2 V D E 4 O j M 0 O j U 5 L j M 0 N j I 0 M j R a I i A v P j x F b n R y e S B U e X B l P S J G a W x s U 3 R h d H V z I i B W Y W x 1 Z T 0 i c 0 N v b X B s Z X R l I i A v P j x F b n R y e S B U e X B l P S J R d W V y e U l E I i B W Y W x 1 Z T 0 i c z d j Z D Q x M m M 0 L T N m N z M t N G Z l N S 0 4 M D J l L W R k M m U z Z T Z k M 2 E 1 M i I g L z 4 8 L 1 N 0 Y W J s Z U V u d H J p Z X M + P C 9 J d G V t P j x J d G V t P j x J d G V t T G 9 j Y X R p b 2 4 + P E l 0 Z W 1 U e X B l P k Z v c m 1 1 b G E 8 L 0 l 0 Z W 1 U e X B l P j x J d G V t U G F 0 a D 5 T Z W N 0 a W 9 u M S 9 T V V 9 T V F V E R U 5 U R E F U Q U J B U 0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l F 1 Z X J 5 R 3 J v d X B J R C I g V m F s d W U 9 I n N i N T g 5 Y z Y w M y 0 5 Z m N l L T Q 1 O D c t O D V m Y i 1 h N T g z N z E 2 Y z c 3 Y W M i I C 8 + P E V u d H J 5 I F R 5 c G U 9 I k Z p b G x M Y X N 0 V X B k Y X R l Z C I g V m F s d W U 9 I m Q y M D I z L T A 2 L T I 0 V D I x O j U 0 O j M 3 L j E w O T g x M j N a I i A v P j x F b n R y e S B U e X B l P S J G a W x s U 3 R h d H V z I i B W Y W x 1 Z T 0 i c 0 N v b X B s Z X R l I i A v P j x F b n R y e S B U e X B l P S J R d W V y e U l E I i B W Y W x 1 Z T 0 i c z A 2 M D A 4 M T Z i L W V l Z j k t N D Z i M i 1 i M D E 0 L W M 5 Z j E 0 Z j I 3 M j Y 5 O C I g L z 4 8 L 1 N 0 Y W J s Z U V u d H J p Z X M + P C 9 J d G V t P j x J d G V t P j x J d G V t T G 9 j Y X R p b 2 4 + P E l 0 Z W 1 U e X B l P k Z v c m 1 1 b G E 8 L 0 l 0 Z W 1 U e X B l P j x J d G V t U G F 0 a D 5 T Z W N 0 a W 9 u M S 9 k Y l 9 j b 2 R l X 0 1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T V V 9 T V F V E R U 5 U R E F U Q U J B U 0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Z G J v X 0 1 P T k N v Z G V T c G V j a W F s a X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R X h w Y W 5 k Z W Q l M j B F Z H V j Y X R p b 2 5 h b E R l Z 3 J l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F e H B h b m R l Z C U y M E 1 P T l B y b 2 Z H c m 9 1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J b n N l c n R l Z C U y M E Z p c n N 0 J T I w Q 2 h h c m F j d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L 0 l u c 2 V y d G V k J T I w V G V 4 d C U y M F J h b m d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L 0 F k Z G V k J T I w U 3 V m Z m l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L 0 V 4 c G F u Z G V k J T I w R W R 1 Y 2 F 0 a W 9 u U G x h b k h l Y W R p b m d J b m Z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R X h w Y W 5 k Z W Q l M j B F Z H V j Y X R p b 2 5 h b E Z v c m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R 3 J v d X B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2 N v Z G V f T U 9 O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j b 2 R l X 0 1 P T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Y 2 9 k Z V 9 N T 0 4 v U 2 9 y d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V 9 T V F V E R U 5 U R E F U Q U J B U 0 U v U 1 V f U 1 R V R E V O V E R B V E F C Q V N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i V E M C U 5 N y V E M C V B M S V E M C V C R i V E M C V C N S V E M S U 4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Q 2 9 s d W 1 u V H l w Z X M i I F Z h b H V l P S J z Q m d Z R 0 J n W U d C Z z 0 9 I i A v P j x F b n R y e S B U e X B l P S J G a W x s T G F z d F V w Z G F 0 Z W Q i I F Z h b H V l P S J k M j A y M i 0 w O C 0 x O F Q w O T o 1 O T o w N y 4 3 O T U 3 O D U 1 W i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S Z W N v d m V y e V R h c m d l d F N o Z W V 0 I i B W Y W x 1 Z T 0 i c 9 C d 0 L 7 Q v N C 1 0 L 3 Q u t C 7 0 L D R g t G D 0 Y D Q s C I g L z 4 8 R W 5 0 c n k g V H l w Z T 0 i U m V j b 3 Z l c n l U Y X J n Z X R D b 2 x 1 b W 4 i I F Z h b H V l P S J s N T U i I C 8 + P E V u d H J 5 I F R 5 c G U 9 I l J l Y 2 9 2 Z X J 5 V G F y Z 2 V 0 U m 9 3 I i B W Y W x 1 Z T 0 i b D M i I C 8 + P E V u d H J 5 I F R 5 c G U 9 I k Z p b G x F c n J v c k N v Z G U i I F Z h b H V l P S J z V W 5 r b m 9 3 b i I g L z 4 8 R W 5 0 c n k g V H l w Z T 0 i R m l s b E N v d W 5 0 I i B W Y W x 1 Z T 0 i b D g 1 I i A v P j x F b n R y e S B U e X B l P S J R d W V y e U l E I i B W Y W x 1 Z T 0 i c z d l M 2 R i O T g 4 L T h i M j Q t N D A y N C 1 h Z W N i L T U x M z I x M D Z k Y z h k Y i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U Y X J n Z X Q i I F Z h b H V l P S J z 0 Y L Q l 9 C h 0 L / Q t d G G I i A v P j x F b n R y e S B U e X B l P S J G a W x s V G F y Z 2 V 0 T m F t Z U N 1 c 3 R v b W l 6 Z W Q i I F Z h b H V l P S J s M S I g L z 4 8 R W 5 0 c n k g V H l w Z T 0 i R m l s b E N v b H V t b k 5 h b W V z I i B W Y W x 1 Z T 0 i c 1 s m c X V v d D t D b 2 R l X 9 C f 0 J 0 m c X V v d D s s J n F 1 b 3 Q 7 0 J / R g N C + 0 Y T Q t d G B 0 L j Q v t C 9 0 L D Q u 9 C 9 0 L 4 g 0 L 3 Q s N C / 0 Y D Q s N C y 0 L v Q t d C 9 0 L j Q t S Z x d W 9 0 O y w m c X V v d D v Q p N C w 0 L r R g 9 C 7 0 Y L Q t d G C J n F 1 b 3 Q 7 L C Z x d W 9 0 O 9 C 9 0 K H Q v 9 C 1 0 Y b Q u N C w 0 L v Q v d C + 0 Y H R g i Z x d W 9 0 O y w m c X V v d D v Q o d C / 0 L X R h i Z x d W 9 0 O y w m c X V v d D v Q k d C w 0 L o m c X V v d D s s J n F 1 b 3 Q 7 0 J z Q s N C z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R d W V y e U d y b 3 V w S U Q i I F Z h b H V l P S J z M j Y 5 O T V i M W M t M m Y y M i 0 0 N m Z i L T k w M z M t Z j d m N j k 5 Z T M z N D F m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R g t C X 0 K H Q v 9 C 1 0 Y Y v Q X V 0 b 1 J l b W 9 2 Z W R D b 2 x 1 b W 5 z M S 5 7 Q 2 9 k Z V / Q n 9 C d L D B 9 J n F 1 b 3 Q 7 L C Z x d W 9 0 O 1 N l Y 3 R p b 2 4 x L 9 G C 0 J f Q o d C / 0 L X R h i 9 B d X R v U m V t b 3 Z l Z E N v b H V t b n M x L n v Q n 9 G A 0 L 7 R h N C 1 0 Y H Q u N C + 0 L 3 Q s N C 7 0 L 3 Q v i D Q v d C w 0 L / R g N C w 0 L L Q u 9 C 1 0 L 3 Q u N C 1 L D F 9 J n F 1 b 3 Q 7 L C Z x d W 9 0 O 1 N l Y 3 R p b 2 4 x L 9 G C 0 J f Q o d C / 0 L X R h i 9 B d X R v U m V t b 3 Z l Z E N v b H V t b n M x L n v Q p N C w 0 L r R g 9 C 7 0 Y L Q t d G C L D J 9 J n F 1 b 3 Q 7 L C Z x d W 9 0 O 1 N l Y 3 R p b 2 4 x L 9 G C 0 J f Q o d C / 0 L X R h i 9 B d X R v U m V t b 3 Z l Z E N v b H V t b n M x L n v Q v d C h 0 L / Q t d G G 0 L j Q s N C 7 0 L 3 Q v t G B 0 Y I s M 3 0 m c X V v d D s s J n F 1 b 3 Q 7 U 2 V j d G l v b j E v 0 Y L Q l 9 C h 0 L / Q t d G G L 0 F 1 d G 9 S Z W 1 v d m V k Q 2 9 s d W 1 u c z E u e 9 C h 0 L / Q t d G G L D R 9 J n F 1 b 3 Q 7 L C Z x d W 9 0 O 1 N l Y 3 R p b 2 4 x L 9 G C 0 J f Q o d C / 0 L X R h i 9 B d X R v U m V t b 3 Z l Z E N v b H V t b n M x L n v Q k d C w 0 L o s N X 0 m c X V v d D s s J n F 1 b 3 Q 7 U 2 V j d G l v b j E v 0 Y L Q l 9 C h 0 L / Q t d G G L 0 F 1 d G 9 S Z W 1 v d m V k Q 2 9 s d W 1 u c z E u e 9 C c 0 L D Q s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/ R g t C X 0 K H Q v 9 C 1 0 Y Y v Q X V 0 b 1 J l b W 9 2 Z W R D b 2 x 1 b W 5 z M S 5 7 Q 2 9 k Z V / Q n 9 C d L D B 9 J n F 1 b 3 Q 7 L C Z x d W 9 0 O 1 N l Y 3 R p b 2 4 x L 9 G C 0 J f Q o d C / 0 L X R h i 9 B d X R v U m V t b 3 Z l Z E N v b H V t b n M x L n v Q n 9 G A 0 L 7 R h N C 1 0 Y H Q u N C + 0 L 3 Q s N C 7 0 L 3 Q v i D Q v d C w 0 L / R g N C w 0 L L Q u 9 C 1 0 L 3 Q u N C 1 L D F 9 J n F 1 b 3 Q 7 L C Z x d W 9 0 O 1 N l Y 3 R p b 2 4 x L 9 G C 0 J f Q o d C / 0 L X R h i 9 B d X R v U m V t b 3 Z l Z E N v b H V t b n M x L n v Q p N C w 0 L r R g 9 C 7 0 Y L Q t d G C L D J 9 J n F 1 b 3 Q 7 L C Z x d W 9 0 O 1 N l Y 3 R p b 2 4 x L 9 G C 0 J f Q o d C / 0 L X R h i 9 B d X R v U m V t b 3 Z l Z E N v b H V t b n M x L n v Q v d C h 0 L / Q t d G G 0 L j Q s N C 7 0 L 3 Q v t G B 0 Y I s M 3 0 m c X V v d D s s J n F 1 b 3 Q 7 U 2 V j d G l v b j E v 0 Y L Q l 9 C h 0 L / Q t d G G L 0 F 1 d G 9 S Z W 1 v d m V k Q 2 9 s d W 1 u c z E u e 9 C h 0 L / Q t d G G L D R 9 J n F 1 b 3 Q 7 L C Z x d W 9 0 O 1 N l Y 3 R p b 2 4 x L 9 G C 0 J f Q o d C / 0 L X R h i 9 B d X R v U m V t b 3 Z l Z E N v b H V t b n M x L n v Q k d C w 0 L o s N X 0 m c X V v d D s s J n F 1 b 3 Q 7 U 2 V j d G l v b j E v 0 Y L Q l 9 C h 0 L / Q t d G G L 0 F 1 d G 9 S Z W 1 v d m V k Q 2 9 s d W 1 u c z E u e 9 C c 0 L D Q s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x J T g y J U Q w J T k 3 J U Q w J U E x J U Q w J U J G J U Q w J U I 1 J U Q x J T g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i V E M C U 5 N y V E M C V B M S V E M C V C R i V E M C V C N S V E M S U 4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i V E M C U 5 N y V E M C V B M S V E M C V C R i V E M C V C N S V E M S U 4 N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y J U Q w J T k 3 J U Q w J U E x J U Q w J U J G J U Q w J U I 1 J U Q x J T g 2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T E l R D A l Q k Y l R D A l Q j U l R D E l O D Y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y J U Q w J T k 3 J U Q w J U E x J U Q w J U J G J U Q w J U I 1 J U Q x J T g 2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T E l R D A l Q k Y l R D A l Q j U l R D E l O D Y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i V E M C U 5 N y V E M C V B M S V E M C V C R i V E M C V C N S V E M S U 4 N i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y J U Q w J T k 3 J U Q w J U E x J U Q w J U J G J U Q w J U I 1 J U Q x J T g 2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y J U Q w J T k 3 J U Q w J U E x J U Q w J U J G J U Q w J U I 1 J U Q x J T g 2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T E l R D A l Q k Y l R D A l Q j U l R D E l O D Y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T E l R D A l Q k Y l R D A l Q j U l R D E l O D Y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I l R D A l O T c l R D A l Q T E l R D A l Q k Y l R D A l Q j U l R D E l O D Y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V B M S V E M C V C R i V E M C V C N S V E M S U 4 N j w v S X R l b V B h d G g + P C 9 J d G V t T G 9 j Y X R p b 2 4 + P F N 0 Y W J s Z U V u d H J p Z X M + P E V u d H J 5 I F R 5 c G U 9 I l F 1 Z X J 5 R 3 J v d X B J R C I g V m F s d W U 9 I n M z M j U z N m V i Y y 1 l N j A x L T Q 3 M D E t Y T N l M i 0 4 Y j E 2 O T J k M j k 0 Y j c i I C 8 + P E V u d H J 5 I F R 5 c G U 9 I k Z p b G x F b m F i b G V k I i B W Y W x 1 Z T 0 i b D E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x I i A v P j x F b n R y e S B U e X B l P S J G a W x s V G F y Z 2 V 0 I i B W Y W x 1 Z T 0 i c 2 R i 0 L X Q p N C w 0 L r R g 9 C 7 0 Y L Q t d G C X 9 C e 0 J d f 0 K H Q v 9 C 1 0 Y Z f 0 J 7 Q s d G J 0 L 7 Q o d C / 0 L X R h i I g L z 4 8 R W 5 0 c n k g V H l w Z T 0 i R m l s b E x h c 3 R V c G R h d G V k I i B W Y W x 1 Z T 0 i Z D I w M j M t M D c t M D J U M T k 6 M z M 6 M z A u N D I z M j E 1 N F o i I C 8 + P E V u d H J 5 I F R 5 c G U 9 I k Z p b G x D b 2 x 1 b W 5 U e X B l c y I g V m F s d W U 9 I n N C Z 1 V H Q m d Z R 0 J n P T 0 i I C 8 + P E V u d H J 5 I F R 5 c G U 9 I l J l Y 2 9 2 Z X J 5 V G F y Z 2 V 0 U m 9 3 I i B W Y W x 1 Z T 0 i b D E 2 I i A v P j x F b n R y e S B U e X B l P S J S Z W N v d m V y e V R h c m d l d E N v b H V t b i I g V m F s d W U 9 I m w x N i I g L z 4 8 R W 5 0 c n k g V H l w Z T 0 i U m V j b 3 Z l c n l U Y X J n Z X R T a G V l d C I g V m F s d W U 9 I n N k Y t C 1 0 K T Q s N C 6 0 Y P Q u 9 G C 0 L X R g l / Q n t C X X 9 C h 0 L / Q t d G G I i A v P j x F b n R y e S B U e X B l P S J G a W x s V G 9 E Y X R h T W 9 k Z W x F b m F i b G V k I i B W Y W x 1 Z T 0 i b D A i I C 8 + P E V u d H J 5 I F R 5 c G U 9 I k Z p b G x D b 2 x 1 b W 5 O Y W 1 l c y I g V m F s d W U 9 I n N b J n F 1 b 3 Q 7 0 K T Q s N C 6 0 Y P Q u 9 G C 0 L X R g i Z x d W 9 0 O y w m c X V v d D v R h N C e 0 J c m c X V v d D s s J n F 1 b 3 Q 7 0 L r Q v t C 0 0 J 3 Q k N C m 0 J j Q l C 3 Q n N C e 0 J 0 m c X V v d D s s J n F 1 b 3 Q 7 0 L D Q o d C / 0 L X R h i Z x d W 9 0 O y w m c X V v d D t D b 2 R l U 3 B l Y 2 l h b G l 0 e U 5 h b W U m c X V v d D s s J n F 1 b 3 Q 7 0 L / Q n 9 G A 0 L X Q v 9 C + 0 L T Q s N C y 0 L D R g t C 1 0 L s 6 J n F 1 b 3 Q 7 L C Z x d W 9 0 O 9 C w 0 J X Q k 9 C d O i Z x d W 9 0 O 1 0 i I C 8 + P E V u d H J 5 I F R 5 c G U 9 I l F 1 Z X J 5 S U Q i I F Z h b H V l P S J z M m R l N z h h M j g t M D k z Z S 0 0 N W R j L T k y M D g t M D k 2 Z m Y y O T g 3 O D R k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t C 1 0 K T Q s N C 6 0 Y P Q u 9 G C 0 L X R g l / Q n t C X X 9 C h 0 L / Q t d G G X 9 C e 0 L H R i d C + 0 K H Q v 9 C 1 0 Y Y v Q X V 0 b 1 J l b W 9 2 Z W R D b 2 x 1 b W 5 z M S 5 7 0 K T Q s N C 6 0 Y P Q u 9 G C 0 L X R g i w w f S Z x d W 9 0 O y w m c X V v d D t T Z W N 0 a W 9 u M S 9 k Y t C 1 0 K T Q s N C 6 0 Y P Q u 9 G C 0 L X R g l / Q n t C X X 9 C h 0 L / Q t d G G X 9 C e 0 L H R i d C + 0 K H Q v 9 C 1 0 Y Y v Q X V 0 b 1 J l b W 9 2 Z W R D b 2 x 1 b W 5 z M S 5 7 0 Y T Q n t C X L D F 9 J n F 1 b 3 Q 7 L C Z x d W 9 0 O 1 N l Y 3 R p b 2 4 x L 2 R i 0 L X Q p N C w 0 L r R g 9 C 7 0 Y L Q t d G C X 9 C e 0 J d f 0 K H Q v 9 C 1 0 Y Z f 0 J 7 Q s d G J 0 L 7 Q o d C / 0 L X R h i 9 B d X R v U m V t b 3 Z l Z E N v b H V t b n M x L n v Q u t C + 0 L T Q n d C Q 0 K b Q m N C U L d C c 0 J 7 Q n S w y f S Z x d W 9 0 O y w m c X V v d D t T Z W N 0 a W 9 u M S 9 k Y t C 1 0 K T Q s N C 6 0 Y P Q u 9 G C 0 L X R g l / Q n t C X X 9 C h 0 L / Q t d G G X 9 C e 0 L H R i d C + 0 K H Q v 9 C 1 0 Y Y v Q X V 0 b 1 J l b W 9 2 Z W R D b 2 x 1 b W 5 z M S 5 7 0 L D Q o d C / 0 L X R h i w z f S Z x d W 9 0 O y w m c X V v d D t T Z W N 0 a W 9 u M S 9 k Y t C 1 0 K T Q s N C 6 0 Y P Q u 9 G C 0 L X R g l / Q n t C X X 9 C h 0 L / Q t d G G X 9 C e 0 L H R i d C + 0 K H Q v 9 C 1 0 Y Y v Q X V 0 b 1 J l b W 9 2 Z W R D b 2 x 1 b W 5 z M S 5 7 Q 2 9 k Z V N w Z W N p Y W x p d H l O Y W 1 l L D R 9 J n F 1 b 3 Q 7 L C Z x d W 9 0 O 1 N l Y 3 R p b 2 4 x L 2 R i 0 L X Q p N C w 0 L r R g 9 C 7 0 Y L Q t d G C X 9 C e 0 J d f 0 K H Q v 9 C 1 0 Y Z f 0 J 7 Q s d G J 0 L 7 Q o d C / 0 L X R h i 9 B d X R v U m V t b 3 Z l Z E N v b H V t b n M x L n v Q v 9 C f 0 Y D Q t d C / 0 L 7 Q t N C w 0 L L Q s N G C 0 L X Q u z o s N X 0 m c X V v d D s s J n F 1 b 3 Q 7 U 2 V j d G l v b j E v Z G L Q t d C k 0 L D Q u t G D 0 L v R g t C 1 0 Y J f 0 J 7 Q l 1 / Q o d C / 0 L X R h l / Q n t C x 0 Y n Q v t C h 0 L / Q t d G G L 0 F 1 d G 9 S Z W 1 v d m V k Q 2 9 s d W 1 u c z E u e 9 C w 0 J X Q k 9 C d O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Y t C 1 0 K T Q s N C 6 0 Y P Q u 9 G C 0 L X R g l / Q n t C X X 9 C h 0 L / Q t d G G X 9 C e 0 L H R i d C + 0 K H Q v 9 C 1 0 Y Y v Q X V 0 b 1 J l b W 9 2 Z W R D b 2 x 1 b W 5 z M S 5 7 0 K T Q s N C 6 0 Y P Q u 9 G C 0 L X R g i w w f S Z x d W 9 0 O y w m c X V v d D t T Z W N 0 a W 9 u M S 9 k Y t C 1 0 K T Q s N C 6 0 Y P Q u 9 G C 0 L X R g l / Q n t C X X 9 C h 0 L / Q t d G G X 9 C e 0 L H R i d C + 0 K H Q v 9 C 1 0 Y Y v Q X V 0 b 1 J l b W 9 2 Z W R D b 2 x 1 b W 5 z M S 5 7 0 Y T Q n t C X L D F 9 J n F 1 b 3 Q 7 L C Z x d W 9 0 O 1 N l Y 3 R p b 2 4 x L 2 R i 0 L X Q p N C w 0 L r R g 9 C 7 0 Y L Q t d G C X 9 C e 0 J d f 0 K H Q v 9 C 1 0 Y Z f 0 J 7 Q s d G J 0 L 7 Q o d C / 0 L X R h i 9 B d X R v U m V t b 3 Z l Z E N v b H V t b n M x L n v Q u t C + 0 L T Q n d C Q 0 K b Q m N C U L d C c 0 J 7 Q n S w y f S Z x d W 9 0 O y w m c X V v d D t T Z W N 0 a W 9 u M S 9 k Y t C 1 0 K T Q s N C 6 0 Y P Q u 9 G C 0 L X R g l / Q n t C X X 9 C h 0 L / Q t d G G X 9 C e 0 L H R i d C + 0 K H Q v 9 C 1 0 Y Y v Q X V 0 b 1 J l b W 9 2 Z W R D b 2 x 1 b W 5 z M S 5 7 0 L D Q o d C / 0 L X R h i w z f S Z x d W 9 0 O y w m c X V v d D t T Z W N 0 a W 9 u M S 9 k Y t C 1 0 K T Q s N C 6 0 Y P Q u 9 G C 0 L X R g l / Q n t C X X 9 C h 0 L / Q t d G G X 9 C e 0 L H R i d C + 0 K H Q v 9 C 1 0 Y Y v Q X V 0 b 1 J l b W 9 2 Z W R D b 2 x 1 b W 5 z M S 5 7 Q 2 9 k Z V N w Z W N p Y W x p d H l O Y W 1 l L D R 9 J n F 1 b 3 Q 7 L C Z x d W 9 0 O 1 N l Y 3 R p b 2 4 x L 2 R i 0 L X Q p N C w 0 L r R g 9 C 7 0 Y L Q t d G C X 9 C e 0 J d f 0 K H Q v 9 C 1 0 Y Z f 0 J 7 Q s d G J 0 L 7 Q o d C / 0 L X R h i 9 B d X R v U m V t b 3 Z l Z E N v b H V t b n M x L n v Q v 9 C f 0 Y D Q t d C / 0 L 7 Q t N C w 0 L L Q s N G C 0 L X Q u z o s N X 0 m c X V v d D s s J n F 1 b 3 Q 7 U 2 V j d G l v b j E v Z G L Q t d C k 0 L D Q u t G D 0 L v R g t C 1 0 Y J f 0 J 7 Q l 1 / Q o d C / 0 L X R h l / Q n t C x 0 Y n Q v t C h 0 L / Q t d G G L 0 F 1 d G 9 S Z W 1 v d m V k Q 2 9 s d W 1 u c z E u e 9 C w 0 J X Q k 9 C d O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l 8 l R D A l O U U l R D A l Q j E l R D E l O D k l R D A l Q k U l R D A l Q T E l R D A l Q k Y l R D A l Q j U l R D E l O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l 8 l R D A l O U U l R D A l Q j E l R D E l O D k l R D A l Q k U l R D A l Q T E l R D A l Q k Y l R D A l Q j U l R D E l O D Y v U 2 9 1 c m N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Z f J U Q w J T l F J U Q w J U I x J U Q x J T g 5 J U Q w J U J F J U Q w J U E x J U Q w J U J G J U Q w J U I 1 J U Q x J T g 2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Z f J U Q w J T l F J U Q w J U I x J U Q x J T g 5 J U Q w J U J F J U Q w J U E x J U Q w J U J G J U Q w J U I 1 J U Q x J T g 2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V B M S V E M C V C R i V E M C V C N S V E M S U 4 N i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Z f J U Q w J T l F J U Q w J U I x J U Q x J T g 5 J U Q w J U J F J U Q w J U E x J U Q w J U J G J U Q w J U I 1 J U Q x J T g 2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U 5 R S V E M C U 5 N z w v S X R l b V B h d G g + P C 9 J d G V t T G 9 j Y X R p b 2 4 + P F N 0 Y W J s Z U V u d H J p Z X M + P E V u d H J 5 I F R 5 c G U 9 I l F 1 Z X J 5 R 3 J v d X B J R C I g V m F s d W U 9 I n M z M j U z N m V i Y y 1 l N j A x L T Q 3 M D E t Y T N l M i 0 4 Y j E 2 O T J k M j k 0 Y j c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3 L T A y V D E 5 O j M z O j M w L j M 4 O D M w N D F a I i A v P j x F b n R y e S B U e X B l P S J G a W x s Q 2 9 s d W 1 u V H l w Z X M i I F Z h b H V l P S J z Q m d V P S I g L z 4 8 R W 5 0 c n k g V H l w Z T 0 i U m V j b 3 Z l c n l U Y X J n Z X R T a G V l d C I g V m F s d W U 9 I n N k Y t C 1 0 K T Q s N C 6 0 Y P Q u 9 G C 0 L X R g l / Q n t C X X 9 C h 0 L / Q t d G G I i A v P j x F b n R y e S B U e X B l P S J S Z W N v d m V y e V R h c m d l d E N v b H V t b i I g V m F s d W U 9 I m w x M y I g L z 4 8 R W 5 0 c n k g V H l w Z T 0 i U m V j b 3 Z l c n l U Y X J n Z X R S b 3 c i I F Z h b H V l P S J s M T Y i I C 8 + P E V u d H J 5 I F R 5 c G U 9 I k Z p b G x U Y X J n Z X Q i I F Z h b H V l P S J z Z G L Q t d C k 0 L D Q u t G D 0 L v R g t C 1 0 Y J f 0 J 7 Q l 1 / Q o d C / 0 L X R h l / Q n t C x 0 Y n Q v t C e 0 J c i I C 8 + P E V u d H J 5 I F R 5 c G U 9 I l F 1 Z X J 5 S U Q i I F Z h b H V l P S J z Z T g 2 M 2 N m M z c t M G U w Z S 0 0 Y W U y L W F i O D A t N z k 1 Z j A w N m I x Y T U 5 I i A v P j x F b n R y e S B U e X B l P S J G a W x s Q 2 9 s d W 1 u T m F t Z X M i I F Z h b H V l P S J z W y Z x d W 9 0 O 9 C k 0 L D Q u t G D 0 L v R g t C 1 0 Y I m c X V v d D s s J n F 1 b 3 Q 7 0 J 7 Q l y Z x d W 9 0 O 1 0 i I C 8 + P E V u d H J 5 I F R 5 c G U 9 I k Z p b G x D b 3 V u d C I g V m F s d W U 9 I m w w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i 0 L X Q p N C w 0 L r R g 9 C 7 0 Y L Q t d G C X 9 C e 0 J d f 0 K H Q v 9 C 1 0 Y Z f 0 J 7 Q s d G J 0 L 7 Q n t C X L 0 F 1 d G 9 S Z W 1 v d m V k Q 2 9 s d W 1 u c z E u e 9 C k 0 L D Q u t G D 0 L v R g t C 1 0 Y I s M H 0 m c X V v d D s s J n F 1 b 3 Q 7 U 2 V j d G l v b j E v Z G L Q t d C k 0 L D Q u t G D 0 L v R g t C 1 0 Y J f 0 J 7 Q l 1 / Q o d C / 0 L X R h l / Q n t C x 0 Y n Q v t C e 0 J c v Q X V 0 b 1 J l b W 9 2 Z W R D b 2 x 1 b W 5 z M S 5 7 0 J 7 Q l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k Y t C 1 0 K T Q s N C 6 0 Y P Q u 9 G C 0 L X R g l / Q n t C X X 9 C h 0 L / Q t d G G X 9 C e 0 L H R i d C + 0 J 7 Q l y 9 B d X R v U m V t b 3 Z l Z E N v b H V t b n M x L n v Q p N C w 0 L r R g 9 C 7 0 Y L Q t d G C L D B 9 J n F 1 b 3 Q 7 L C Z x d W 9 0 O 1 N l Y 3 R p b 2 4 x L 2 R i 0 L X Q p N C w 0 L r R g 9 C 7 0 Y L Q t d G C X 9 C e 0 J d f 0 K H Q v 9 C 1 0 Y Z f 0 J 7 Q s d G J 0 L 7 Q n t C X L 0 F 1 d G 9 S Z W 1 v d m V k Q 2 9 s d W 1 u c z E u e 9 C e 0 J c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Z f J U Q w J T l F J U Q w J U I x J U Q x J T g 5 J U Q w J U J F J U Q w J T l F J U Q w J T k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Z f J U Q w J T l F J U Q w J U I x J U Q x J T g 5 J U Q w J U J F J U Q w J T l F J U Q w J T k 3 L 1 N v d X J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U 5 R S V E M C U 5 N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U 5 R S V E M C U 5 N y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8 L 0 l 0 Z W 1 Q Y X R o P j w v S X R l b U x v Y 2 F 0 a W 9 u P j x T d G F i b G V F b n R y a W V z P j x F b n R y e S B U e X B l P S J R d W V y e U d y b 3 V w S U Q i I F Z h b H V l P S J z M z I 1 M z Z l Y m M t Z T Y w M S 0 0 N z A x L W E z Z T I t O G I x N j k y Z D I 5 N G I 3 I i A v P j x F b n R y e S B U e X B l P S J G a W x s R W 5 h Y m x l Z C I g V m F s d W U 9 I m w x I i A v P j x F b n R y e S B U e X B l P S J G a W x s R X J y b 3 J D b 3 V u d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S I g L z 4 8 R W 5 0 c n k g V H l w Z T 0 i U m V j b 3 Z l c n l U Y X J n Z X R D b 2 x 1 b W 4 i I F Z h b H V l P S J s M i I g L z 4 8 R W 5 0 c n k g V H l w Z T 0 i U m V j b 3 Z l c n l U Y X J n Z X R S b 3 c i I F Z h b H V l P S J s M i I g L z 4 8 R W 5 0 c n k g V H l w Z T 0 i U m V j b 3 Z l c n l U Y X J n Z X R T a G V l d C I g V m F s d W U 9 I n P Q o d C / 0 Y D Q s N C y 0 L r Q u C I g L z 4 8 R W 5 0 c n k g V H l w Z T 0 i R m l s b F R h c m d l d C I g V m F s d W U 9 I n N k Y t C 1 0 K T Q s N C 6 0 Y P Q u 9 G C 0 L X R g l / Q n t C X X 9 C h 0 L / Q t d G G I i A v P j x F b n R y e S B U e X B l P S J M b 2 F k Z W R U b 0 F u Y W x 5 c 2 l z U 2 V y d m l j Z X M i I F Z h b H V l P S J s M C I g L z 4 8 R W 5 0 c n k g V H l w Z T 0 i U X V l c n l J R C I g V m F s d W U 9 I n M y N j J j O W E 2 M C 1 m N T c z L T Q 2 M z I t Y T Z k N C 1 h N T d m N z c y N T B j Y j U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M Y X N 0 V X B k Y X R l Z C I g V m F s d W U 9 I m Q y M D I z L T A 3 L T A y V D E 5 O j M z O j I 3 L j I 5 O T c z M j h a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Q 2 9 s d W 1 u V H l w Z X M i I F Z h b H V l P S J z Q m d V R 0 J R V U d C Z 1 k 9 I i A v P j x F b n R y e S B U e X B l P S J G a W x s Q 2 9 s d W 1 u T m F t Z X M i I F Z h b H V l P S J z W y Z x d W 9 0 O 9 C k 0 L D Q u t G D 0 L v R g t C 1 0 Y I m c X V v d D s s J n F 1 b 3 Q 7 0 Y T Q n t C X J n F 1 b 3 Q 7 L C Z x d W 9 0 O 0 5 h b W U m c X V v d D s s J n F 1 b 3 Q 7 0 J 7 Q l y 4 m c X V v d D s s J n F 1 b 3 Q 7 0 Y L i h J Y m c X V v d D s s J n F 1 b 3 Q 7 0 L D Q o d C / 0 L X R h i Z x d W 9 0 O y w m c X V v d D v Q u t C + 0 L Q m c X V v d D s s J n F 1 b 3 Q 7 Q 2 9 k Z V N w Z W N p Y W x p d H l O Y W 1 l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t C 1 0 K T Q s N C 6 0 Y P Q u 9 G C 0 L X R g l / Q n t C X X 9 C h 0 L / Q t d G G L 0 F 1 d G 9 S Z W 1 v d m V k Q 2 9 s d W 1 u c z E u e 9 C k 0 L D Q u t G D 0 L v R g t C 1 0 Y I s M H 0 m c X V v d D s s J n F 1 b 3 Q 7 U 2 V j d G l v b j E v Z G L Q t d C k 0 L D Q u t G D 0 L v R g t C 1 0 Y J f 0 J 7 Q l 1 / Q o d C / 0 L X R h i 9 B d X R v U m V t b 3 Z l Z E N v b H V t b n M x L n v R h N C e 0 J c s M X 0 m c X V v d D s s J n F 1 b 3 Q 7 U 2 V j d G l v b j E v Z G L Q t d C k 0 L D Q u t G D 0 L v R g t C 1 0 Y J f 0 J 7 Q l 1 / Q o d C / 0 L X R h i 9 B d X R v U m V t b 3 Z l Z E N v b H V t b n M x L n t O Y W 1 l L D J 9 J n F 1 b 3 Q 7 L C Z x d W 9 0 O 1 N l Y 3 R p b 2 4 x L 2 R i 0 L X Q p N C w 0 L r R g 9 C 7 0 Y L Q t d G C X 9 C e 0 J d f 0 K H Q v 9 C 1 0 Y Y v Q X V 0 b 1 J l b W 9 2 Z W R D b 2 x 1 b W 5 z M S 5 7 0 J 7 Q l y 4 s M 3 0 m c X V v d D s s J n F 1 b 3 Q 7 U 2 V j d G l v b j E v Z G L Q t d C k 0 L D Q u t G D 0 L v R g t C 1 0 Y J f 0 J 7 Q l 1 / Q o d C / 0 L X R h i 9 B d X R v U m V t b 3 Z l Z E N v b H V t b n M x L n v R g u K E l i w 0 f S Z x d W 9 0 O y w m c X V v d D t T Z W N 0 a W 9 u M S 9 k Y t C 1 0 K T Q s N C 6 0 Y P Q u 9 G C 0 L X R g l / Q n t C X X 9 C h 0 L / Q t d G G L 0 F 1 d G 9 S Z W 1 v d m V k Q 2 9 s d W 1 u c z E u e 9 C w 0 K H Q v 9 C 1 0 Y Y s N X 0 m c X V v d D s s J n F 1 b 3 Q 7 U 2 V j d G l v b j E v Z G L Q t d C k 0 L D Q u t G D 0 L v R g t C 1 0 Y J f 0 J 7 Q l 1 / Q o d C / 0 L X R h i 9 B d X R v U m V t b 3 Z l Z E N v b H V t b n M x L n v Q u t C + 0 L Q s N n 0 m c X V v d D s s J n F 1 b 3 Q 7 U 2 V j d G l v b j E v Z G L Q t d C k 0 L D Q u t G D 0 L v R g t C 1 0 Y J f 0 J 7 Q l 1 / Q o d C / 0 L X R h i 9 B d X R v U m V t b 3 Z l Z E N v b H V t b n M x L n t D b 2 R l U 3 B l Y 2 l h b G l 0 e U 5 h b W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G L Q t d C k 0 L D Q u t G D 0 L v R g t C 1 0 Y J f 0 J 7 Q l 1 / Q o d C / 0 L X R h i 9 B d X R v U m V t b 3 Z l Z E N v b H V t b n M x L n v Q p N C w 0 L r R g 9 C 7 0 Y L Q t d G C L D B 9 J n F 1 b 3 Q 7 L C Z x d W 9 0 O 1 N l Y 3 R p b 2 4 x L 2 R i 0 L X Q p N C w 0 L r R g 9 C 7 0 Y L Q t d G C X 9 C e 0 J d f 0 K H Q v 9 C 1 0 Y Y v Q X V 0 b 1 J l b W 9 2 Z W R D b 2 x 1 b W 5 z M S 5 7 0 Y T Q n t C X L D F 9 J n F 1 b 3 Q 7 L C Z x d W 9 0 O 1 N l Y 3 R p b 2 4 x L 2 R i 0 L X Q p N C w 0 L r R g 9 C 7 0 Y L Q t d G C X 9 C e 0 J d f 0 K H Q v 9 C 1 0 Y Y v Q X V 0 b 1 J l b W 9 2 Z W R D b 2 x 1 b W 5 z M S 5 7 T m F t Z S w y f S Z x d W 9 0 O y w m c X V v d D t T Z W N 0 a W 9 u M S 9 k Y t C 1 0 K T Q s N C 6 0 Y P Q u 9 G C 0 L X R g l / Q n t C X X 9 C h 0 L / Q t d G G L 0 F 1 d G 9 S Z W 1 v d m V k Q 2 9 s d W 1 u c z E u e 9 C e 0 J c u L D N 9 J n F 1 b 3 Q 7 L C Z x d W 9 0 O 1 N l Y 3 R p b 2 4 x L 2 R i 0 L X Q p N C w 0 L r R g 9 C 7 0 Y L Q t d G C X 9 C e 0 J d f 0 K H Q v 9 C 1 0 Y Y v Q X V 0 b 1 J l b W 9 2 Z W R D b 2 x 1 b W 5 z M S 5 7 0 Y L i h J Y s N H 0 m c X V v d D s s J n F 1 b 3 Q 7 U 2 V j d G l v b j E v Z G L Q t d C k 0 L D Q u t G D 0 L v R g t C 1 0 Y J f 0 J 7 Q l 1 / Q o d C / 0 L X R h i 9 B d X R v U m V t b 3 Z l Z E N v b H V t b n M x L n v Q s N C h 0 L / Q t d G G L D V 9 J n F 1 b 3 Q 7 L C Z x d W 9 0 O 1 N l Y 3 R p b 2 4 x L 2 R i 0 L X Q p N C w 0 L r R g 9 C 7 0 Y L Q t d G C X 9 C e 0 J d f 0 K H Q v 9 C 1 0 Y Y v Q X V 0 b 1 J l b W 9 2 Z W R D b 2 x 1 b W 5 z M S 5 7 0 L r Q v t C 0 L D Z 9 J n F 1 b 3 Q 7 L C Z x d W 9 0 O 1 N l Y 3 R p b 2 4 x L 2 R i 0 L X Q p N C w 0 L r R g 9 C 7 0 Y L Q t d G C X 9 C e 0 J d f 0 K H Q v 9 C 1 0 Y Y v Q X V 0 b 1 J l b W 9 2 Z W R D b 2 x 1 b W 5 z M S 5 7 Q 2 9 k Z V N w Z W N p Y W x p d H l O Y W 1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N v c n R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F e H B h b m R l Z C U y M E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N d W x 0 a X B s a W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N d W x 0 a X B s a W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T X V s d G l w b G l l Z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1 1 b H R p c G x p Z W Q l M j B D b 2 x 1 b W 4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J b n N l c n R l Z C U y M F N 1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N s Z W F u Z W Q l M j B U Z X h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w b G F j Z W Q l M j B W Y W x 1 Z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c G x h Y 2 V k J T I w V m F s d W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X B s Y W N l Z C U y M F Z h b H V l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R 1 c G x p Y 2 F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N s Z W F u Z W Q l M j B U Z X h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V H J p b W 1 l Z C U y M F R l e H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W 1 v d m V k J T I w R H V w b G l j Y X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V 4 c G F u Z G V k J T I w Z G J f R W R 1 Y 2 F 0 a W 9 u U G x h b n N f J U Q w J T l D J U Q w J T l F J U Q w J T l E X 0 x p c 3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v c m R l c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W 9 y Z G V y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R 3 J v d X B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J l b W 9 2 Z W Q l M j B P d G h l c i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F e H B h b m R l Z C U y M C V E M C U 5 N C V E M C V C M C V E M C V C R C V E M C V C R C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W 9 y Z G V y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Y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R W R 1 Y 2 F 0 a W 9 u U G x h b n N f J U Q w J T l D J U Q w J T l F J U Q w J T l E X 0 x p c 3 R f J U Q x J T g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R 3 J v d X B J R C I g V m F s d W U 9 I n M 3 Y m M 2 M 2 E x N i 1 m Z W U 5 L T R h M 2 I t Y m U 0 Z S 1 j O T Z j M T k 1 O G N h Y j c i I C 8 + P E V u d H J 5 I F R 5 c G U 9 I k F k Z G V k V G 9 E Y X R h T W 9 k Z W w i I F Z h b H V l P S J s M C I g L z 4 8 R W 5 0 c n k g V H l w Z T 0 i R m l s b E x h c 3 R V c G R h d G V k I i B W Y W x 1 Z T 0 i Z D I w M j I t M D g t M T h U M D g 6 M j Q 6 M T A u M T g z N D A 3 N F o i I C 8 + P E V u d H J 5 I F R 5 c G U 9 I k Z p b G x T d G F 0 d X M i I F Z h b H V l P S J z Q 2 9 t c G x l d G U i I C 8 + P E V u d H J 5 I F R 5 c G U 9 I l F 1 Z X J 5 S U Q i I F Z h b H V l P S J z N z E 4 O G Z k Z m U t N 2 Z k M S 0 0 M z N j L W J j M G Q t M m Y 3 N m F k O T U x N m E 3 I i A v P j w v U 3 R h Y m x l R W 5 0 c m l l c z 4 8 L 0 l 0 Z W 0 + P E l 0 Z W 0 + P E l 0 Z W 1 M b 2 N h d G l v b j 4 8 S X R l b V R 5 c G U + R m 9 y b X V s Y T w v S X R l b V R 5 c G U + P E l 0 Z W 1 Q Y X R o P l N l Y 3 R p b 2 4 x L 2 R i X 0 V k d W N h d G l v b l B s Y W 5 z X y V E M C U 5 Q y V E M C U 5 R S V E M C U 5 R F 9 M a X N 0 X y V E M S U 4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h f J U Q w J U E x J U Q w J U J G J U Q x J T g w P C 9 J d G V t U G F 0 a D 4 8 L 0 l 0 Z W 1 M b 2 N h d G l v b j 4 8 U 3 R h Y m x l R W 5 0 c m l l c z 4 8 R W 5 0 c n k g V H l w Z T 0 i R m l s b E V u Y W J s Z W Q i I F Z h b H V l P S J s M S I g L z 4 8 R W 5 0 c n k g V H l w Z T 0 i R m l s b E V y c m 9 y Q 2 9 1 b n Q i I F Z h b H V l P S J s M C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U Y X J n Z X Q i I F Z h b H V l P S J z U l R f 0 J T Q v t C 6 0 Y P Q v N C 1 0 L 3 R g t C w 0 Y b Q u N G P X 0 h f 0 K H Q v 9 G A I i A v P j x F b n R y e S B U e X B l P S J G a W x s T G F z d F V w Z G F 0 Z W Q i I F Z h b H V l P S J k M j A y M y 0 w N y 0 w M l Q x O T o z M z o x N y 4 y N T Q w O D I y W i I g L z 4 8 R W 5 0 c n k g V H l w Z T 0 i U m V j b 3 Z l c n l U Y X J n Z X R T a G V l d C I g V m F s d W U 9 I n N k Y t C 1 0 K T Q s N C 6 0 Y P Q u 9 G C 0 L X R g l / Q n t C X X 9 C h 0 L / Q t d G G I i A v P j x F b n R y e S B U e X B l P S J S Z W N v d m V y e V R h c m d l d E N v b H V t b i I g V m F s d W U 9 I m w y N C I g L z 4 8 R W 5 0 c n k g V H l w Z T 0 i U m V j b 3 Z l c n l U Y X J n Z X R S b 3 c i I F Z h b H V l P S J s M i I g L z 4 8 R W 5 0 c n k g V H l w Z T 0 i U X V l c n l H c m 9 1 c E l E I i B W Y W x 1 Z T 0 i c z M y N T M 2 Z W J j L W U 2 M D E t N D c w M S 1 h M 2 U y L T h i M T Y 5 M m Q y O T R i N y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N v b H V t b l R 5 c G V z I i B W Y W x 1 Z T 0 i c 0 J n W U d C Z 1 l H Q m d Z R k J R V U Z C Z 0 1 E Q m d N R y I g L z 4 8 R W 5 0 c n k g V H l w Z T 0 i U X V l c n l J R C I g V m F s d W U 9 I n M z Y j c 0 M D g 5 Y i 1 j Z j R i L T R m N j E t O T B j Z S 1 l N j E 0 Z j k 5 N D A 0 O D c i I C 8 + P E V u d H J 5 I F R 5 c G U 9 I k Z p b G x D b 2 x 1 b W 5 O Y W 1 l c y I g V m F s d W U 9 I n N b J n F 1 b 3 Q 7 0 L D Q o 9 G H 0 L X Q s d C 9 0 L A g 0 L P Q v t C 0 0 L j Q v d C w O i Z x d W 9 0 O y w m c X V v d D v Q s N C h Z d C 8 0 L X R g d G C 0 Y r R g D o m c X V v d D s s J n F 1 b 3 Q 7 0 L / Q p N C w 0 L r R g 9 C 7 0 Y L Q t d G C O i Z x d W 9 0 O y w m c X V v d D v Q v 9 C a 0 L D R g t C 1 0 L T R g N C w O i Z x d W 9 0 O y w m c X V v d D v Q v 9 C Q 0 L r Q s N C 0 L i D Q t N C 7 0 Y r Q t t C 9 0 L 7 R g d G C O i Z x d W 9 0 O y w m c X V v d D v Q v 9 C g 0 Y r Q u i 4 g 0 L T Q u 9 G K 0 L b Q v d C + 0 Y H R g j o m c X V v d D s s J n F 1 b 3 Q 7 0 L / Q n 9 G A 0 L X Q v 9 C + 0 L T Q s N C y 0 L D R g t C 1 0 L s 6 J n F 1 b 3 Q 7 L C Z x d W 9 0 O 9 C w 0 J X Q k 9 C d O i Z x d W 9 0 O y w m c X V v d D v Q s d C 8 0 L v Q n t C X O i Z x d W 9 0 O y w m c X V v d D v Q s d C 8 0 L v Q k N C X O i Z x d W 9 0 O y w m c X V v d D v Q s d C 8 0 L v Q t N C e 0 J c 6 J n F 1 b 3 Q 7 L C Z x d W 9 0 O 9 C x 0 L z Q u 9 C 0 0 J D Q l z o m c X V v d D s s J n F 1 b 3 Q 7 0 L / Q l 9 C w 0 L H Q t d C 7 0 L X Q t t C 6 0 L A 6 J n F 1 b 3 Q 7 L C Z x d W 9 0 O 1 R l Y W N o Z X J f S U Q 6 J n F 1 b 3 Q 7 L C Z x d W 9 0 O 1 B l c n N v b k R h d G F f S U Q 6 J n F 1 b 3 Q 7 L C Z x d W 9 0 O 0 x E Q V B V c 2 V y T m F t Z T o m c X V v d D s s J n F 1 b 3 Q 7 a y Z x d W 9 0 O y w m c X V v d D v Q s N C k 0 L D Q u t G D 0 L v R g t C 1 0 Y I m c X V v d D t d I i A v P j x F b n R y e S B U e X B l P S J G a W x s R X J y b 3 J D b 2 R l I i B W Y W x 1 Z T 0 i c 1 V u a 2 5 v d 2 4 i I C 8 + P E V u d H J 5 I F R 5 c G U 9 I k Z p b G x D b 3 V u d C I g V m F s d W U 9 I m w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V F / Q l N C + 0 L r R g 9 C 8 0 L X Q v d G C 0 L D R h t C 4 0 Y 9 f S F / Q o d C / 0 Y A v Q X V 0 b 1 J l b W 9 2 Z W R D b 2 x 1 b W 5 z M S 5 7 0 L D Q o 9 G H 0 L X Q s d C 9 0 L A g 0 L P Q v t C 0 0 L j Q v d C w O i w w f S Z x d W 9 0 O y w m c X V v d D t T Z W N 0 a W 9 u M S 9 S V F / Q l N C + 0 L r R g 9 C 8 0 L X Q v d G C 0 L D R h t C 4 0 Y 9 f S F / Q o d C / 0 Y A v Q X V 0 b 1 J l b W 9 2 Z W R D b 2 x 1 b W 5 z M S 5 7 0 L D Q o W X Q v N C 1 0 Y H R g t G K 0 Y A 6 L D F 9 J n F 1 b 3 Q 7 L C Z x d W 9 0 O 1 N l Y 3 R p b 2 4 x L 1 J U X 9 C U 0 L 7 Q u t G D 0 L z Q t d C 9 0 Y L Q s N G G 0 L j R j 1 9 I X 9 C h 0 L / R g C 9 B d X R v U m V t b 3 Z l Z E N v b H V t b n M x L n v Q v 9 C k 0 L D Q u t G D 0 L v R g t C 1 0 Y I 6 L D J 9 J n F 1 b 3 Q 7 L C Z x d W 9 0 O 1 N l Y 3 R p b 2 4 x L 1 J U X 9 C U 0 L 7 Q u t G D 0 L z Q t d C 9 0 Y L Q s N G G 0 L j R j 1 9 I X 9 C h 0 L / R g C 9 B d X R v U m V t b 3 Z l Z E N v b H V t b n M x L n v Q v 9 C a 0 L D R g t C 1 0 L T R g N C w O i w z f S Z x d W 9 0 O y w m c X V v d D t T Z W N 0 a W 9 u M S 9 S V F / Q l N C + 0 L r R g 9 C 8 0 L X Q v d G C 0 L D R h t C 4 0 Y 9 f S F / Q o d C / 0 Y A v Q X V 0 b 1 J l b W 9 2 Z W R D b 2 x 1 b W 5 z M S 5 7 0 L / Q k N C 6 0 L D Q t C 4 g 0 L T Q u 9 G K 0 L b Q v d C + 0 Y H R g j o s N H 0 m c X V v d D s s J n F 1 b 3 Q 7 U 2 V j d G l v b j E v U l R f 0 J T Q v t C 6 0 Y P Q v N C 1 0 L 3 R g t C w 0 Y b Q u N G P X 0 h f 0 K H Q v 9 G A L 0 F 1 d G 9 S Z W 1 v d m V k Q 2 9 s d W 1 u c z E u e 9 C / 0 K D R i t C 6 L i D Q t N C 7 0 Y r Q t t C 9 0 L 7 R g d G C O i w 1 f S Z x d W 9 0 O y w m c X V v d D t T Z W N 0 a W 9 u M S 9 S V F / Q l N C + 0 L r R g 9 C 8 0 L X Q v d G C 0 L D R h t C 4 0 Y 9 f S F / Q o d C / 0 Y A v Q X V 0 b 1 J l b W 9 2 Z W R D b 2 x 1 b W 5 z M S 5 7 0 L / Q n 9 G A 0 L X Q v 9 C + 0 L T Q s N C y 0 L D R g t C 1 0 L s 6 L D Z 9 J n F 1 b 3 Q 7 L C Z x d W 9 0 O 1 N l Y 3 R p b 2 4 x L 1 J U X 9 C U 0 L 7 Q u t G D 0 L z Q t d C 9 0 Y L Q s N G G 0 L j R j 1 9 I X 9 C h 0 L / R g C 9 B d X R v U m V t b 3 Z l Z E N v b H V t b n M x L n v Q s N C V 0 J P Q n T o s N 3 0 m c X V v d D s s J n F 1 b 3 Q 7 U 2 V j d G l v b j E v U l R f 0 J T Q v t C 6 0 Y P Q v N C 1 0 L 3 R g t C w 0 Y b Q u N G P X 0 h f 0 K H Q v 9 G A L 0 F 1 d G 9 S Z W 1 v d m V k Q 2 9 s d W 1 u c z E u e 9 C x 0 L z Q u 9 C e 0 J c 6 L D h 9 J n F 1 b 3 Q 7 L C Z x d W 9 0 O 1 N l Y 3 R p b 2 4 x L 1 J U X 9 C U 0 L 7 Q u t G D 0 L z Q t d C 9 0 Y L Q s N G G 0 L j R j 1 9 I X 9 C h 0 L / R g C 9 B d X R v U m V t b 3 Z l Z E N v b H V t b n M x L n v Q s d C 8 0 L v Q k N C X O i w 5 f S Z x d W 9 0 O y w m c X V v d D t T Z W N 0 a W 9 u M S 9 S V F / Q l N C + 0 L r R g 9 C 8 0 L X Q v d G C 0 L D R h t C 4 0 Y 9 f S F / Q o d C / 0 Y A v Q X V 0 b 1 J l b W 9 2 Z W R D b 2 x 1 b W 5 z M S 5 7 0 L H Q v N C 7 0 L T Q n t C X O i w x M H 0 m c X V v d D s s J n F 1 b 3 Q 7 U 2 V j d G l v b j E v U l R f 0 J T Q v t C 6 0 Y P Q v N C 1 0 L 3 R g t C w 0 Y b Q u N G P X 0 h f 0 K H Q v 9 G A L 0 F 1 d G 9 S Z W 1 v d m V k Q 2 9 s d W 1 u c z E u e 9 C x 0 L z Q u 9 C 0 0 J D Q l z o s M T F 9 J n F 1 b 3 Q 7 L C Z x d W 9 0 O 1 N l Y 3 R p b 2 4 x L 1 J U X 9 C U 0 L 7 Q u t G D 0 L z Q t d C 9 0 Y L Q s N G G 0 L j R j 1 9 I X 9 C h 0 L / R g C 9 B d X R v U m V t b 3 Z l Z E N v b H V t b n M x L n v Q v 9 C X 0 L D Q s d C 1 0 L v Q t d C 2 0 L r Q s D o s M T J 9 J n F 1 b 3 Q 7 L C Z x d W 9 0 O 1 N l Y 3 R p b 2 4 x L 1 J U X 9 C U 0 L 7 Q u t G D 0 L z Q t d C 9 0 Y L Q s N G G 0 L j R j 1 9 I X 9 C h 0 L / R g C 9 B d X R v U m V t b 3 Z l Z E N v b H V t b n M x L n t U Z W F j a G V y X 0 l E O i w x M 3 0 m c X V v d D s s J n F 1 b 3 Q 7 U 2 V j d G l v b j E v U l R f 0 J T Q v t C 6 0 Y P Q v N C 1 0 L 3 R g t C w 0 Y b Q u N G P X 0 h f 0 K H Q v 9 G A L 0 F 1 d G 9 S Z W 1 v d m V k Q 2 9 s d W 1 u c z E u e 1 B l c n N v b k R h d G F f S U Q 6 L D E 0 f S Z x d W 9 0 O y w m c X V v d D t T Z W N 0 a W 9 u M S 9 S V F / Q l N C + 0 L r R g 9 C 8 0 L X Q v d G C 0 L D R h t C 4 0 Y 9 f S F / Q o d C / 0 Y A v Q X V 0 b 1 J l b W 9 2 Z W R D b 2 x 1 b W 5 z M S 5 7 T E R B U F V z Z X J O Y W 1 l O i w x N X 0 m c X V v d D s s J n F 1 b 3 Q 7 U 2 V j d G l v b j E v U l R f 0 J T Q v t C 6 0 Y P Q v N C 1 0 L 3 R g t C w 0 Y b Q u N G P X 0 h f 0 K H Q v 9 G A L 0 F 1 d G 9 S Z W 1 v d m V k Q 2 9 s d W 1 u c z E u e 2 s s M T Z 9 J n F 1 b 3 Q 7 L C Z x d W 9 0 O 1 N l Y 3 R p b 2 4 x L 1 J U X 9 C U 0 L 7 Q u t G D 0 L z Q t d C 9 0 Y L Q s N G G 0 L j R j 1 9 I X 9 C h 0 L / R g C 9 B d X R v U m V t b 3 Z l Z E N v b H V t b n M x L n v Q s N C k 0 L D Q u t G D 0 L v R g t C 1 0 Y I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S V F / Q l N C + 0 L r R g 9 C 8 0 L X Q v d G C 0 L D R h t C 4 0 Y 9 f S F / Q o d C / 0 Y A v Q X V 0 b 1 J l b W 9 2 Z W R D b 2 x 1 b W 5 z M S 5 7 0 L D Q o 9 G H 0 L X Q s d C 9 0 L A g 0 L P Q v t C 0 0 L j Q v d C w O i w w f S Z x d W 9 0 O y w m c X V v d D t T Z W N 0 a W 9 u M S 9 S V F / Q l N C + 0 L r R g 9 C 8 0 L X Q v d G C 0 L D R h t C 4 0 Y 9 f S F / Q o d C / 0 Y A v Q X V 0 b 1 J l b W 9 2 Z W R D b 2 x 1 b W 5 z M S 5 7 0 L D Q o W X Q v N C 1 0 Y H R g t G K 0 Y A 6 L D F 9 J n F 1 b 3 Q 7 L C Z x d W 9 0 O 1 N l Y 3 R p b 2 4 x L 1 J U X 9 C U 0 L 7 Q u t G D 0 L z Q t d C 9 0 Y L Q s N G G 0 L j R j 1 9 I X 9 C h 0 L / R g C 9 B d X R v U m V t b 3 Z l Z E N v b H V t b n M x L n v Q v 9 C k 0 L D Q u t G D 0 L v R g t C 1 0 Y I 6 L D J 9 J n F 1 b 3 Q 7 L C Z x d W 9 0 O 1 N l Y 3 R p b 2 4 x L 1 J U X 9 C U 0 L 7 Q u t G D 0 L z Q t d C 9 0 Y L Q s N G G 0 L j R j 1 9 I X 9 C h 0 L / R g C 9 B d X R v U m V t b 3 Z l Z E N v b H V t b n M x L n v Q v 9 C a 0 L D R g t C 1 0 L T R g N C w O i w z f S Z x d W 9 0 O y w m c X V v d D t T Z W N 0 a W 9 u M S 9 S V F / Q l N C + 0 L r R g 9 C 8 0 L X Q v d G C 0 L D R h t C 4 0 Y 9 f S F / Q o d C / 0 Y A v Q X V 0 b 1 J l b W 9 2 Z W R D b 2 x 1 b W 5 z M S 5 7 0 L / Q k N C 6 0 L D Q t C 4 g 0 L T Q u 9 G K 0 L b Q v d C + 0 Y H R g j o s N H 0 m c X V v d D s s J n F 1 b 3 Q 7 U 2 V j d G l v b j E v U l R f 0 J T Q v t C 6 0 Y P Q v N C 1 0 L 3 R g t C w 0 Y b Q u N G P X 0 h f 0 K H Q v 9 G A L 0 F 1 d G 9 S Z W 1 v d m V k Q 2 9 s d W 1 u c z E u e 9 C / 0 K D R i t C 6 L i D Q t N C 7 0 Y r Q t t C 9 0 L 7 R g d G C O i w 1 f S Z x d W 9 0 O y w m c X V v d D t T Z W N 0 a W 9 u M S 9 S V F / Q l N C + 0 L r R g 9 C 8 0 L X Q v d G C 0 L D R h t C 4 0 Y 9 f S F / Q o d C / 0 Y A v Q X V 0 b 1 J l b W 9 2 Z W R D b 2 x 1 b W 5 z M S 5 7 0 L / Q n 9 G A 0 L X Q v 9 C + 0 L T Q s N C y 0 L D R g t C 1 0 L s 6 L D Z 9 J n F 1 b 3 Q 7 L C Z x d W 9 0 O 1 N l Y 3 R p b 2 4 x L 1 J U X 9 C U 0 L 7 Q u t G D 0 L z Q t d C 9 0 Y L Q s N G G 0 L j R j 1 9 I X 9 C h 0 L / R g C 9 B d X R v U m V t b 3 Z l Z E N v b H V t b n M x L n v Q s N C V 0 J P Q n T o s N 3 0 m c X V v d D s s J n F 1 b 3 Q 7 U 2 V j d G l v b j E v U l R f 0 J T Q v t C 6 0 Y P Q v N C 1 0 L 3 R g t C w 0 Y b Q u N G P X 0 h f 0 K H Q v 9 G A L 0 F 1 d G 9 S Z W 1 v d m V k Q 2 9 s d W 1 u c z E u e 9 C x 0 L z Q u 9 C e 0 J c 6 L D h 9 J n F 1 b 3 Q 7 L C Z x d W 9 0 O 1 N l Y 3 R p b 2 4 x L 1 J U X 9 C U 0 L 7 Q u t G D 0 L z Q t d C 9 0 Y L Q s N G G 0 L j R j 1 9 I X 9 C h 0 L / R g C 9 B d X R v U m V t b 3 Z l Z E N v b H V t b n M x L n v Q s d C 8 0 L v Q k N C X O i w 5 f S Z x d W 9 0 O y w m c X V v d D t T Z W N 0 a W 9 u M S 9 S V F / Q l N C + 0 L r R g 9 C 8 0 L X Q v d G C 0 L D R h t C 4 0 Y 9 f S F / Q o d C / 0 Y A v Q X V 0 b 1 J l b W 9 2 Z W R D b 2 x 1 b W 5 z M S 5 7 0 L H Q v N C 7 0 L T Q n t C X O i w x M H 0 m c X V v d D s s J n F 1 b 3 Q 7 U 2 V j d G l v b j E v U l R f 0 J T Q v t C 6 0 Y P Q v N C 1 0 L 3 R g t C w 0 Y b Q u N G P X 0 h f 0 K H Q v 9 G A L 0 F 1 d G 9 S Z W 1 v d m V k Q 2 9 s d W 1 u c z E u e 9 C x 0 L z Q u 9 C 0 0 J D Q l z o s M T F 9 J n F 1 b 3 Q 7 L C Z x d W 9 0 O 1 N l Y 3 R p b 2 4 x L 1 J U X 9 C U 0 L 7 Q u t G D 0 L z Q t d C 9 0 Y L Q s N G G 0 L j R j 1 9 I X 9 C h 0 L / R g C 9 B d X R v U m V t b 3 Z l Z E N v b H V t b n M x L n v Q v 9 C X 0 L D Q s d C 1 0 L v Q t d C 2 0 L r Q s D o s M T J 9 J n F 1 b 3 Q 7 L C Z x d W 9 0 O 1 N l Y 3 R p b 2 4 x L 1 J U X 9 C U 0 L 7 Q u t G D 0 L z Q t d C 9 0 Y L Q s N G G 0 L j R j 1 9 I X 9 C h 0 L / R g C 9 B d X R v U m V t b 3 Z l Z E N v b H V t b n M x L n t U Z W F j a G V y X 0 l E O i w x M 3 0 m c X V v d D s s J n F 1 b 3 Q 7 U 2 V j d G l v b j E v U l R f 0 J T Q v t C 6 0 Y P Q v N C 1 0 L 3 R g t C w 0 Y b Q u N G P X 0 h f 0 K H Q v 9 G A L 0 F 1 d G 9 S Z W 1 v d m V k Q 2 9 s d W 1 u c z E u e 1 B l c n N v b k R h d G F f S U Q 6 L D E 0 f S Z x d W 9 0 O y w m c X V v d D t T Z W N 0 a W 9 u M S 9 S V F / Q l N C + 0 L r R g 9 C 8 0 L X Q v d G C 0 L D R h t C 4 0 Y 9 f S F / Q o d C / 0 Y A v Q X V 0 b 1 J l b W 9 2 Z W R D b 2 x 1 b W 5 z M S 5 7 T E R B U F V z Z X J O Y W 1 l O i w x N X 0 m c X V v d D s s J n F 1 b 3 Q 7 U 2 V j d G l v b j E v U l R f 0 J T Q v t C 6 0 Y P Q v N C 1 0 L 3 R g t C w 0 Y b Q u N G P X 0 h f 0 K H Q v 9 G A L 0 F 1 d G 9 S Z W 1 v d m V k Q 2 9 s d W 1 u c z E u e 2 s s M T Z 9 J n F 1 b 3 Q 7 L C Z x d W 9 0 O 1 N l Y 3 R p b 2 4 x L 1 J U X 9 C U 0 L 7 Q u t G D 0 L z Q t d C 9 0 Y L Q s N G G 0 L j R j 1 9 I X 9 C h 0 L / R g C 9 B d X R v U m V t b 3 Z l Z E N v b H V t b n M x L n v Q s N C k 0 L D Q u t G D 0 L v R g t C 1 0 Y I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V F 8 l R D A l O T Q l R D A l Q k U l R D A l Q k E l R D E l O D M l R D A l Q k M l R D A l Q j U l R D A l Q k Q l R D E l O D I l R D A l Q j A l R D E l O D Y l R D A l Q j g l R D E l O E Z f S F 8 l R D A l Q T E l R D A l Q k Y l R D E l O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h f J U Q w J U E x J U Q w J U J G J U Q x J T g w L 1 J U X y V E M C U 5 N C V E M C V C R S V E M C V C Q S V E M S U 4 M y V E M C V C Q y V E M C V C N S V E M C V C R C V E M S U 4 M i V E M C V C M C V E M S U 4 N i V E M C V C O C V E M S U 4 R l 9 I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h f J U Q w J U E x J U Q w J U J G J U Q x J T g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h f J U Q w J U E x J U Q w J U J G J U Q x J T g w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V F 8 l R D A l O T Q l R D A l Q k U l R D A l Q k E l R D E l O D M l R D A l Q k M l R D A l Q j U l R D A l Q k Q l R D E l O D I l R D A l Q j A l R D E l O D Y l R D A l Q j g l R D E l O E Z f S F 8 l R D A l Q T E l R D A l Q k Y l R D E l O D A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U X y V E M C U 5 N C V E M C V C R S V E M C V C Q S V E M S U 4 M y V E M C V C Q y V E M C V C N S V E M C V C R C V E M S U 4 M i V E M C V C M C V E M S U 4 N i V E M C V C O C V E M S U 4 R l 9 I X y V E M C V B M S V E M C V C R i V E M S U 4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I l R D A l Q j A l R D A l Q j E l R D A l Q k I l R D A l Q j g l R D E l O D Y l R D A l Q j g 8 L 0 l 0 Z W 1 Q Y X R o P j w v S X R l b U x v Y 2 F 0 a W 9 u P j x T d G F i b G V F b n R y a W V z P j x F b n R y e S B U e X B l P S J G a W x s Z W R D b 2 1 w b G V 0 Z V J l c 3 V s d F R v V 2 9 y a 3 N o Z W V 0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M z I 1 M z Z l Y m M t Z T Y w M S 0 0 N z A x L W E z Z T I t O G I x N j k y Z D I 5 N G I 3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g t M T Z U M T g 6 N D I 6 M j M u N T M x N z Y 5 M V o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R d W V y e U l E I i B W Y W x 1 Z T 0 i c 2 E x Z D M 4 O D Q x L W V m M z c t N G U 5 M i 1 h M T I 3 L T M z N m F m M 2 U w Y z N j N C I g L z 4 8 L 1 N 0 Y W J s Z U V u d H J p Z X M + P C 9 J d G V t P j x J d G V t P j x J d G V t T G 9 j Y X R p b 2 4 + P E l 0 Z W 1 U e X B l P k Z v c m 1 1 b G E 8 L 0 l 0 Z W 1 U e X B l P j x J d G V t U G F 0 a D 5 T Z W N 0 a W 9 u M S 9 k Y i V E M C V C N S V E M C V B M i V E M C V C M C V E M C V C M S V E M C V C Q i V E M C V C O C V E M S U 4 N i V E M C V C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F Z H V j Y X R p b 2 5 Q b G F u c 1 8 l R D A l O U M l R D A l O U U l R D A l O U R f T G l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x I i A v P j x F b n R y e S B U e X B l P S J G a W x s V G F y Z 2 V 0 I i B W Y W x 1 Z T 0 i c 2 R i X 0 V k d W N h d G l v b l B s Y W 5 z X 9 C c 0 J 7 Q n V 9 M a X N 0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R 3 J v d X B J R C I g V m F s d W U 9 I n M 3 Y m M 2 M 2 E x N i 1 m Z W U 5 L T R h M 2 I t Y m U 0 Z S 1 j O T Z j M T k 1 O G N h Y j c i I C 8 + P E V u d H J 5 I F R 5 c G U 9 I k Z p b G x U b 0 R h d G F N b 2 R l b E V u Y W J s Z W Q i I F Z h b H V l P S J s M C I g L z 4 8 R W 5 0 c n k g V H l w Z T 0 i R m l s b E 9 i a m V j d F R 5 c G U i I F Z h b H V l P S J z V G F i b G U i I C 8 + P E V u d H J 5 I F R 5 c G U 9 I k Z p b G x D b 3 V u d C I g V m F s d W U 9 I m w x N z k i I C 8 + P E V u d H J 5 I F R 5 c G U 9 I k Z p b G x M Y X N 0 V X B k Y X R l Z C I g V m F s d W U 9 I m Q y M D I z L T A 2 L T I 3 V D A 5 O j E 0 O j U y L j g w N D E x N D F a I i A v P j x F b n R y e S B U e X B l P S J G a W x s Q 2 9 s d W 1 u V H l w Z X M i I F Z h b H V l P S J z Q m d Z R 0 J n W U d C Z 1 l H I i A v P j x F b n R y e S B U e X B l P S J G a W x s V G F y Z 2 V 0 T m F t Z U N 1 c 3 R v b W l 6 Z W Q i I F Z h b H V l P S J s M S I g L z 4 8 R W 5 0 c n k g V H l w Z T 0 i U X V l c n l J R C I g V m F s d W U 9 I n M x M W J l N 2 R k M y 1 h Z j c w L T Q 0 O D Q t O T F h O C 0 1 M z E w Y T k y N z B h Z G Y i I C 8 + P E V u d H J 5 I F R 5 c G U 9 I k Z p b G x D b 2 x 1 b W 5 O Y W 1 l c y I g V m F s d W U 9 I n N b J n F 1 b 3 Q 7 Z X I u 0 K T Q s N C 6 0 Y P Q u 9 G C 0 L X R g i Z x d W 9 0 O y w m c X V v d D v Q u t C + 0 L Q m c X V v d D s s J n F 1 b 3 Q 7 Q 2 9 k Z V N w Z W N p Y W x p d H l O Y W 1 l J n F 1 b 3 Q 7 L C Z x d W 9 0 O 9 C w 0 K H Q v 9 C 1 0 Y Y m c X V v d D s s J n F 1 b 3 Q 7 a W 5 p d G l h b F B h c n R J Z C Z x d W 9 0 O y w m c X V v d D t l b n R p d H l u Y W 1 l J n F 1 b 3 Q 7 L C Z x d W 9 0 O 0 N v Z G V f T U 9 O J n F 1 b 3 Q 7 L C Z x d W 9 0 O 0 V k d W N h d G l v b m F s R m 9 y b U 5 h b W U m c X V v d D s s J n F 1 b 3 Q 7 R W R 1 Y 2 F 0 a W 9 u Y W x E Z W d y Z W V O Y W 1 l T U 9 O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l 9 F Z H V j Y X R p b 2 5 Q b G F u c 1 / Q n N C e 0 J 1 f T G l z d C 9 B d X R v U m V t b 3 Z l Z E N v b H V t b n M x L n t l c i 7 Q p N C w 0 L r R g 9 C 7 0 Y L Q t d G C L D B 9 J n F 1 b 3 Q 7 L C Z x d W 9 0 O 1 N l Y 3 R p b 2 4 x L 2 R i X 0 V k d W N h d G l v b l B s Y W 5 z X 9 C c 0 J 7 Q n V 9 M a X N 0 L 0 F 1 d G 9 S Z W 1 v d m V k Q 2 9 s d W 1 u c z E u e 9 C 6 0 L 7 Q t C w x f S Z x d W 9 0 O y w m c X V v d D t T Z W N 0 a W 9 u M S 9 k Y l 9 F Z H V j Y X R p b 2 5 Q b G F u c 1 / Q n N C e 0 J 1 f T G l z d C 9 B d X R v U m V t b 3 Z l Z E N v b H V t b n M x L n t D b 2 R l U 3 B l Y 2 l h b G l 0 e U 5 h b W U s M n 0 m c X V v d D s s J n F 1 b 3 Q 7 U 2 V j d G l v b j E v Z G J f R W R 1 Y 2 F 0 a W 9 u U G x h b n N f 0 J z Q n t C d X 0 x p c 3 Q v Q X V 0 b 1 J l b W 9 2 Z W R D b 2 x 1 b W 5 z M S 5 7 0 L D Q o d C / 0 L X R h i w z f S Z x d W 9 0 O y w m c X V v d D t T Z W N 0 a W 9 u M S 9 k Y l 9 F Z H V j Y X R p b 2 5 Q b G F u c 1 / Q n N C e 0 J 1 f T G l z d C 9 B d X R v U m V t b 3 Z l Z E N v b H V t b n M x L n t p b m l 0 a W F s U G F y d E l k L D R 9 J n F 1 b 3 Q 7 L C Z x d W 9 0 O 1 N l Y 3 R p b 2 4 x L 2 R i X 0 V k d W N h d G l v b l B s Y W 5 z X 9 C c 0 J 7 Q n V 9 M a X N 0 L 0 F 1 d G 9 S Z W 1 v d m V k Q 2 9 s d W 1 u c z E u e 2 V u d G l 0 e W 5 h b W U s N X 0 m c X V v d D s s J n F 1 b 3 Q 7 U 2 V j d G l v b j E v Z G J f R W R 1 Y 2 F 0 a W 9 u U G x h b n N f 0 J z Q n t C d X 0 x p c 3 Q v Q X V 0 b 1 J l b W 9 2 Z W R D b 2 x 1 b W 5 z M S 5 7 Q 2 9 k Z V 9 N T 0 4 s N n 0 m c X V v d D s s J n F 1 b 3 Q 7 U 2 V j d G l v b j E v Z G J f R W R 1 Y 2 F 0 a W 9 u U G x h b n N f 0 J z Q n t C d X 0 x p c 3 Q v Q X V 0 b 1 J l b W 9 2 Z W R D b 2 x 1 b W 5 z M S 5 7 R W R 1 Y 2 F 0 a W 9 u Y W x G b 3 J t T m F t Z S w 3 f S Z x d W 9 0 O y w m c X V v d D t T Z W N 0 a W 9 u M S 9 k Y l 9 F Z H V j Y X R p b 2 5 Q b G F u c 1 / Q n N C e 0 J 1 f T G l z d C 9 B d X R v U m V t b 3 Z l Z E N v b H V t b n M x L n t F Z H V j Y X R p b 2 5 h b E R l Z 3 J l Z U 5 h b W V N T 0 4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Z G J f R W R 1 Y 2 F 0 a W 9 u U G x h b n N f 0 J z Q n t C d X 0 x p c 3 Q v Q X V 0 b 1 J l b W 9 2 Z W R D b 2 x 1 b W 5 z M S 5 7 Z X I u 0 K T Q s N C 6 0 Y P Q u 9 G C 0 L X R g i w w f S Z x d W 9 0 O y w m c X V v d D t T Z W N 0 a W 9 u M S 9 k Y l 9 F Z H V j Y X R p b 2 5 Q b G F u c 1 / Q n N C e 0 J 1 f T G l z d C 9 B d X R v U m V t b 3 Z l Z E N v b H V t b n M x L n v Q u t C + 0 L Q s M X 0 m c X V v d D s s J n F 1 b 3 Q 7 U 2 V j d G l v b j E v Z G J f R W R 1 Y 2 F 0 a W 9 u U G x h b n N f 0 J z Q n t C d X 0 x p c 3 Q v Q X V 0 b 1 J l b W 9 2 Z W R D b 2 x 1 b W 5 z M S 5 7 Q 2 9 k Z V N w Z W N p Y W x p d H l O Y W 1 l L D J 9 J n F 1 b 3 Q 7 L C Z x d W 9 0 O 1 N l Y 3 R p b 2 4 x L 2 R i X 0 V k d W N h d G l v b l B s Y W 5 z X 9 C c 0 J 7 Q n V 9 M a X N 0 L 0 F 1 d G 9 S Z W 1 v d m V k Q 2 9 s d W 1 u c z E u e 9 C w 0 K H Q v 9 C 1 0 Y Y s M 3 0 m c X V v d D s s J n F 1 b 3 Q 7 U 2 V j d G l v b j E v Z G J f R W R 1 Y 2 F 0 a W 9 u U G x h b n N f 0 J z Q n t C d X 0 x p c 3 Q v Q X V 0 b 1 J l b W 9 2 Z W R D b 2 x 1 b W 5 z M S 5 7 a W 5 p d G l h b F B h c n R J Z C w 0 f S Z x d W 9 0 O y w m c X V v d D t T Z W N 0 a W 9 u M S 9 k Y l 9 F Z H V j Y X R p b 2 5 Q b G F u c 1 / Q n N C e 0 J 1 f T G l z d C 9 B d X R v U m V t b 3 Z l Z E N v b H V t b n M x L n t l b n R p d H l u Y W 1 l L D V 9 J n F 1 b 3 Q 7 L C Z x d W 9 0 O 1 N l Y 3 R p b 2 4 x L 2 R i X 0 V k d W N h d G l v b l B s Y W 5 z X 9 C c 0 J 7 Q n V 9 M a X N 0 L 0 F 1 d G 9 S Z W 1 v d m V k Q 2 9 s d W 1 u c z E u e 0 N v Z G V f T U 9 O L D Z 9 J n F 1 b 3 Q 7 L C Z x d W 9 0 O 1 N l Y 3 R p b 2 4 x L 2 R i X 0 V k d W N h d G l v b l B s Y W 5 z X 9 C c 0 J 7 Q n V 9 M a X N 0 L 0 F 1 d G 9 S Z W 1 v d m V k Q 2 9 s d W 1 u c z E u e 0 V k d W N h d G l v b m F s R m 9 y b U 5 h b W U s N 3 0 m c X V v d D s s J n F 1 b 3 Q 7 U 2 V j d G l v b j E v Z G J f R W R 1 Y 2 F 0 a W 9 u U G x h b n N f 0 J z Q n t C d X 0 x p c 3 Q v Q X V 0 b 1 J l b W 9 2 Z W R D b 2 x 1 b W 5 z M S 5 7 R W R 1 Y 2 F 0 a W 9 u Y W x E Z W d y Z W V O Y W 1 l T U 9 O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Y l 9 F Z H V j Y X R p b 2 5 Q b G F u c 1 8 l R D A l O U M l R D A l O U U l R D A l O U R f T G l z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F Z H V j Y X R p b 2 5 Q b G F u c 1 8 l R D A l O U M l R D A l O U U l R D A l O U R f T G l z d C 9 k Y l 9 F Z H V j Y X R p b 2 5 Q b G F u c 1 8 l R D A l O U M l R D A l O U U l R D A l O U R f T G l z d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0 V k d W N h d G l v b l B s Y W 5 z X y V E M C U 5 Q y V E M C U 5 R S V E M C U 5 R F 9 M a X N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R W R 1 Y 2 F 0 a W 9 u U G x h b n N f J U Q w J T l D J U Q w J T l F J U Q w J T l E X 0 x p c 3 Q v c 0 Z 1 b G x O Y W 1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J f R W R 1 Y 2 F 0 a W 9 u U G x h b n N f J U Q w J T l D J U Q w J T l F J U Q w J T l E X 0 x p c 3 R f J U Q x J T g y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0 V k d W N h d G l v b l B s Y W 5 z X y V E M C U 5 Q y V E M C U 5 R S V E M C U 5 R F 9 M a X N 0 X y V E M S U 4 M j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F Z H V j Y X R p b 2 5 Q b G F u c 1 8 l R D A l O U M l R D A l O U U l R D A l O U R f T G l z d F 8 l R D E l O D I x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l 9 F Z H V j Y X R p b 2 5 Q b G F u c 1 8 l R D A l O U M l R D A l O U U l R D A l O U R f T G l z d F 8 l R D E l O D I x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N v c n R l Z C U y M F J v d 3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H c m 9 1 c G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0 V 4 c G F u Z G V k J T I w J U Q w J T k 0 J U Q w J U I w J U Q w J U J E J U Q w J U J E J U Q w J U I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I 1 J U Q w J U E 0 J U Q w J U I w J U Q w J U J B J U Q x J T g z J U Q w J U J C J U Q x J T g y J U Q w J U I 1 J U Q x J T g y X y V E M C U 5 R S V E M C U 5 N 1 8 l R D A l Q T E l R D A l Q k Y l R D A l Q j U l R D E l O D Z f J U Q w J T l F J U Q w J U I x J U Q x J T g 5 J U Q w J U J F J U Q w J U E x J U Q w J U J G J U Q w J U I 1 J U Q x J T g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l 8 l R D A l O U U l R D A l Q j E l R D E l O D k l R D A l Q k U l R D A l Q T E l R D A l Q k Y l R D A l Q j U l R D E l O D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V B M S V E M C V C R i V E M C V C N S V E M S U 4 N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h f J U Q w J U E x J U Q w J U J G J U Q x J T g w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l 8 l R D A l O U U l R D A l Q j E l R D E l O D k l R D A l Q k U l R D A l Q T E l R D A l Q k Y l R D A l Q j U l R D E l O D Y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V B M S V E M C V C R i V E M C V C N S V E M S U 4 N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l 8 l R D A l O U U l R D A l Q j E l R D E l O D k l R D A l Q k U l R D A l Q T E l R D A l Q k Y l R D A l Q j U l R D E l O D Y v R X h w Y W 5 k Z W Q l M j B S V F 8 l R D A l O T Q l R D A l Q k U l R D A l Q k E l R D E l O D M l R D A l Q k M l R D A l Q j U l R D A l Q k Q l R D E l O D I l R D A l Q j A l R D E l O D Y l R D A l Q j g l R D E l O E Z f S F 8 l R D A l Q T E l R D A l Q k Y l R D E l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X y V E M C U 5 R S V E M C V C M S V E M S U 4 O S V E M C V C R S V E M C V B M S V E M C V C R i V E M C V C N S V E M S U 4 N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N C V E M C V C M C V E M C V C Q S V E M S U 4 M y V E M C V C Q i V E M S U 4 M i V E M C V C N S V E M S U 4 M j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N 2 J j N j N h M T Y t Z m V l O S 0 0 Y T N i L W J l N G U t Y z k 2 Y z E 5 N T h j Y W I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0 Z 1 b m N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C 0 y N F Q w O T o y O T o x N y 4 5 M z Y 1 N z Y w W i I g L z 4 8 R W 5 0 c n k g V H l w Z T 0 i R m l s b F N 0 Y X R 1 c y I g V m F s d W U 9 I n N D b 2 1 w b G V 0 Z S I g L z 4 8 R W 5 0 c n k g V H l w Z T 0 i T m F 2 a W d h d G l v b l N 0 Z X B O Y W 1 l I i B W Y W x 1 Z T 0 i c 0 5 h d m l n Y X R p b 2 4 i I C 8 + P E V u d H J 5 I F R 5 c G U 9 I l F 1 Z X J 5 S U Q i I F Z h b H V l P S J z M W M w N T F i M W U t M D k 5 Y S 0 0 Y j h i L W I 5 Y z Y t O G M z M T E 5 Z D U 5 N j A 3 I i A v P j w v U 3 R h Y m x l R W 5 0 c m l l c z 4 8 L 0 l 0 Z W 0 + P E l 0 Z W 0 + P E l 0 Z W 1 M b 2 N h d G l v b j 4 8 S X R l b V R 5 c G U + R m 9 y b X V s Y T w v S X R l b V R 5 c G U + P E l 0 Z W 1 Q Y X R o P l N l Y 3 R p b 2 4 x L y V E M C V B N C V E M C V C M C V E M C V C Q S V E M S U 4 M y V E M C V C Q i V E M S U 4 M i V E M C V C N S V E M S U 4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j A l R D E l O D I l R D A l Q j U l R D A l Q j Q l R D E l O D A l R D A l Q j A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d i Y z Y z Y T E 2 L W Z l Z T k t N G E z Y i 1 i Z T R l L W M 5 N m M x O T U 4 Y 2 F i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G d W 5 j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g t M j R U M D k 6 M j k 6 M T c u O T U 2 N T U y N V o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R d W V y e U l E I i B W Y W x 1 Z T 0 i c 2 E 3 Z D V l Y z A x L W Q 3 N j E t N G E 4 M i 0 4 M m U 3 L T Q 4 Z T d k Z j l j Z D k 2 Y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j A l R D E l O D I l R D A l Q j U l R D A l Q j Q l R D E l O D A l R D A l Q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J h Y 2 I x Y z g 5 L T g 4 Z W Y t N G Y 1 O S 0 4 N j Q 3 L W N l Y j J j Z j F j N 2 U 5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I 2 V D I x O j I 1 O j I 2 L j E 5 O T E z N z V a I i A v P j x F b n R y e S B U e X B l P S J G a W x s U 3 R h d H V z I i B W Y W x 1 Z T 0 i c 0 N v b X B s Z X R l I i A v P j x F b n R y e S B U e X B l P S J R d W V y e U l E I i B W Y W x 1 Z T 0 i c z A w Z W Y w Z D g x L W E x M 2 E t N D V l M S 0 5 N m Y 2 L T Y 2 O W N i O W J i Y 2 I w N i I g L z 4 8 L 1 N 0 Y W J s Z U V u d H J p Z X M + P C 9 J d G V t P j x J d G V t P j x J d G V t T G 9 j Y X R p b 2 4 + P E l 0 Z W 1 U e X B l P k Z v c m 1 1 b G E 8 L 0 l 0 Z W 1 U e X B l P j x J d G V t U G F 0 a D 5 T Z W N 0 a W 9 u M S 9 F Z H V j Y X R p b 2 5 Q b G F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k Y m 9 f R W R 1 Y 2 F 0 a W 9 u U G x h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0 V 4 c G F u Z G V k J T I w R W R 1 Y 2 F 0 a W 9 u Y W x E Z W d y Z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R X h w Y W 5 k Z W Q l M j B F Z H V j Y X R p b 2 5 h b E Z v c m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R X h w Y W 5 k Z W Q l M j B F Z H V j Y X R p b 2 5 h b F B s Y W 5 T Z W 1 l c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F e H B h b m R l Z C U y M E V k d W N h d G l v b l B s Y W 5 z Q 2 F 0 Z W d v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0 V 4 c G F u Z G V k J T I w R W R 1 Y 2 F 0 a W 9 u U G x h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F e H B h b m R l Z C U y M E V k d W N h d G l v b l B s Y W 5 z Q 2 F 0 Z W d v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F e H B h b m R l Z C U y M E N h d G V n b 3 J p Z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R X h w Y W 5 k Z W Q l M j B D Y X R l Z 2 9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R X h w Y W 5 k Z W Q l M j B F Z H V j Y X R p b 2 5 Q b G F u S G V h Z G l u Z 0 l u Z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F e H B h b m R l Z C U y M E 1 P T k N v Z G V T c G V j a W F s a X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F e H B h b m R l Z C U y M E V k d W N h d G l v b l B s Y W 5 T a G l m d F N l b W V z d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D Y W x j d W x h d G V k J T I w T W 9 k d W x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S W 5 z Z X J 0 Z W Q l M j B T d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b 3 J k Z X J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U m V v c m R l c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F e H B h b m R l Z C U y M E V k d W N h d G l v b l B s Y W 5 F b n R y Y W 5 j Z V R 5 c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2 F 0 a W 9 u U G x h b n M v U 2 9 y d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Y X R p b 2 5 Q b G F u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P C 9 J d G V t U G F 0 a D 4 8 L 0 l 0 Z W 1 M b 2 N h d G l v b j 4 8 U 3 R h Y m x l R W 5 0 c m l l c z 4 8 R W 5 0 c n k g V H l w Z T 0 i U X V l c n l H c m 9 1 c E l E I i B W Y W x 1 Z T 0 i c 2 J h Y 2 I x Y z g 5 L T g 4 Z W Y t N G Y 1 O S 0 4 N j Q 3 L W N l Y j J j Z j F j N 2 U 5 M i I g L z 4 8 R W 5 0 c n k g V H l w Z T 0 i R m l s b E V y c m 9 y Q 2 9 1 b n Q i I F Z h b H V l P S J s M C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Y 2 9 2 Z X J 5 V G F y Z 2 V 0 U 2 h l Z X Q i I F Z h b H V l P S J z R W R 1 Y 1 B s Y W 5 z X 9 C 6 0 L 7 Q t N C d 0 J D Q p t C Y 0 J R f 0 K H Q v 9 C 1 0 Y Y i I C 8 + P E V u d H J 5 I F R 5 c G U 9 I l J l Y 2 9 2 Z X J 5 V G F y Z 2 V 0 Q 2 9 s d W 1 u I i B W Y W x 1 Z T 0 i b D M i I C 8 + P E V u d H J 5 I F R 5 c G U 9 I l J l Y 2 9 2 Z X J 5 V G F y Z 2 V 0 U m 9 3 I i B W Y W x 1 Z T 0 i b D Y i I C 8 + P E V u d H J 5 I F R 5 c G U 9 I k Z p b G x U Y X J n Z X Q i I F Z h b H V l P S J z R W R 1 Y 1 B s Y W 5 z X 9 C 6 0 L 7 Q t N C d 0 J D Q p t C Y 0 J R f 0 K H Q v 9 C 1 0 Y Y i I C 8 + P E V u d H J 5 I F R 5 c G U 9 I k Z p b G x D b 2 x 1 b W 5 U e X B l c y I g V m F s d W U 9 I n N B d 0 l H Q m d Z R 0 J n W U d C Z 1 l H Q m c 9 P S I g L z 4 8 R W 5 0 c n k g V H l w Z T 0 i U X V l c n l J R C I g V m F s d W U 9 I n M 0 M D U 2 Z T h j Y y 1 i Z T F i L T Q x M T E t O D I 2 Z C 0 x Z W U y Z D I 0 Y T h i N m U i I C 8 + P E V u d H J 5 I F R 5 c G U 9 I k Z p b G x F b m F i b G V k I i B W Y W x 1 Z T 0 i b D E i I C 8 + P E V u d H J 5 I F R 5 c G U 9 I k Z p b G x D b 2 x 1 b W 5 O Y W 1 l c y I g V m F s d W U 9 I n N b J n F 1 b 3 Q 7 4 o S W J n F 1 b 3 Q 7 L C Z x d W 9 0 O 2 l u a X R p Y W x Q Y X J 0 S W Q m c X V v d D s s J n F 1 b 3 Q 7 0 K H Q v 9 C 1 0 Y b Q u N C w 0 L v Q v d C + 0 Y H R g i Z x d W 9 0 O y w m c X V v d D v Q u t C + 0 L Q m c X V v d D s s J n F 1 b 3 Q 7 0 L D Q p N C w 0 L r R g 9 C 7 0 Y L Q t d G C J n F 1 b 3 Q 7 L C Z x d W 9 0 O 9 C e 0 J r Q o S Z x d W 9 0 O y w m c X V v d D v Q v t C k 0 L 7 R g N C 8 0 L A m c X V v d D s s J n F 1 b 3 Q 7 0 L D Q o d C / 0 L X R h i Z x d W 9 0 O y w m c X V v d D t D b 2 R l X 0 1 P T i Z x d W 9 0 O y w m c X V v d D v Q s N C k 0 L D Q u t C h 0 L X R h i Z x d W 9 0 O y w m c X V v d D v Q u t C + 0 L T Q o d C / 0 L X R h t C U 0 K A m c X V v d D s s J n F 1 b 3 Q 7 0 L r Q v t C 0 0 J D Q o d C / 0 L X R h t C U 0 K A m c X V v d D s s J n F 1 b 3 Q 7 0 L r Q v t C 0 0 J 3 Q k N C m 0 J j Q l C Z x d W 9 0 O 1 0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D g t M T V U M T E 6 M j E 6 M D g u M T E 5 M z M 5 M l o i I C 8 + P E V u d H J 5 I F R 5 c G U 9 I k Z p b G x T d G F 0 d X M i I F Z h b H V l P S J z Q 2 9 t c G x l d G U i I C 8 + P E V u d H J 5 I F R 5 c G U 9 I k Z p b G x D b 3 V u d C I g V m F s d W U 9 I m w x O T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R 1 Y 1 B s Y W 5 z X 9 C 6 0 L 7 Q t N C d 0 J D Q p t C Y 0 J R f 0 K H Q v 9 C 1 0 Y Y v Q X V 0 b 1 J l b W 9 2 Z W R D b 2 x 1 b W 5 z M S 5 7 4 o S W L D B 9 J n F 1 b 3 Q 7 L C Z x d W 9 0 O 1 N l Y 3 R p b 2 4 x L 0 V k d W N Q b G F u c 1 / Q u t C + 0 L T Q n d C Q 0 K b Q m N C U X 9 C h 0 L / Q t d G G L 0 F 1 d G 9 S Z W 1 v d m V k Q 2 9 s d W 1 u c z E u e 2 l u a X R p Y W x Q Y X J 0 S W Q s M X 0 m c X V v d D s s J n F 1 b 3 Q 7 U 2 V j d G l v b j E v R W R 1 Y 1 B s Y W 5 z X 9 C 6 0 L 7 Q t N C d 0 J D Q p t C Y 0 J R f 0 K H Q v 9 C 1 0 Y Y v Q X V 0 b 1 J l b W 9 2 Z W R D b 2 x 1 b W 5 z M S 5 7 0 K H Q v 9 C 1 0 Y b Q u N C w 0 L v Q v d C + 0 Y H R g i w y f S Z x d W 9 0 O y w m c X V v d D t T Z W N 0 a W 9 u M S 9 F Z H V j U G x h b n N f 0 L r Q v t C 0 0 J 3 Q k N C m 0 J j Q l F / Q o d C / 0 L X R h i 9 B d X R v U m V t b 3 Z l Z E N v b H V t b n M x L n v Q u t C + 0 L Q s M 3 0 m c X V v d D s s J n F 1 b 3 Q 7 U 2 V j d G l v b j E v R W R 1 Y 1 B s Y W 5 z X 9 C 6 0 L 7 Q t N C d 0 J D Q p t C Y 0 J R f 0 K H Q v 9 C 1 0 Y Y v Q X V 0 b 1 J l b W 9 2 Z W R D b 2 x 1 b W 5 z M S 5 7 0 L D Q p N C w 0 L r R g 9 C 7 0 Y L Q t d G C L D R 9 J n F 1 b 3 Q 7 L C Z x d W 9 0 O 1 N l Y 3 R p b 2 4 x L 0 V k d W N Q b G F u c 1 / Q u t C + 0 L T Q n d C Q 0 K b Q m N C U X 9 C h 0 L / Q t d G G L 0 F 1 d G 9 S Z W 1 v d m V k Q 2 9 s d W 1 u c z E u e 9 C e 0 J r Q o S w 1 f S Z x d W 9 0 O y w m c X V v d D t T Z W N 0 a W 9 u M S 9 F Z H V j U G x h b n N f 0 L r Q v t C 0 0 J 3 Q k N C m 0 J j Q l F / Q o d C / 0 L X R h i 9 B d X R v U m V t b 3 Z l Z E N v b H V t b n M x L n v Q v t C k 0 L 7 R g N C 8 0 L A s N n 0 m c X V v d D s s J n F 1 b 3 Q 7 U 2 V j d G l v b j E v R W R 1 Y 1 B s Y W 5 z X 9 C 6 0 L 7 Q t N C d 0 J D Q p t C Y 0 J R f 0 K H Q v 9 C 1 0 Y Y v Q X V 0 b 1 J l b W 9 2 Z W R D b 2 x 1 b W 5 z M S 5 7 0 L D Q o d C / 0 L X R h i w 3 f S Z x d W 9 0 O y w m c X V v d D t T Z W N 0 a W 9 u M S 9 F Z H V j U G x h b n N f 0 L r Q v t C 0 0 J 3 Q k N C m 0 J j Q l F / Q o d C / 0 L X R h i 9 B d X R v U m V t b 3 Z l Z E N v b H V t b n M x L n t D b 2 R l X 0 1 P T i w 4 f S Z x d W 9 0 O y w m c X V v d D t T Z W N 0 a W 9 u M S 9 F Z H V j U G x h b n N f 0 L r Q v t C 0 0 J 3 Q k N C m 0 J j Q l F / Q o d C / 0 L X R h i 9 B d X R v U m V t b 3 Z l Z E N v b H V t b n M x L n v Q s N C k 0 L D Q u t C h 0 L X R h i w 5 f S Z x d W 9 0 O y w m c X V v d D t T Z W N 0 a W 9 u M S 9 F Z H V j U G x h b n N f 0 L r Q v t C 0 0 J 3 Q k N C m 0 J j Q l F / Q o d C / 0 L X R h i 9 B d X R v U m V t b 3 Z l Z E N v b H V t b n M x L n v Q u t C + 0 L T Q o d C / 0 L X R h t C U 0 K A s M T B 9 J n F 1 b 3 Q 7 L C Z x d W 9 0 O 1 N l Y 3 R p b 2 4 x L 0 V k d W N Q b G F u c 1 / Q u t C + 0 L T Q n d C Q 0 K b Q m N C U X 9 C h 0 L / Q t d G G L 0 F 1 d G 9 S Z W 1 v d m V k Q 2 9 s d W 1 u c z E u e 9 C 6 0 L 7 Q t N C Q 0 K H Q v 9 C 1 0 Y b Q l N C g L D E x f S Z x d W 9 0 O y w m c X V v d D t T Z W N 0 a W 9 u M S 9 F Z H V j U G x h b n N f 0 L r Q v t C 0 0 J 3 Q k N C m 0 J j Q l F / Q o d C / 0 L X R h i 9 B d X R v U m V t b 3 Z l Z E N v b H V t b n M x L n v Q u t C + 0 L T Q n d C Q 0 K b Q m N C U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R W R 1 Y 1 B s Y W 5 z X 9 C 6 0 L 7 Q t N C d 0 J D Q p t C Y 0 J R f 0 K H Q v 9 C 1 0 Y Y v Q X V 0 b 1 J l b W 9 2 Z W R D b 2 x 1 b W 5 z M S 5 7 4 o S W L D B 9 J n F 1 b 3 Q 7 L C Z x d W 9 0 O 1 N l Y 3 R p b 2 4 x L 0 V k d W N Q b G F u c 1 / Q u t C + 0 L T Q n d C Q 0 K b Q m N C U X 9 C h 0 L / Q t d G G L 0 F 1 d G 9 S Z W 1 v d m V k Q 2 9 s d W 1 u c z E u e 2 l u a X R p Y W x Q Y X J 0 S W Q s M X 0 m c X V v d D s s J n F 1 b 3 Q 7 U 2 V j d G l v b j E v R W R 1 Y 1 B s Y W 5 z X 9 C 6 0 L 7 Q t N C d 0 J D Q p t C Y 0 J R f 0 K H Q v 9 C 1 0 Y Y v Q X V 0 b 1 J l b W 9 2 Z W R D b 2 x 1 b W 5 z M S 5 7 0 K H Q v 9 C 1 0 Y b Q u N C w 0 L v Q v d C + 0 Y H R g i w y f S Z x d W 9 0 O y w m c X V v d D t T Z W N 0 a W 9 u M S 9 F Z H V j U G x h b n N f 0 L r Q v t C 0 0 J 3 Q k N C m 0 J j Q l F / Q o d C / 0 L X R h i 9 B d X R v U m V t b 3 Z l Z E N v b H V t b n M x L n v Q u t C + 0 L Q s M 3 0 m c X V v d D s s J n F 1 b 3 Q 7 U 2 V j d G l v b j E v R W R 1 Y 1 B s Y W 5 z X 9 C 6 0 L 7 Q t N C d 0 J D Q p t C Y 0 J R f 0 K H Q v 9 C 1 0 Y Y v Q X V 0 b 1 J l b W 9 2 Z W R D b 2 x 1 b W 5 z M S 5 7 0 L D Q p N C w 0 L r R g 9 C 7 0 Y L Q t d G C L D R 9 J n F 1 b 3 Q 7 L C Z x d W 9 0 O 1 N l Y 3 R p b 2 4 x L 0 V k d W N Q b G F u c 1 / Q u t C + 0 L T Q n d C Q 0 K b Q m N C U X 9 C h 0 L / Q t d G G L 0 F 1 d G 9 S Z W 1 v d m V k Q 2 9 s d W 1 u c z E u e 9 C e 0 J r Q o S w 1 f S Z x d W 9 0 O y w m c X V v d D t T Z W N 0 a W 9 u M S 9 F Z H V j U G x h b n N f 0 L r Q v t C 0 0 J 3 Q k N C m 0 J j Q l F / Q o d C / 0 L X R h i 9 B d X R v U m V t b 3 Z l Z E N v b H V t b n M x L n v Q v t C k 0 L 7 R g N C 8 0 L A s N n 0 m c X V v d D s s J n F 1 b 3 Q 7 U 2 V j d G l v b j E v R W R 1 Y 1 B s Y W 5 z X 9 C 6 0 L 7 Q t N C d 0 J D Q p t C Y 0 J R f 0 K H Q v 9 C 1 0 Y Y v Q X V 0 b 1 J l b W 9 2 Z W R D b 2 x 1 b W 5 z M S 5 7 0 L D Q o d C / 0 L X R h i w 3 f S Z x d W 9 0 O y w m c X V v d D t T Z W N 0 a W 9 u M S 9 F Z H V j U G x h b n N f 0 L r Q v t C 0 0 J 3 Q k N C m 0 J j Q l F / Q o d C / 0 L X R h i 9 B d X R v U m V t b 3 Z l Z E N v b H V t b n M x L n t D b 2 R l X 0 1 P T i w 4 f S Z x d W 9 0 O y w m c X V v d D t T Z W N 0 a W 9 u M S 9 F Z H V j U G x h b n N f 0 L r Q v t C 0 0 J 3 Q k N C m 0 J j Q l F / Q o d C / 0 L X R h i 9 B d X R v U m V t b 3 Z l Z E N v b H V t b n M x L n v Q s N C k 0 L D Q u t C h 0 L X R h i w 5 f S Z x d W 9 0 O y w m c X V v d D t T Z W N 0 a W 9 u M S 9 F Z H V j U G x h b n N f 0 L r Q v t C 0 0 J 3 Q k N C m 0 J j Q l F / Q o d C / 0 L X R h i 9 B d X R v U m V t b 3 Z l Z E N v b H V t b n M x L n v Q u t C + 0 L T Q o d C / 0 L X R h t C U 0 K A s M T B 9 J n F 1 b 3 Q 7 L C Z x d W 9 0 O 1 N l Y 3 R p b 2 4 x L 0 V k d W N Q b G F u c 1 / Q u t C + 0 L T Q n d C Q 0 K b Q m N C U X 9 C h 0 L / Q t d G G L 0 F 1 d G 9 S Z W 1 v d m V k Q 2 9 s d W 1 u c z E u e 9 C 6 0 L 7 Q t N C Q 0 K H Q v 9 C 1 0 Y b Q l N C g L D E x f S Z x d W 9 0 O y w m c X V v d D t T Z W N 0 a W 9 u M S 9 F Z H V j U G x h b n N f 0 L r Q v t C 0 0 J 3 Q k N C m 0 J j Q l F / Q o d C / 0 L X R h i 9 B d X R v U m V t b 3 Z l Z E N v b H V t b n M x L n v Q u t C + 0 L T Q n d C Q 0 K b Q m N C U L D E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1 B s Y W 5 z X y V E M C V C Q S V E M C V C R S V E M C V C N C V E M C U 5 R C V E M C U 5 M C V E M C V B N i V E M C U 5 O C V E M C U 5 N F 8 l R D A l Q T E l R D A l Q k Y l R D A l Q j U l R D E l O D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h d G l v b l B s Y W 5 z L 0 Z p b H R l c m V k J T I w U m 9 3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1 B s Y W 5 z X y V E M C V C Q S V E M C V C R S V E M C V C N C V E M C U 5 R C V E M C U 5 M C V E M C V B N i V E M C U 5 O C V E M C U 5 N F 8 l R D A l Q T E l R D A l Q k Y l R D A l Q j U l R D E l O D Y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1 B s Y W 5 z X y V E M C V C Q S V E M C V C R S V E M C V C N C V E M C U 5 R C V E M C U 5 M C V E M C V B N i V E M C U 5 O C V E M C U 5 N F 8 l R D A l Q T E l R D A l Q k Y l R D A l Q j U l R D E l O D Y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0 1 l c m d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J b n N l c n R l Z C U y M E 1 l c m d l Z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S Z W 1 v d m V k J T I w T 3 R o Z X I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R 1 Y 1 B s Y W 5 z X y V E M C V C Q S V E M C V C R S V E M C V C N C V E M C U 5 R C V E M C U 5 M C V E M C V B N i V E M C U 5 O C V E M C U 5 N F 8 l R D A l Q T E l R D A l Q k Y l R D A l Q j U l R D E l O D Y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9 U Y W J s Z X M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N j O D M 2 Y m R k L T M 3 Y j Y t N D I z Y y 1 i N W Y 1 L W U 5 Y j h l Z W I y O T M y Z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A 2 V D E 5 O j M z O j U w L j A 4 O T M 3 N z R a I i A v P j x F b n R y e S B U e X B l P S J G a W x s U 3 R h d H V z I i B W Y W x 1 Z T 0 i c 0 N v b X B s Z X R l I i A v P j x F b n R y e S B U e X B l P S J R d W V y e U l E I i B W Y W x 1 Z T 0 i c z N i Z T Z m M G M 3 L W R l M D g t N G U 5 M y 0 4 Z j E 2 L T d l Y j I y Z m I 0 Z T g 5 M y I g L z 4 8 L 1 N 0 Y W J s Z U V u d H J p Z X M + P C 9 J d G V t P j x J d G V t P j x J d G V t T G 9 j Y X R p b 2 4 + P E l 0 Z W 1 U e X B l P k Z v c m 1 1 b G E 8 L 0 l 0 Z W 1 U e X B l P j x J d G V t U G F 0 a D 5 T Z W N 0 a W 9 u M S 9 p b 1 R h Y m x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1 R h Y m x l c 1 8 l R D A l O T E l R D A l O U Z f M V 8 l R D A l Q T M l R D E l O D c l R D A l Q j U l R D A l Q j E l R D A l O T Q l R D A l Q j g l R D E l O D E l R D E l O D Y 8 L 0 l 0 Z W 1 Q Y X R o P j w v S X R l b U x v Y 2 F 0 a W 9 u P j x T d G F i b G V F b n R y a W V z P j x F b n R y e S B U e X B l P S J R d W V y e U d y b 3 V w S U Q i I F Z h b H V l P S J z Y 2 M 4 M z Z i Z G Q t M z d i N i 0 0 M j N j L W I 1 Z j U t Z T l i O G V l Y j I 5 M z J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A 2 V D E 5 O j M z O j U w L j E x M T M x N T F a I i A v P j x F b n R y e S B U e X B l P S J G a W x s U 3 R h d H V z I i B W Y W x 1 Z T 0 i c 0 N v b X B s Z X R l I i A v P j x F b n R y e S B U e X B l P S J R d W V y e U l E I i B W Y W x 1 Z T 0 i c 2 U 3 Z T I x Z m F k L W I y Z j Y t N D A y O S 0 4 Y W Z j L T U y N z Z l O T J j Y T V j M y I g L z 4 8 L 1 N 0 Y W J s Z U V u d H J p Z X M + P C 9 J d G V t P j x J d G V t P j x J d G V t T G 9 j Y X R p b 2 4 + P E l 0 Z W 1 U e X B l P k Z v c m 1 1 b G E 8 L 0 l 0 Z W 1 U e X B l P j x J d G V t U G F 0 a D 5 T Z W N 0 a W 9 u M S 9 p b 1 R h Y m x l c 1 8 l R D A l O T E l R D A l O U Z f M V 8 l R D A l Q T M l R D E l O D c l R D A l Q j U l R D A l Q j E l R D A l O T Q l R D A l Q j g l R D E l O D E l R D E l O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9 U Y W J s Z X N f J U Q w J T k x J U Q w J T l G X z F f J U Q w J U E z J U Q x J T g 3 J U Q w J U I 1 J U Q w J U I x J U Q w J T k 0 J U Q w J U I 4 J U Q x J T g x J U Q x J T g 2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v V G F i b G V z X y V E M C U 5 M S V E M C U 5 R l 8 x X y V E M C V B M y V E M S U 4 N y V E M C V C N S V E M C V C M S V E M C U 5 N C V E M C V C O C V E M S U 4 M S V E M S U 4 N i 9 F e H B h b m R l Z C U y M E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1 R h Y m x l c 1 8 l R D A l O T E l R D A l O U Z f M V 8 l R D A l Q T M l R D E l O D c l R D A l Q j U l R D A l Q j E l R D A l O T Q l R D A l Q j g l R D E l O D E l R D E l O D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k d W N Q b G F u c 1 8 l R D A l Q k E l R D A l Q k U l R D A l Q j Q l R D A l O U Q l R D A l O T A l R D A l Q T Y l R D A l O T g l R D A l O T R f J U Q w J U E x J U Q w J U J G J U Q w J U I 1 J U Q x J T g 2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c t M D J U M T k 6 M z M 6 M z E u O D Q z N D c z N 1 o i I C 8 + P E V u d H J 5 I F R 5 c G U 9 I k J 1 Z m Z l c k 5 l e H R S Z W Z y Z X N o I i B W Y W x 1 Z T 0 i b D A i I C 8 + P E V u d H J 5 I F R 5 c G U 9 I k Z p b G x U Y X J n Z X Q i I F Z h b H V l P S J z V G F i b G V f 0 J 3 Q k N C m 0 J j Q l F / Q n t C x 0 L 7 Q s d G J 0 L X Q v V / Q v t G C 0 Y f Q t d G C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R 3 J v d X B J R C I g V m F s d W U 9 I n N i Y W N i M W M 4 O S 0 4 O G V m L T R m N T k t O D Y 0 N y 1 j Z W I y Y 2 Y x Y z d l O T I i I C 8 + P E V u d H J 5 I F R 5 c G U 9 I l F 1 Z X J 5 S U Q i I F Z h b H V l P S J z M j l j Y W R i M z E t Y T U w M i 0 0 O G M 0 L W I y O T Q t N T J j N W V k M T A 3 Z j l i I i A v P j x F b n R y e S B U e X B l P S J G a W x s Q 2 9 s d W 1 u V H l w Z X M i I F Z h b H V l P S J z Q m d V R E J n W U R C Z 1 l H Q m d Z R 0 J n W U d C U V V G Q l F V R k J R V U d B d 0 1 H I i A v P j x F b n R y e S B U e X B l P S J G a W x s Q 2 9 1 b n Q i I F Z h b H V l P S J s M C I g L z 4 8 R W 5 0 c n k g V H l w Z T 0 i R m l s b E N v b H V t b k 5 h b W V z I i B W Y W x 1 Z T 0 i c 1 s m c X V v d D v Q s N C k 0 L D Q u t G D 0 L v R g t C 1 0 Y I m c X V v d D s s J n F 1 b 3 Q 7 0 Y P Q v 9 G A 0 K f Q s N G B 0 L 7 Q s t C 1 J n F 1 b 3 Q 7 L C Z x d W 9 0 O 9 C 6 0 L 7 Q t N C d 0 J D Q p t C Y 0 J Q u 0 K H Q v 9 C 1 0 Y Y m c X V v d D s s J n F 1 b 3 Q 7 0 L 3 Q s N G G 0 L j Q t N C h 0 L / Q t d G G 0 L j Q s N C 7 0 L 3 Q v t G B 0 Y I m c X V v d D s s J n F 1 b 3 Q 7 X H U w M D N j f F x 1 M D A z Z S Z x d W 9 0 O y w m c X V v d D t U Z W F j a G V y T G 9 0 T n V t Y m V y O i Z x d W 9 0 O y w m c X V v d D v Q v 9 C f 0 Y D Q t d C / 0 L 7 Q t N C w 0 L L Q s N G C 0 L X Q u z o m c X V v d D s s J n F 1 b 3 Q 7 0 L D Q l d C T 0 J 0 6 J n F 1 b 3 Q 7 L C Z x d W 9 0 O 1 x 1 M D A z Y 3 x c d T A w M 2 U u M S Z x d W 9 0 O y w m c X V v d D v Q s N C j 0 Y f Q t d C x 0 L 3 Q s C D Q s 9 C + 0 L T Q u N C 9 0 L A 6 J n F 1 b 3 Q 7 L C Z x d W 9 0 O 9 C w 0 K F l 0 L z Q t d G B 0 Y L R i t G A O i Z x d W 9 0 O y w m c X V v d D v Q v 9 C k 0 L D Q u t G D 0 L v R g t C 1 0 Y I 6 J n F 1 b 3 Q 7 L C Z x d W 9 0 O 9 C / 0 J r Q s N G C 0 L X Q t N G A 0 L A 6 J n F 1 b 3 Q 7 L C Z x d W 9 0 O 9 C / 0 J D Q u t C w 0 L Q u I N C 0 0 L v R i t C 2 0 L 3 Q v t G B 0 Y I 6 J n F 1 b 3 Q 7 L C Z x d W 9 0 O 9 C / 0 K D R i t C 6 L i D Q t N C 7 0 Y r Q t t C 9 0 L 7 R g d G C O i Z x d W 9 0 O y w m c X V v d D v Q s d C 8 0 L v Q n t C X O i Z x d W 9 0 O y w m c X V v d D v Q s d C 8 0 L v Q k N C X O i Z x d W 9 0 O y w m c X V v d D v Q s d C 8 0 L v Q t N C e 0 J c 6 J n F 1 b 3 Q 7 L C Z x d W 9 0 O 9 C x 0 L z Q u 9 C 0 0 J D Q l z o m c X V v d D s s J n F 1 b 3 Q 7 0 L H Q s N C 6 0 K P Q l z o m c X V v d D s s J n F 1 b 3 Q 7 0 L H Q s N C 6 0 J D Q t z o m c X V v d D s s J n F 1 b 3 Q 7 0 L z Q s N C z 0 K P Q l z o m c X V v d D s s J n F 1 b 3 Q 7 0 L z Q s N C z 0 J D Q l z o m c X V v d D s s J n F 1 b 3 Q 7 0 L / Q l 9 C w 0 L H Q t d C 7 0 L X Q t t C 6 0 L A 6 J n F 1 b 3 Q 7 L C Z x d W 9 0 O 1 R l Y W N o Z X J f S U Q 6 J n F 1 b 3 Q 7 L C Z x d W 9 0 O 1 B l c n N v b k R h d G F f S U Q 6 J n F 1 b 3 Q 7 L C Z x d W 9 0 O 0 x E Q V B V c 2 V y T m F t Z T o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d C Q 0 K b Q m N C U X 9 C e 0 L H Q v t C x 0 Y n Q t d C 9 X 9 C + 0 Y L R h 9 C 1 0 Y I v Q X V 0 b 1 J l b W 9 2 Z W R D b 2 x 1 b W 5 z M S 5 7 0 L D Q p N C w 0 L r R g 9 C 7 0 Y L Q t d G C L D B 9 J n F 1 b 3 Q 7 L C Z x d W 9 0 O 1 N l Y 3 R p b 2 4 x L 9 C d 0 J D Q p t C Y 0 J R f 0 J 7 Q s d C + 0 L H R i d C 1 0 L 1 f 0 L 7 R g t G H 0 L X R g i 9 B d X R v U m V t b 3 Z l Z E N v b H V t b n M x L n v R g 9 C / 0 Y D Q p 9 C w 0 Y H Q v t C y 0 L U s M X 0 m c X V v d D s s J n F 1 b 3 Q 7 U 2 V j d G l v b j E v 0 J 3 Q k N C m 0 J j Q l F / Q n t C x 0 L 7 Q s d G J 0 L X Q v V / Q v t G C 0 Y f Q t d G C L 0 F 1 d G 9 S Z W 1 v d m V k Q 2 9 s d W 1 u c z E u e 9 C 6 0 L 7 Q t N C d 0 J D Q p t C Y 0 J Q u 0 K H Q v 9 C 1 0 Y Y s M n 0 m c X V v d D s s J n F 1 b 3 Q 7 U 2 V j d G l v b j E v 0 J 3 Q k N C m 0 J j Q l F / Q n t C x 0 L 7 Q s d G J 0 L X Q v V / Q v t G C 0 Y f Q t d G C L 0 F 1 d G 9 S Z W 1 v d m V k Q 2 9 s d W 1 u c z E u e 9 C 9 0 L D R h t C 4 0 L T Q o d C / 0 L X R h t C 4 0 L D Q u 9 C 9 0 L 7 R g d G C L D N 9 J n F 1 b 3 Q 7 L C Z x d W 9 0 O 1 N l Y 3 R p b 2 4 x L 9 C d 0 J D Q p t C Y 0 J R f 0 J 7 Q s d C + 0 L H R i d C 1 0 L 1 f 0 L 7 R g t G H 0 L X R g i 9 B d X R v U m V t b 3 Z l Z E N v b H V t b n M x L n t c d T A w M 2 N 8 X H U w M D N l L D R 9 J n F 1 b 3 Q 7 L C Z x d W 9 0 O 1 N l Y 3 R p b 2 4 x L 9 C d 0 J D Q p t C Y 0 J R f 0 J 7 Q s d C + 0 L H R i d C 1 0 L 1 f 0 L 7 R g t G H 0 L X R g i 9 B d X R v U m V t b 3 Z l Z E N v b H V t b n M x L n t U Z W F j a G V y T G 9 0 T n V t Y m V y O i w 1 f S Z x d W 9 0 O y w m c X V v d D t T Z W N 0 a W 9 u M S / Q n d C Q 0 K b Q m N C U X 9 C e 0 L H Q v t C x 0 Y n Q t d C 9 X 9 C + 0 Y L R h 9 C 1 0 Y I v Q X V 0 b 1 J l b W 9 2 Z W R D b 2 x 1 b W 5 z M S 5 7 0 L / Q n 9 G A 0 L X Q v 9 C + 0 L T Q s N C y 0 L D R g t C 1 0 L s 6 L D Z 9 J n F 1 b 3 Q 7 L C Z x d W 9 0 O 1 N l Y 3 R p b 2 4 x L 9 C d 0 J D Q p t C Y 0 J R f 0 J 7 Q s d C + 0 L H R i d C 1 0 L 1 f 0 L 7 R g t G H 0 L X R g i 9 B d X R v U m V t b 3 Z l Z E N v b H V t b n M x L n v Q s N C V 0 J P Q n T o s N 3 0 m c X V v d D s s J n F 1 b 3 Q 7 U 2 V j d G l v b j E v 0 J 3 Q k N C m 0 J j Q l F / Q n t C x 0 L 7 Q s d G J 0 L X Q v V / Q v t G C 0 Y f Q t d G C L 0 F 1 d G 9 S Z W 1 v d m V k Q 2 9 s d W 1 u c z E u e 1 x 1 M D A z Y 3 x c d T A w M 2 U u M S w 4 f S Z x d W 9 0 O y w m c X V v d D t T Z W N 0 a W 9 u M S / Q n d C Q 0 K b Q m N C U X 9 C e 0 L H Q v t C x 0 Y n Q t d C 9 X 9 C + 0 Y L R h 9 C 1 0 Y I v Q X V 0 b 1 J l b W 9 2 Z W R D b 2 x 1 b W 5 z M S 5 7 0 L D Q o 9 G H 0 L X Q s d C 9 0 L A g 0 L P Q v t C 0 0 L j Q v d C w O i w 5 f S Z x d W 9 0 O y w m c X V v d D t T Z W N 0 a W 9 u M S / Q n d C Q 0 K b Q m N C U X 9 C e 0 L H Q v t C x 0 Y n Q t d C 9 X 9 C + 0 Y L R h 9 C 1 0 Y I v Q X V 0 b 1 J l b W 9 2 Z W R D b 2 x 1 b W 5 z M S 5 7 0 L D Q o W X Q v N C 1 0 Y H R g t G K 0 Y A 6 L D E w f S Z x d W 9 0 O y w m c X V v d D t T Z W N 0 a W 9 u M S / Q n d C Q 0 K b Q m N C U X 9 C e 0 L H Q v t C x 0 Y n Q t d C 9 X 9 C + 0 Y L R h 9 C 1 0 Y I v Q X V 0 b 1 J l b W 9 2 Z W R D b 2 x 1 b W 5 z M S 5 7 0 L / Q p N C w 0 L r R g 9 C 7 0 Y L Q t d G C O i w x M X 0 m c X V v d D s s J n F 1 b 3 Q 7 U 2 V j d G l v b j E v 0 J 3 Q k N C m 0 J j Q l F / Q n t C x 0 L 7 Q s d G J 0 L X Q v V / Q v t G C 0 Y f Q t d G C L 0 F 1 d G 9 S Z W 1 v d m V k Q 2 9 s d W 1 u c z E u e 9 C / 0 J r Q s N G C 0 L X Q t N G A 0 L A 6 L D E y f S Z x d W 9 0 O y w m c X V v d D t T Z W N 0 a W 9 u M S / Q n d C Q 0 K b Q m N C U X 9 C e 0 L H Q v t C x 0 Y n Q t d C 9 X 9 C + 0 Y L R h 9 C 1 0 Y I v Q X V 0 b 1 J l b W 9 2 Z W R D b 2 x 1 b W 5 z M S 5 7 0 L / Q k N C 6 0 L D Q t C 4 g 0 L T Q u 9 G K 0 L b Q v d C + 0 Y H R g j o s M T N 9 J n F 1 b 3 Q 7 L C Z x d W 9 0 O 1 N l Y 3 R p b 2 4 x L 9 C d 0 J D Q p t C Y 0 J R f 0 J 7 Q s d C + 0 L H R i d C 1 0 L 1 f 0 L 7 R g t G H 0 L X R g i 9 B d X R v U m V t b 3 Z l Z E N v b H V t b n M x L n v Q v 9 C g 0 Y r Q u i 4 g 0 L T Q u 9 G K 0 L b Q v d C + 0 Y H R g j o s M T R 9 J n F 1 b 3 Q 7 L C Z x d W 9 0 O 1 N l Y 3 R p b 2 4 x L 9 C d 0 J D Q p t C Y 0 J R f 0 J 7 Q s d C + 0 L H R i d C 1 0 L 1 f 0 L 7 R g t G H 0 L X R g i 9 B d X R v U m V t b 3 Z l Z E N v b H V t b n M x L n v Q s d C 8 0 L v Q n t C X O i w x N X 0 m c X V v d D s s J n F 1 b 3 Q 7 U 2 V j d G l v b j E v 0 J 3 Q k N C m 0 J j Q l F / Q n t C x 0 L 7 Q s d G J 0 L X Q v V / Q v t G C 0 Y f Q t d G C L 0 F 1 d G 9 S Z W 1 v d m V k Q 2 9 s d W 1 u c z E u e 9 C x 0 L z Q u 9 C Q 0 J c 6 L D E 2 f S Z x d W 9 0 O y w m c X V v d D t T Z W N 0 a W 9 u M S / Q n d C Q 0 K b Q m N C U X 9 C e 0 L H Q v t C x 0 Y n Q t d C 9 X 9 C + 0 Y L R h 9 C 1 0 Y I v Q X V 0 b 1 J l b W 9 2 Z W R D b 2 x 1 b W 5 z M S 5 7 0 L H Q v N C 7 0 L T Q n t C X O i w x N 3 0 m c X V v d D s s J n F 1 b 3 Q 7 U 2 V j d G l v b j E v 0 J 3 Q k N C m 0 J j Q l F / Q n t C x 0 L 7 Q s d G J 0 L X Q v V / Q v t G C 0 Y f Q t d G C L 0 F 1 d G 9 S Z W 1 v d m V k Q 2 9 s d W 1 u c z E u e 9 C x 0 L z Q u 9 C 0 0 J D Q l z o s M T h 9 J n F 1 b 3 Q 7 L C Z x d W 9 0 O 1 N l Y 3 R p b 2 4 x L 9 C d 0 J D Q p t C Y 0 J R f 0 J 7 Q s d C + 0 L H R i d C 1 0 L 1 f 0 L 7 R g t G H 0 L X R g i 9 B d X R v U m V t b 3 Z l Z E N v b H V t b n M x L n v Q s d C w 0 L r Q o 9 C X O i w x O X 0 m c X V v d D s s J n F 1 b 3 Q 7 U 2 V j d G l v b j E v 0 J 3 Q k N C m 0 J j Q l F / Q n t C x 0 L 7 Q s d G J 0 L X Q v V / Q v t G C 0 Y f Q t d G C L 0 F 1 d G 9 S Z W 1 v d m V k Q 2 9 s d W 1 u c z E u e 9 C x 0 L D Q u t C Q 0 L c 6 L D I w f S Z x d W 9 0 O y w m c X V v d D t T Z W N 0 a W 9 u M S / Q n d C Q 0 K b Q m N C U X 9 C e 0 L H Q v t C x 0 Y n Q t d C 9 X 9 C + 0 Y L R h 9 C 1 0 Y I v Q X V 0 b 1 J l b W 9 2 Z W R D b 2 x 1 b W 5 z M S 5 7 0 L z Q s N C z 0 K P Q l z o s M j F 9 J n F 1 b 3 Q 7 L C Z x d W 9 0 O 1 N l Y 3 R p b 2 4 x L 9 C d 0 J D Q p t C Y 0 J R f 0 J 7 Q s d C + 0 L H R i d C 1 0 L 1 f 0 L 7 R g t G H 0 L X R g i 9 B d X R v U m V t b 3 Z l Z E N v b H V t b n M x L n v Q v N C w 0 L P Q k N C X O i w y M n 0 m c X V v d D s s J n F 1 b 3 Q 7 U 2 V j d G l v b j E v 0 J 3 Q k N C m 0 J j Q l F / Q n t C x 0 L 7 Q s d G J 0 L X Q v V / Q v t G C 0 Y f Q t d G C L 0 F 1 d G 9 S Z W 1 v d m V k Q 2 9 s d W 1 u c z E u e 9 C / 0 J f Q s N C x 0 L X Q u 9 C 1 0 L b Q u t C w O i w y M 3 0 m c X V v d D s s J n F 1 b 3 Q 7 U 2 V j d G l v b j E v 0 J 3 Q k N C m 0 J j Q l F / Q n t C x 0 L 7 Q s d G J 0 L X Q v V / Q v t G C 0 Y f Q t d G C L 0 F 1 d G 9 S Z W 1 v d m V k Q 2 9 s d W 1 u c z E u e 1 R l Y W N o Z X J f S U Q 6 L D I 0 f S Z x d W 9 0 O y w m c X V v d D t T Z W N 0 a W 9 u M S / Q n d C Q 0 K b Q m N C U X 9 C e 0 L H Q v t C x 0 Y n Q t d C 9 X 9 C + 0 Y L R h 9 C 1 0 Y I v Q X V 0 b 1 J l b W 9 2 Z W R D b 2 x 1 b W 5 z M S 5 7 U G V y c 2 9 u R G F 0 Y V 9 J R D o s M j V 9 J n F 1 b 3 Q 7 L C Z x d W 9 0 O 1 N l Y 3 R p b 2 4 x L 9 C d 0 J D Q p t C Y 0 J R f 0 J 7 Q s d C + 0 L H R i d C 1 0 L 1 f 0 L 7 R g t G H 0 L X R g i 9 B d X R v U m V t b 3 Z l Z E N v b H V t b n M x L n t M R E F Q V X N l c k 5 h b W U 6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0 J 3 Q k N C m 0 J j Q l F / Q n t C x 0 L 7 Q s d G J 0 L X Q v V / Q v t G C 0 Y f Q t d G C L 0 F 1 d G 9 S Z W 1 v d m V k Q 2 9 s d W 1 u c z E u e 9 C w 0 K T Q s N C 6 0 Y P Q u 9 G C 0 L X R g i w w f S Z x d W 9 0 O y w m c X V v d D t T Z W N 0 a W 9 u M S / Q n d C Q 0 K b Q m N C U X 9 C e 0 L H Q v t C x 0 Y n Q t d C 9 X 9 C + 0 Y L R h 9 C 1 0 Y I v Q X V 0 b 1 J l b W 9 2 Z W R D b 2 x 1 b W 5 z M S 5 7 0 Y P Q v 9 G A 0 K f Q s N G B 0 L 7 Q s t C 1 L D F 9 J n F 1 b 3 Q 7 L C Z x d W 9 0 O 1 N l Y 3 R p b 2 4 x L 9 C d 0 J D Q p t C Y 0 J R f 0 J 7 Q s d C + 0 L H R i d C 1 0 L 1 f 0 L 7 R g t G H 0 L X R g i 9 B d X R v U m V t b 3 Z l Z E N v b H V t b n M x L n v Q u t C + 0 L T Q n d C Q 0 K b Q m N C U L t C h 0 L / Q t d G G L D J 9 J n F 1 b 3 Q 7 L C Z x d W 9 0 O 1 N l Y 3 R p b 2 4 x L 9 C d 0 J D Q p t C Y 0 J R f 0 J 7 Q s d C + 0 L H R i d C 1 0 L 1 f 0 L 7 R g t G H 0 L X R g i 9 B d X R v U m V t b 3 Z l Z E N v b H V t b n M x L n v Q v d C w 0 Y b Q u N C 0 0 K H Q v 9 C 1 0 Y b Q u N C w 0 L v Q v d C + 0 Y H R g i w z f S Z x d W 9 0 O y w m c X V v d D t T Z W N 0 a W 9 u M S / Q n d C Q 0 K b Q m N C U X 9 C e 0 L H Q v t C x 0 Y n Q t d C 9 X 9 C + 0 Y L R h 9 C 1 0 Y I v Q X V 0 b 1 J l b W 9 2 Z W R D b 2 x 1 b W 5 z M S 5 7 X H U w M D N j f F x 1 M D A z Z S w 0 f S Z x d W 9 0 O y w m c X V v d D t T Z W N 0 a W 9 u M S / Q n d C Q 0 K b Q m N C U X 9 C e 0 L H Q v t C x 0 Y n Q t d C 9 X 9 C + 0 Y L R h 9 C 1 0 Y I v Q X V 0 b 1 J l b W 9 2 Z W R D b 2 x 1 b W 5 z M S 5 7 V G V h Y 2 h l c k x v d E 5 1 b W J l c j o s N X 0 m c X V v d D s s J n F 1 b 3 Q 7 U 2 V j d G l v b j E v 0 J 3 Q k N C m 0 J j Q l F / Q n t C x 0 L 7 Q s d G J 0 L X Q v V / Q v t G C 0 Y f Q t d G C L 0 F 1 d G 9 S Z W 1 v d m V k Q 2 9 s d W 1 u c z E u e 9 C / 0 J / R g N C 1 0 L / Q v t C 0 0 L D Q s t C w 0 Y L Q t d C 7 O i w 2 f S Z x d W 9 0 O y w m c X V v d D t T Z W N 0 a W 9 u M S / Q n d C Q 0 K b Q m N C U X 9 C e 0 L H Q v t C x 0 Y n Q t d C 9 X 9 C + 0 Y L R h 9 C 1 0 Y I v Q X V 0 b 1 J l b W 9 2 Z W R D b 2 x 1 b W 5 z M S 5 7 0 L D Q l d C T 0 J 0 6 L D d 9 J n F 1 b 3 Q 7 L C Z x d W 9 0 O 1 N l Y 3 R p b 2 4 x L 9 C d 0 J D Q p t C Y 0 J R f 0 J 7 Q s d C + 0 L H R i d C 1 0 L 1 f 0 L 7 R g t G H 0 L X R g i 9 B d X R v U m V t b 3 Z l Z E N v b H V t b n M x L n t c d T A w M 2 N 8 X H U w M D N l L j E s O H 0 m c X V v d D s s J n F 1 b 3 Q 7 U 2 V j d G l v b j E v 0 J 3 Q k N C m 0 J j Q l F / Q n t C x 0 L 7 Q s d G J 0 L X Q v V / Q v t G C 0 Y f Q t d G C L 0 F 1 d G 9 S Z W 1 v d m V k Q 2 9 s d W 1 u c z E u e 9 C w 0 K P R h 9 C 1 0 L H Q v d C w I N C z 0 L 7 Q t N C 4 0 L 3 Q s D o s O X 0 m c X V v d D s s J n F 1 b 3 Q 7 U 2 V j d G l v b j E v 0 J 3 Q k N C m 0 J j Q l F / Q n t C x 0 L 7 Q s d G J 0 L X Q v V / Q v t G C 0 Y f Q t d G C L 0 F 1 d G 9 S Z W 1 v d m V k Q 2 9 s d W 1 u c z E u e 9 C w 0 K F l 0 L z Q t d G B 0 Y L R i t G A O i w x M H 0 m c X V v d D s s J n F 1 b 3 Q 7 U 2 V j d G l v b j E v 0 J 3 Q k N C m 0 J j Q l F / Q n t C x 0 L 7 Q s d G J 0 L X Q v V / Q v t G C 0 Y f Q t d G C L 0 F 1 d G 9 S Z W 1 v d m V k Q 2 9 s d W 1 u c z E u e 9 C / 0 K T Q s N C 6 0 Y P Q u 9 G C 0 L X R g j o s M T F 9 J n F 1 b 3 Q 7 L C Z x d W 9 0 O 1 N l Y 3 R p b 2 4 x L 9 C d 0 J D Q p t C Y 0 J R f 0 J 7 Q s d C + 0 L H R i d C 1 0 L 1 f 0 L 7 R g t G H 0 L X R g i 9 B d X R v U m V t b 3 Z l Z E N v b H V t b n M x L n v Q v 9 C a 0 L D R g t C 1 0 L T R g N C w O i w x M n 0 m c X V v d D s s J n F 1 b 3 Q 7 U 2 V j d G l v b j E v 0 J 3 Q k N C m 0 J j Q l F / Q n t C x 0 L 7 Q s d G J 0 L X Q v V / Q v t G C 0 Y f Q t d G C L 0 F 1 d G 9 S Z W 1 v d m V k Q 2 9 s d W 1 u c z E u e 9 C / 0 J D Q u t C w 0 L Q u I N C 0 0 L v R i t C 2 0 L 3 Q v t G B 0 Y I 6 L D E z f S Z x d W 9 0 O y w m c X V v d D t T Z W N 0 a W 9 u M S / Q n d C Q 0 K b Q m N C U X 9 C e 0 L H Q v t C x 0 Y n Q t d C 9 X 9 C + 0 Y L R h 9 C 1 0 Y I v Q X V 0 b 1 J l b W 9 2 Z W R D b 2 x 1 b W 5 z M S 5 7 0 L / Q o N G K 0 L o u I N C 0 0 L v R i t C 2 0 L 3 Q v t G B 0 Y I 6 L D E 0 f S Z x d W 9 0 O y w m c X V v d D t T Z W N 0 a W 9 u M S / Q n d C Q 0 K b Q m N C U X 9 C e 0 L H Q v t C x 0 Y n Q t d C 9 X 9 C + 0 Y L R h 9 C 1 0 Y I v Q X V 0 b 1 J l b W 9 2 Z W R D b 2 x 1 b W 5 z M S 5 7 0 L H Q v N C 7 0 J 7 Q l z o s M T V 9 J n F 1 b 3 Q 7 L C Z x d W 9 0 O 1 N l Y 3 R p b 2 4 x L 9 C d 0 J D Q p t C Y 0 J R f 0 J 7 Q s d C + 0 L H R i d C 1 0 L 1 f 0 L 7 R g t G H 0 L X R g i 9 B d X R v U m V t b 3 Z l Z E N v b H V t b n M x L n v Q s d C 8 0 L v Q k N C X O i w x N n 0 m c X V v d D s s J n F 1 b 3 Q 7 U 2 V j d G l v b j E v 0 J 3 Q k N C m 0 J j Q l F / Q n t C x 0 L 7 Q s d G J 0 L X Q v V / Q v t G C 0 Y f Q t d G C L 0 F 1 d G 9 S Z W 1 v d m V k Q 2 9 s d W 1 u c z E u e 9 C x 0 L z Q u 9 C 0 0 J 7 Q l z o s M T d 9 J n F 1 b 3 Q 7 L C Z x d W 9 0 O 1 N l Y 3 R p b 2 4 x L 9 C d 0 J D Q p t C Y 0 J R f 0 J 7 Q s d C + 0 L H R i d C 1 0 L 1 f 0 L 7 R g t G H 0 L X R g i 9 B d X R v U m V t b 3 Z l Z E N v b H V t b n M x L n v Q s d C 8 0 L v Q t N C Q 0 J c 6 L D E 4 f S Z x d W 9 0 O y w m c X V v d D t T Z W N 0 a W 9 u M S / Q n d C Q 0 K b Q m N C U X 9 C e 0 L H Q v t C x 0 Y n Q t d C 9 X 9 C + 0 Y L R h 9 C 1 0 Y I v Q X V 0 b 1 J l b W 9 2 Z W R D b 2 x 1 b W 5 z M S 5 7 0 L H Q s N C 6 0 K P Q l z o s M T l 9 J n F 1 b 3 Q 7 L C Z x d W 9 0 O 1 N l Y 3 R p b 2 4 x L 9 C d 0 J D Q p t C Y 0 J R f 0 J 7 Q s d C + 0 L H R i d C 1 0 L 1 f 0 L 7 R g t G H 0 L X R g i 9 B d X R v U m V t b 3 Z l Z E N v b H V t b n M x L n v Q s d C w 0 L r Q k N C 3 O i w y M H 0 m c X V v d D s s J n F 1 b 3 Q 7 U 2 V j d G l v b j E v 0 J 3 Q k N C m 0 J j Q l F / Q n t C x 0 L 7 Q s d G J 0 L X Q v V / Q v t G C 0 Y f Q t d G C L 0 F 1 d G 9 S Z W 1 v d m V k Q 2 9 s d W 1 u c z E u e 9 C 8 0 L D Q s 9 C j 0 J c 6 L D I x f S Z x d W 9 0 O y w m c X V v d D t T Z W N 0 a W 9 u M S / Q n d C Q 0 K b Q m N C U X 9 C e 0 L H Q v t C x 0 Y n Q t d C 9 X 9 C + 0 Y L R h 9 C 1 0 Y I v Q X V 0 b 1 J l b W 9 2 Z W R D b 2 x 1 b W 5 z M S 5 7 0 L z Q s N C z 0 J D Q l z o s M j J 9 J n F 1 b 3 Q 7 L C Z x d W 9 0 O 1 N l Y 3 R p b 2 4 x L 9 C d 0 J D Q p t C Y 0 J R f 0 J 7 Q s d C + 0 L H R i d C 1 0 L 1 f 0 L 7 R g t G H 0 L X R g i 9 B d X R v U m V t b 3 Z l Z E N v b H V t b n M x L n v Q v 9 C X 0 L D Q s d C 1 0 L v Q t d C 2 0 L r Q s D o s M j N 9 J n F 1 b 3 Q 7 L C Z x d W 9 0 O 1 N l Y 3 R p b 2 4 x L 9 C d 0 J D Q p t C Y 0 J R f 0 J 7 Q s d C + 0 L H R i d C 1 0 L 1 f 0 L 7 R g t G H 0 L X R g i 9 B d X R v U m V t b 3 Z l Z E N v b H V t b n M x L n t U Z W F j a G V y X 0 l E O i w y N H 0 m c X V v d D s s J n F 1 b 3 Q 7 U 2 V j d G l v b j E v 0 J 3 Q k N C m 0 J j Q l F / Q n t C x 0 L 7 Q s d G J 0 L X Q v V / Q v t G C 0 Y f Q t d G C L 0 F 1 d G 9 S Z W 1 v d m V k Q 2 9 s d W 1 u c z E u e 1 B l c n N v b k R h d G F f S U Q 6 L D I 1 f S Z x d W 9 0 O y w m c X V v d D t T Z W N 0 a W 9 u M S / Q n d C Q 0 K b Q m N C U X 9 C e 0 L H Q v t C x 0 Y n Q t d C 9 X 9 C + 0 Y L R h 9 C 1 0 Y I v Q X V 0 b 1 J l b W 9 2 Z W R D b 2 x 1 b W 5 z M S 5 7 T E R B U F V z Z X J O Y W 1 l O i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F e H B h b m R l Z C U y M E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X 0 V k d W N h d G l v b l B s Y W 5 z X y V E M C U 5 Q y V E M C U 5 R S V E M C U 5 R F 9 M a X N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S W 5 z Z X J 0 Z W Q l M j B U Z X h 0 J T I w Q m V 0 d 2 V l b i U y M E R l b G l t a X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l u c 2 V y d G V k J T I w R G l 2 a X N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J b n N l c n R l Z C U y M F R l e H Q l M j B C Z X R 3 Z W V u J T I w R G V s a W 1 p d G V y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T c G x p d C U y M E N v b H V t b i U y M G J 5 J T I w R G V s a W 1 p d G V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J l b W 9 2 Z W Q l M j B E d X B s a W N h d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l u c 2 V y d G V k J T I w V G V 4 d C U y M E J l Z m 9 y Z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d y b 3 V w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g l R D A l O T A l R D A l Q T Y l R D A l O T g l R D A l O T R f J U Q w J U E x J U Q w J U J G J U Q x J T g w P C 9 J d G V t U G F 0 a D 4 8 L 0 l 0 Z W 1 M b 2 N h d G l v b j 4 8 U 3 R h Y m x l R W 5 0 c m l l c z 4 8 R W 5 0 c n k g V H l w Z T 0 i R m l s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j b 3 Z l c n l U Y X J n Z X R T a G V l d C I g V m F s d W U 9 I n P Q n d C Q 0 K b Q m N C U X 9 C e 0 L H Q v t C x 0 Y n Q t d C 9 X 9 C + 0 Y L R h 9 C 1 0 Y I i I C 8 + P E V u d H J 5 I F R 5 c G U 9 I l J l Y 2 9 2 Z X J 5 V G F y Z 2 V 0 Q 2 9 s d W 1 u I i B W Y W x 1 Z T 0 i b D k i I C 8 + P E V u d H J 5 I F R 5 c G U 9 I l J l Y 2 9 2 Z X J 5 V G F y Z 2 V 0 U m 9 3 I i B W Y W x 1 Z T 0 i b D M i I C 8 + P E V u d H J 5 I F R 5 c G U 9 I l F 1 Z X J 5 R 3 J v d X B J R C I g V m F s d W U 9 I n M z M j U z N m V i Y y 1 l N j A x L T Q 3 M D E t Y T N l M i 0 4 Y j E 2 O T J k M j k 0 Y j c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O G U y Y j J m Y z E t Y W Z m Y i 0 0 N z l k L W F i M T M t O T E 2 N D N l Y m Y y Z T h m I i A v P j x F b n R y e S B U e X B l P S J G a W x s T G F z d F V w Z G F 0 Z W Q i I F Z h b H V l P S J k M j A y M y 0 w N i 0 y O V Q x M D o w M z o y M y 4 0 M T c z N z Q 1 W i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E N v b H V t b l R 5 c G V z I i B W Y W x 1 Z T 0 i c 0 J n W U d C Z 1 l H Q X d Z R 0 J R V U Z C U V V G Q l F V R 0 F 3 T U R C Z z 0 9 I i A v P j x F b n R y e S B U e X B l P S J G a W x s Q 2 9 s d W 1 u T m F t Z X M i I F Z h b H V l P S J z W y Z x d W 9 0 O 9 C w 0 K P R h 9 C 1 0 L H Q v d C w I N C z 0 L 7 Q t N C 4 0 L 3 Q s D o m c X V v d D s s J n F 1 b 3 Q 7 0 L D Q o W X Q v N C 1 0 Y H R g t G K 0 Y A 6 J n F 1 b 3 Q 7 L C Z x d W 9 0 O 9 C / 0 K T Q s N C 6 0 Y P Q u 9 G C 0 L X R g j o m c X V v d D s s J n F 1 b 3 Q 7 0 L / Q m t C w 0 Y L Q t d C 0 0 Y D Q s D o m c X V v d D s s J n F 1 b 3 Q 7 0 L / Q k N C 6 0 L D Q t C 4 g 0 L T Q u 9 G K 0 L b Q v d C + 0 Y H R g j o m c X V v d D s s J n F 1 b 3 Q 7 0 L / Q o N G K 0 L o u I N C 0 0 L v R i t C 2 0 L 3 Q v t G B 0 Y I 6 J n F 1 b 3 Q 7 L C Z x d W 9 0 O 1 R l Y W N o Z X J M b 3 R O d W 1 i Z X I 6 J n F 1 b 3 Q 7 L C Z x d W 9 0 O 9 C / 0 J / R g N C 1 0 L / Q v t C 0 0 L D Q s t C w 0 Y L Q t d C 7 O i Z x d W 9 0 O y w m c X V v d D v Q s N C V 0 J P Q n T o m c X V v d D s s J n F 1 b 3 Q 7 0 L H Q v N C 7 0 J 7 Q l z o m c X V v d D s s J n F 1 b 3 Q 7 0 L H Q v N C 7 0 J D Q l z o m c X V v d D s s J n F 1 b 3 Q 7 0 L H Q v N C 7 0 L T Q n t C X O i Z x d W 9 0 O y w m c X V v d D v Q s d C 8 0 L v Q t N C Q 0 J c 6 J n F 1 b 3 Q 7 L C Z x d W 9 0 O 9 C x 0 L D Q u t C j 0 J c 6 J n F 1 b 3 Q 7 L C Z x d W 9 0 O 9 C x 0 L D Q u t C Q 0 L c 6 J n F 1 b 3 Q 7 L C Z x d W 9 0 O 9 C 8 0 L D Q s 9 C j 0 J c 6 J n F 1 b 3 Q 7 L C Z x d W 9 0 O 9 C 8 0 L D Q s 9 C Q 0 J c 6 J n F 1 b 3 Q 7 L C Z x d W 9 0 O 9 C / 0 J f Q s N C x 0 L X Q u 9 C 1 0 L b Q u t C w O i Z x d W 9 0 O y w m c X V v d D t U Z W F j a G V y X 0 l E O i Z x d W 9 0 O y w m c X V v d D t Q Z X J z b 2 5 E Y X R h X 0 l E O i Z x d W 9 0 O y w m c X V v d D t M R E F Q V X N l c k 5 h b W U 6 J n F 1 b 3 Q 7 L C Z x d W 9 0 O 1 x 1 M D A z Y 3 x c d T A w M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l R f 0 J T Q v t C 6 0 Y P Q v N C 1 0 L 3 R g t C w 0 Y b Q u N G P X 0 j Q k N C m 0 J j Q l F / Q o d C / 0 Y A v Q X V 0 b 1 J l b W 9 2 Z W R D b 2 x 1 b W 5 z M S 5 7 0 L D Q o 9 G H 0 L X Q s d C 9 0 L A g 0 L P Q v t C 0 0 L j Q v d C w O i w w f S Z x d W 9 0 O y w m c X V v d D t T Z W N 0 a W 9 u M S 9 S V F / Q l N C + 0 L r R g 9 C 8 0 L X Q v d G C 0 L D R h t C 4 0 Y 9 f S N C Q 0 K b Q m N C U X 9 C h 0 L / R g C 9 B d X R v U m V t b 3 Z l Z E N v b H V t b n M x L n v Q s N C h Z d C 8 0 L X R g d G C 0 Y r R g D o s M X 0 m c X V v d D s s J n F 1 b 3 Q 7 U 2 V j d G l v b j E v U l R f 0 J T Q v t C 6 0 Y P Q v N C 1 0 L 3 R g t C w 0 Y b Q u N G P X 0 j Q k N C m 0 J j Q l F / Q o d C / 0 Y A v Q X V 0 b 1 J l b W 9 2 Z W R D b 2 x 1 b W 5 z M S 5 7 0 L / Q p N C w 0 L r R g 9 C 7 0 Y L Q t d G C O i w y f S Z x d W 9 0 O y w m c X V v d D t T Z W N 0 a W 9 u M S 9 S V F / Q l N C + 0 L r R g 9 C 8 0 L X Q v d G C 0 L D R h t C 4 0 Y 9 f S N C Q 0 K b Q m N C U X 9 C h 0 L / R g C 9 B d X R v U m V t b 3 Z l Z E N v b H V t b n M x L n v Q v 9 C a 0 L D R g t C 1 0 L T R g N C w O i w z f S Z x d W 9 0 O y w m c X V v d D t T Z W N 0 a W 9 u M S 9 S V F / Q l N C + 0 L r R g 9 C 8 0 L X Q v d G C 0 L D R h t C 4 0 Y 9 f S N C Q 0 K b Q m N C U X 9 C h 0 L / R g C 9 B d X R v U m V t b 3 Z l Z E N v b H V t b n M x L n v Q v 9 C Q 0 L r Q s N C 0 L i D Q t N C 7 0 Y r Q t t C 9 0 L 7 R g d G C O i w 0 f S Z x d W 9 0 O y w m c X V v d D t T Z W N 0 a W 9 u M S 9 S V F / Q l N C + 0 L r R g 9 C 8 0 L X Q v d G C 0 L D R h t C 4 0 Y 9 f S N C Q 0 K b Q m N C U X 9 C h 0 L / R g C 9 B d X R v U m V t b 3 Z l Z E N v b H V t b n M x L n v Q v 9 C g 0 Y r Q u i 4 g 0 L T Q u 9 G K 0 L b Q v d C + 0 Y H R g j o s N X 0 m c X V v d D s s J n F 1 b 3 Q 7 U 2 V j d G l v b j E v U l R f 0 J T Q v t C 6 0 Y P Q v N C 1 0 L 3 R g t C w 0 Y b Q u N G P X 0 j Q k N C m 0 J j Q l F / Q o d C / 0 Y A v Q X V 0 b 1 J l b W 9 2 Z W R D b 2 x 1 b W 5 z M S 5 7 V G V h Y 2 h l c k x v d E 5 1 b W J l c j o s N n 0 m c X V v d D s s J n F 1 b 3 Q 7 U 2 V j d G l v b j E v U l R f 0 J T Q v t C 6 0 Y P Q v N C 1 0 L 3 R g t C w 0 Y b Q u N G P X 0 j Q k N C m 0 J j Q l F / Q o d C / 0 Y A v Q X V 0 b 1 J l b W 9 2 Z W R D b 2 x 1 b W 5 z M S 5 7 0 L / Q n 9 G A 0 L X Q v 9 C + 0 L T Q s N C y 0 L D R g t C 1 0 L s 6 L D d 9 J n F 1 b 3 Q 7 L C Z x d W 9 0 O 1 N l Y 3 R p b 2 4 x L 1 J U X 9 C U 0 L 7 Q u t G D 0 L z Q t d C 9 0 Y L Q s N G G 0 L j R j 1 9 I 0 J D Q p t C Y 0 J R f 0 K H Q v 9 G A L 0 F 1 d G 9 S Z W 1 v d m V k Q 2 9 s d W 1 u c z E u e 9 C w 0 J X Q k 9 C d O i w 4 f S Z x d W 9 0 O y w m c X V v d D t T Z W N 0 a W 9 u M S 9 S V F / Q l N C + 0 L r R g 9 C 8 0 L X Q v d G C 0 L D R h t C 4 0 Y 9 f S N C Q 0 K b Q m N C U X 9 C h 0 L / R g C 9 B d X R v U m V t b 3 Z l Z E N v b H V t b n M x L n v Q s d C 8 0 L v Q n t C X O i w 5 f S Z x d W 9 0 O y w m c X V v d D t T Z W N 0 a W 9 u M S 9 S V F / Q l N C + 0 L r R g 9 C 8 0 L X Q v d G C 0 L D R h t C 4 0 Y 9 f S N C Q 0 K b Q m N C U X 9 C h 0 L / R g C 9 B d X R v U m V t b 3 Z l Z E N v b H V t b n M x L n v Q s d C 8 0 L v Q k N C X O i w x M H 0 m c X V v d D s s J n F 1 b 3 Q 7 U 2 V j d G l v b j E v U l R f 0 J T Q v t C 6 0 Y P Q v N C 1 0 L 3 R g t C w 0 Y b Q u N G P X 0 j Q k N C m 0 J j Q l F / Q o d C / 0 Y A v Q X V 0 b 1 J l b W 9 2 Z W R D b 2 x 1 b W 5 z M S 5 7 0 L H Q v N C 7 0 L T Q n t C X O i w x M X 0 m c X V v d D s s J n F 1 b 3 Q 7 U 2 V j d G l v b j E v U l R f 0 J T Q v t C 6 0 Y P Q v N C 1 0 L 3 R g t C w 0 Y b Q u N G P X 0 j Q k N C m 0 J j Q l F / Q o d C / 0 Y A v Q X V 0 b 1 J l b W 9 2 Z W R D b 2 x 1 b W 5 z M S 5 7 0 L H Q v N C 7 0 L T Q k N C X O i w x M n 0 m c X V v d D s s J n F 1 b 3 Q 7 U 2 V j d G l v b j E v U l R f 0 J T Q v t C 6 0 Y P Q v N C 1 0 L 3 R g t C w 0 Y b Q u N G P X 0 j Q k N C m 0 J j Q l F / Q o d C / 0 Y A v Q X V 0 b 1 J l b W 9 2 Z W R D b 2 x 1 b W 5 z M S 5 7 0 L H Q s N C 6 0 K P Q l z o s M T N 9 J n F 1 b 3 Q 7 L C Z x d W 9 0 O 1 N l Y 3 R p b 2 4 x L 1 J U X 9 C U 0 L 7 Q u t G D 0 L z Q t d C 9 0 Y L Q s N G G 0 L j R j 1 9 I 0 J D Q p t C Y 0 J R f 0 K H Q v 9 G A L 0 F 1 d G 9 S Z W 1 v d m V k Q 2 9 s d W 1 u c z E u e 9 C x 0 L D Q u t C Q 0 L c 6 L D E 0 f S Z x d W 9 0 O y w m c X V v d D t T Z W N 0 a W 9 u M S 9 S V F / Q l N C + 0 L r R g 9 C 8 0 L X Q v d G C 0 L D R h t C 4 0 Y 9 f S N C Q 0 K b Q m N C U X 9 C h 0 L / R g C 9 B d X R v U m V t b 3 Z l Z E N v b H V t b n M x L n v Q v N C w 0 L P Q o 9 C X O i w x N X 0 m c X V v d D s s J n F 1 b 3 Q 7 U 2 V j d G l v b j E v U l R f 0 J T Q v t C 6 0 Y P Q v N C 1 0 L 3 R g t C w 0 Y b Q u N G P X 0 j Q k N C m 0 J j Q l F / Q o d C / 0 Y A v Q X V 0 b 1 J l b W 9 2 Z W R D b 2 x 1 b W 5 z M S 5 7 0 L z Q s N C z 0 J D Q l z o s M T Z 9 J n F 1 b 3 Q 7 L C Z x d W 9 0 O 1 N l Y 3 R p b 2 4 x L 1 J U X 9 C U 0 L 7 Q u t G D 0 L z Q t d C 9 0 Y L Q s N G G 0 L j R j 1 9 I 0 J D Q p t C Y 0 J R f 0 K H Q v 9 G A L 0 F 1 d G 9 S Z W 1 v d m V k Q 2 9 s d W 1 u c z E u e 9 C / 0 J f Q s N C x 0 L X Q u 9 C 1 0 L b Q u t C w O i w x N 3 0 m c X V v d D s s J n F 1 b 3 Q 7 U 2 V j d G l v b j E v U l R f 0 J T Q v t C 6 0 Y P Q v N C 1 0 L 3 R g t C w 0 Y b Q u N G P X 0 j Q k N C m 0 J j Q l F / Q o d C / 0 Y A v Q X V 0 b 1 J l b W 9 2 Z W R D b 2 x 1 b W 5 z M S 5 7 V G V h Y 2 h l c l 9 J R D o s M T h 9 J n F 1 b 3 Q 7 L C Z x d W 9 0 O 1 N l Y 3 R p b 2 4 x L 1 J U X 9 C U 0 L 7 Q u t G D 0 L z Q t d C 9 0 Y L Q s N G G 0 L j R j 1 9 I 0 J D Q p t C Y 0 J R f 0 K H Q v 9 G A L 0 F 1 d G 9 S Z W 1 v d m V k Q 2 9 s d W 1 u c z E u e 1 B l c n N v b k R h d G F f S U Q 6 L D E 5 f S Z x d W 9 0 O y w m c X V v d D t T Z W N 0 a W 9 u M S 9 S V F / Q l N C + 0 L r R g 9 C 8 0 L X Q v d G C 0 L D R h t C 4 0 Y 9 f S N C Q 0 K b Q m N C U X 9 C h 0 L / R g C 9 B d X R v U m V t b 3 Z l Z E N v b H V t b n M x L n t M R E F Q V X N l c k 5 h b W U 6 L D I w f S Z x d W 9 0 O y w m c X V v d D t T Z W N 0 a W 9 u M S 9 S V F / Q l N C + 0 L r R g 9 C 8 0 L X Q v d G C 0 L D R h t C 4 0 Y 9 f S N C Q 0 K b Q m N C U X 9 C h 0 L / R g C 9 B d X R v U m V t b 3 Z l Z E N v b H V t b n M x L n t c d T A w M 2 N 8 X H U w M D N l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l R f 0 J T Q v t C 6 0 Y P Q v N C 1 0 L 3 R g t C w 0 Y b Q u N G P X 0 j Q k N C m 0 J j Q l F / Q o d C / 0 Y A v Q X V 0 b 1 J l b W 9 2 Z W R D b 2 x 1 b W 5 z M S 5 7 0 L D Q o 9 G H 0 L X Q s d C 9 0 L A g 0 L P Q v t C 0 0 L j Q v d C w O i w w f S Z x d W 9 0 O y w m c X V v d D t T Z W N 0 a W 9 u M S 9 S V F / Q l N C + 0 L r R g 9 C 8 0 L X Q v d G C 0 L D R h t C 4 0 Y 9 f S N C Q 0 K b Q m N C U X 9 C h 0 L / R g C 9 B d X R v U m V t b 3 Z l Z E N v b H V t b n M x L n v Q s N C h Z d C 8 0 L X R g d G C 0 Y r R g D o s M X 0 m c X V v d D s s J n F 1 b 3 Q 7 U 2 V j d G l v b j E v U l R f 0 J T Q v t C 6 0 Y P Q v N C 1 0 L 3 R g t C w 0 Y b Q u N G P X 0 j Q k N C m 0 J j Q l F / Q o d C / 0 Y A v Q X V 0 b 1 J l b W 9 2 Z W R D b 2 x 1 b W 5 z M S 5 7 0 L / Q p N C w 0 L r R g 9 C 7 0 Y L Q t d G C O i w y f S Z x d W 9 0 O y w m c X V v d D t T Z W N 0 a W 9 u M S 9 S V F / Q l N C + 0 L r R g 9 C 8 0 L X Q v d G C 0 L D R h t C 4 0 Y 9 f S N C Q 0 K b Q m N C U X 9 C h 0 L / R g C 9 B d X R v U m V t b 3 Z l Z E N v b H V t b n M x L n v Q v 9 C a 0 L D R g t C 1 0 L T R g N C w O i w z f S Z x d W 9 0 O y w m c X V v d D t T Z W N 0 a W 9 u M S 9 S V F / Q l N C + 0 L r R g 9 C 8 0 L X Q v d G C 0 L D R h t C 4 0 Y 9 f S N C Q 0 K b Q m N C U X 9 C h 0 L / R g C 9 B d X R v U m V t b 3 Z l Z E N v b H V t b n M x L n v Q v 9 C Q 0 L r Q s N C 0 L i D Q t N C 7 0 Y r Q t t C 9 0 L 7 R g d G C O i w 0 f S Z x d W 9 0 O y w m c X V v d D t T Z W N 0 a W 9 u M S 9 S V F / Q l N C + 0 L r R g 9 C 8 0 L X Q v d G C 0 L D R h t C 4 0 Y 9 f S N C Q 0 K b Q m N C U X 9 C h 0 L / R g C 9 B d X R v U m V t b 3 Z l Z E N v b H V t b n M x L n v Q v 9 C g 0 Y r Q u i 4 g 0 L T Q u 9 G K 0 L b Q v d C + 0 Y H R g j o s N X 0 m c X V v d D s s J n F 1 b 3 Q 7 U 2 V j d G l v b j E v U l R f 0 J T Q v t C 6 0 Y P Q v N C 1 0 L 3 R g t C w 0 Y b Q u N G P X 0 j Q k N C m 0 J j Q l F / Q o d C / 0 Y A v Q X V 0 b 1 J l b W 9 2 Z W R D b 2 x 1 b W 5 z M S 5 7 V G V h Y 2 h l c k x v d E 5 1 b W J l c j o s N n 0 m c X V v d D s s J n F 1 b 3 Q 7 U 2 V j d G l v b j E v U l R f 0 J T Q v t C 6 0 Y P Q v N C 1 0 L 3 R g t C w 0 Y b Q u N G P X 0 j Q k N C m 0 J j Q l F / Q o d C / 0 Y A v Q X V 0 b 1 J l b W 9 2 Z W R D b 2 x 1 b W 5 z M S 5 7 0 L / Q n 9 G A 0 L X Q v 9 C + 0 L T Q s N C y 0 L D R g t C 1 0 L s 6 L D d 9 J n F 1 b 3 Q 7 L C Z x d W 9 0 O 1 N l Y 3 R p b 2 4 x L 1 J U X 9 C U 0 L 7 Q u t G D 0 L z Q t d C 9 0 Y L Q s N G G 0 L j R j 1 9 I 0 J D Q p t C Y 0 J R f 0 K H Q v 9 G A L 0 F 1 d G 9 S Z W 1 v d m V k Q 2 9 s d W 1 u c z E u e 9 C w 0 J X Q k 9 C d O i w 4 f S Z x d W 9 0 O y w m c X V v d D t T Z W N 0 a W 9 u M S 9 S V F / Q l N C + 0 L r R g 9 C 8 0 L X Q v d G C 0 L D R h t C 4 0 Y 9 f S N C Q 0 K b Q m N C U X 9 C h 0 L / R g C 9 B d X R v U m V t b 3 Z l Z E N v b H V t b n M x L n v Q s d C 8 0 L v Q n t C X O i w 5 f S Z x d W 9 0 O y w m c X V v d D t T Z W N 0 a W 9 u M S 9 S V F / Q l N C + 0 L r R g 9 C 8 0 L X Q v d G C 0 L D R h t C 4 0 Y 9 f S N C Q 0 K b Q m N C U X 9 C h 0 L / R g C 9 B d X R v U m V t b 3 Z l Z E N v b H V t b n M x L n v Q s d C 8 0 L v Q k N C X O i w x M H 0 m c X V v d D s s J n F 1 b 3 Q 7 U 2 V j d G l v b j E v U l R f 0 J T Q v t C 6 0 Y P Q v N C 1 0 L 3 R g t C w 0 Y b Q u N G P X 0 j Q k N C m 0 J j Q l F / Q o d C / 0 Y A v Q X V 0 b 1 J l b W 9 2 Z W R D b 2 x 1 b W 5 z M S 5 7 0 L H Q v N C 7 0 L T Q n t C X O i w x M X 0 m c X V v d D s s J n F 1 b 3 Q 7 U 2 V j d G l v b j E v U l R f 0 J T Q v t C 6 0 Y P Q v N C 1 0 L 3 R g t C w 0 Y b Q u N G P X 0 j Q k N C m 0 J j Q l F / Q o d C / 0 Y A v Q X V 0 b 1 J l b W 9 2 Z W R D b 2 x 1 b W 5 z M S 5 7 0 L H Q v N C 7 0 L T Q k N C X O i w x M n 0 m c X V v d D s s J n F 1 b 3 Q 7 U 2 V j d G l v b j E v U l R f 0 J T Q v t C 6 0 Y P Q v N C 1 0 L 3 R g t C w 0 Y b Q u N G P X 0 j Q k N C m 0 J j Q l F / Q o d C / 0 Y A v Q X V 0 b 1 J l b W 9 2 Z W R D b 2 x 1 b W 5 z M S 5 7 0 L H Q s N C 6 0 K P Q l z o s M T N 9 J n F 1 b 3 Q 7 L C Z x d W 9 0 O 1 N l Y 3 R p b 2 4 x L 1 J U X 9 C U 0 L 7 Q u t G D 0 L z Q t d C 9 0 Y L Q s N G G 0 L j R j 1 9 I 0 J D Q p t C Y 0 J R f 0 K H Q v 9 G A L 0 F 1 d G 9 S Z W 1 v d m V k Q 2 9 s d W 1 u c z E u e 9 C x 0 L D Q u t C Q 0 L c 6 L D E 0 f S Z x d W 9 0 O y w m c X V v d D t T Z W N 0 a W 9 u M S 9 S V F / Q l N C + 0 L r R g 9 C 8 0 L X Q v d G C 0 L D R h t C 4 0 Y 9 f S N C Q 0 K b Q m N C U X 9 C h 0 L / R g C 9 B d X R v U m V t b 3 Z l Z E N v b H V t b n M x L n v Q v N C w 0 L P Q o 9 C X O i w x N X 0 m c X V v d D s s J n F 1 b 3 Q 7 U 2 V j d G l v b j E v U l R f 0 J T Q v t C 6 0 Y P Q v N C 1 0 L 3 R g t C w 0 Y b Q u N G P X 0 j Q k N C m 0 J j Q l F / Q o d C / 0 Y A v Q X V 0 b 1 J l b W 9 2 Z W R D b 2 x 1 b W 5 z M S 5 7 0 L z Q s N C z 0 J D Q l z o s M T Z 9 J n F 1 b 3 Q 7 L C Z x d W 9 0 O 1 N l Y 3 R p b 2 4 x L 1 J U X 9 C U 0 L 7 Q u t G D 0 L z Q t d C 9 0 Y L Q s N G G 0 L j R j 1 9 I 0 J D Q p t C Y 0 J R f 0 K H Q v 9 G A L 0 F 1 d G 9 S Z W 1 v d m V k Q 2 9 s d W 1 u c z E u e 9 C / 0 J f Q s N C x 0 L X Q u 9 C 1 0 L b Q u t C w O i w x N 3 0 m c X V v d D s s J n F 1 b 3 Q 7 U 2 V j d G l v b j E v U l R f 0 J T Q v t C 6 0 Y P Q v N C 1 0 L 3 R g t C w 0 Y b Q u N G P X 0 j Q k N C m 0 J j Q l F / Q o d C / 0 Y A v Q X V 0 b 1 J l b W 9 2 Z W R D b 2 x 1 b W 5 z M S 5 7 V G V h Y 2 h l c l 9 J R D o s M T h 9 J n F 1 b 3 Q 7 L C Z x d W 9 0 O 1 N l Y 3 R p b 2 4 x L 1 J U X 9 C U 0 L 7 Q u t G D 0 L z Q t d C 9 0 Y L Q s N G G 0 L j R j 1 9 I 0 J D Q p t C Y 0 J R f 0 K H Q v 9 G A L 0 F 1 d G 9 S Z W 1 v d m V k Q 2 9 s d W 1 u c z E u e 1 B l c n N v b k R h d G F f S U Q 6 L D E 5 f S Z x d W 9 0 O y w m c X V v d D t T Z W N 0 a W 9 u M S 9 S V F / Q l N C + 0 L r R g 9 C 8 0 L X Q v d G C 0 L D R h t C 4 0 Y 9 f S N C Q 0 K b Q m N C U X 9 C h 0 L / R g C 9 B d X R v U m V t b 3 Z l Z E N v b H V t b n M x L n t M R E F Q V X N l c k 5 h b W U 6 L D I w f S Z x d W 9 0 O y w m c X V v d D t T Z W N 0 a W 9 u M S 9 S V F / Q l N C + 0 L r R g 9 C 8 0 L X Q v d G C 0 L D R h t C 4 0 Y 9 f S N C Q 0 K b Q m N C U X 9 C h 0 L / R g C 9 B d X R v U m V t b 3 Z l Z E N v b H V t b n M x L n t c d T A w M 2 N 8 X H U w M D N l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g l R D A l O T A l R D A l Q T Y l R D A l O T g l R D A l O T R f J U Q w J U E x J U Q w J U J G J U Q x J T g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U X y V E M C U 5 N C V E M C V C R S V E M C V C Q S V E M S U 4 M y V E M C V C Q y V E M C V C N S V E M C V C R C V E M S U 4 M i V E M C V C M C V E M S U 4 N i V E M C V C O C V E M S U 4 R l 9 I J U Q w J T k w J U Q w J U E 2 J U Q w J T k 4 J U Q w J T k 0 X y V E M C V B M S V E M C V C R i V E M S U 4 M C 9 S V F 8 l R D A l O T Q l R D A l Q k U l R D A l Q k E l R D E l O D M l R D A l Q k M l R D A l Q j U l R D A l Q k Q l R D E l O D I l R D A l Q j A l R D E l O D Y l R D A l Q j g l R D E l O E Z f S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U X y V E M C U 5 N C V E M C V C R S V E M C V C Q S V E M S U 4 M y V E M C V C Q y V E M C V C N S V E M C V C R C V E M S U 4 M i V E M C V C M C V E M S U 4 N i V E M C V C O C V E M S U 4 R l 9 I J U Q w J T k w J U Q w J U E 2 J U Q w J T k 4 J U Q w J T k 0 X y V E M C V B M S V E M C V C R i V E M S U 4 M C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R f J U Q w J T k 0 J U Q w J U J F J U Q w J U J B J U Q x J T g z J U Q w J U J D J U Q w J U I 1 J U Q w J U J E J U Q x J T g y J U Q w J U I w J U Q x J T g 2 J U Q w J U I 4 J U Q x J T h G X 0 g l R D A l O T A l R D A l Q T Y l R D A l O T g l R D A l O T R f J U Q w J U E x J U Q w J U J G J U Q x J T g w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V F 8 l R D A l O T Q l R D A l Q k U l R D A l Q k E l R D E l O D M l R D A l Q k M l R D A l Q j U l R D A l Q k Q l R D E l O D I l R D A l Q j A l R D E l O D Y l R D A l Q j g l R D E l O E Z f S C V E M C U 5 M C V E M C V B N i V E M C U 5 O C V E M C U 5 N F 8 l R D A l Q T E l R D A l Q k Y l R D E l O D A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V F 8 l R D A l O T Q l R D A l Q k U l R D A l Q k E l R D E l O D M l R D A l Q k M l R D A l Q j U l R D A l Q k Q l R D E l O D I l R D A l Q j A l R D E l O D Y l R D A l Q j g l R D E l O E Z f S C V E M C U 5 M C V E M C V B N i V E M C U 5 O C V E M C U 5 N F 8 l R D A l Q T E l R D A l Q k Y l R D E l O D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V F 8 l R D A l O T Q l R D A l Q k U l R D A l Q k E l R D E l O D M l R D A l Q k M l R D A l Q j U l R D A l Q k Q l R D E l O D I l R D A l Q j A l R D E l O D Y l R D A l Q j g l R D E l O E Z f S C V E M C U 5 M C V E M C V B N i V E M C U 5 O C V E M C U 5 N F 8 l R D A l Q T E l R D A l Q k Y l R D E l O D A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V 4 c G F u Z G V k J T I w U l R f J U Q w J T k 0 J U Q w J U J F J U Q w J U J B J U Q x J T g z J U Q w J U J D J U Q w J U I 1 J U Q w J U J E J U Q x J T g y J U Q w J U I w J U Q x J T g 2 J U Q w J U I 4 J U Q x J T h G X 0 g l R D A l O T A l R D A l Q T Y l R D A l O T g l R D A l O T R f J U Q w J U E x J U Q w J U J G J U Q x J T g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T b 3 J 0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d y b 3 V w Z W Q l M j B S b 3 d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N h Z j R h N T g 3 N C 1 k M T k 0 L T R h Y 2 Y t Y T F k N S 1 h M z d j Z m U 0 Y m Q w Z D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y N 1 Q x M z o w M j o y O C 4 0 M D Q 4 M D M 3 W i I g L z 4 8 R W 5 0 c n k g V H l w Z T 0 i R m l s b F N 0 Y X R 1 c y I g V m F s d W U 9 I n N D b 2 1 w b G V 0 Z S I g L z 4 8 R W 5 0 c n k g V H l w Z T 0 i U X V l c n l J R C I g V m F s d W U 9 I n M x Z T k x M D A 4 Z S 1 i M G F j L T Q w Z G U t Y T A 1 Z S 1 i M D I 4 Y z Z j M 2 I x N T g i I C 8 + P C 9 T d G F i b G V F b n R y a W V z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g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P C 9 J d G V t U G F 0 a D 4 8 L 0 l 0 Z W 1 M b 2 N h d G l v b j 4 8 U 3 R h Y m x l R W 5 0 c m l l c z 4 8 R W 5 0 c n k g V H l w Z T 0 i U X V l c n l H c m 9 1 c E l E I i B W Y W x 1 Z T 0 i c 2 F m N G E 1 O D c 0 L W Q x O T Q t N G F j Z i 1 h M W Q 1 L W E z N 2 N m Z T R i Z D B k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z L T A 2 L T I 3 V D E 0 O j E y O j I z L j k 1 O D A w N D R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4 M m Q 1 Y j R l M S 0 0 M T Z h L T Q 3 O T c t Y T Y 3 Z C 0 3 M m Y 0 Y j l h Y z c 4 M 2 I i I C 8 + P C 9 T d G F i b G V F b n R y a W V z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x X y V E M S U 4 M y V E M S U 4 N y V E M C U 5 N C V E M C V C O C V E M S U 4 M S V E M S U 4 N i V E M C V C O C V E M C V C R i V E M C V C Q i V E M C V C O C V E M C V C R C V E M C V C O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x X y V E M S U 4 M y V E M S U 4 N y V E M C U 5 N C V E M C V C O C V E M S U 4 M S V E M S U 4 N i V E M C V C O C V E M C V C R i V E M C V C Q i V E M C V C O C V E M C V C R C V E M C V C O C 9 F e H B h b m R l Z C U y M E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S W 5 z Z X J 0 Z W Q l M j B N d W x 0 a X B s a W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x X y V E M S U 4 M y V E M S U 4 N y V E M C U 5 N C V E M C V C O C V E M S U 4 M S V E M S U 4 N i V E M C V C O C V E M C V C R i V E M C V C Q i V E M C V C O C V E M C V C R C V E M C V C O C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x X y V E M S U 4 M y V E M S U 4 N y V E M C U 5 N C V E M C V C O C V E M S U 4 M S V E M S U 4 N i V E M C V C O C V E M C V C R i V E M C V C Q i V E M C V C O C V E M C V C R C V E M C V C O C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0 1 l c m d l Z C U y M E N v b H V t b n M t J U Q w J T l C J U Q w J U I 1 J U Q w J U J B J U Q x J T g 2 J U Q w J U I 4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0 1 l c m d l Z C U y M E N v b H V t b n M t J U Q w J U E z J U Q w J U J G J U Q x J T g w J U Q w J U I w J U Q w J U I 2 J U Q w J U J E J U Q w J U I 1 J U Q w J U J E J U Q w J U I 4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0 1 l c m d l Z C U y M E N v b H V t b n M t J U Q w J T k 4 J U Q w J U I 3 J U Q w J U J G J U Q w J U I 4 J U Q x J T g y J U Q w J U I w J U Q w J U J E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0 1 l c m d l Z C U y M E N v b H V t b n M t J U Q w J U E y J U Q w J T l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0 1 l c m d l Z C U y M E N v b H V t b n M t J U Q w J T l B J U Q w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F f J U Q x J T g z J U Q x J T g 3 J U Q w J T k 0 J U Q w J U I 4 J U Q x J T g x J U Q x J T g 2 J U Q w J U I 4 J U Q w J U J G J U Q w J U J C J U Q w J U I 4 J U Q w J U J E J U Q w J U I 4 L 1 V u c G l 2 b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x X y V E M S U 4 M y V E M S U 4 N y V E M C U 5 N C V E M C V C O C V E M S U 4 M S V E M S U 4 N i V E M C V C O C V E M C V C R i V E M C V C Q i V E M C V C O C V E M C V C R C V E M C V C O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V 8 l R D E l O D M l R D E l O D c l R D A l O T Q l R D A l Q j g l R D E l O D E l R D E l O D Y l R D A l Q j g l R D A l Q k Y l R D A l Q k I l R D A l Q j g l R D A l Q k Q l R D A l Q j g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T w v S X R l b V B h d G g + P C 9 J d G V t T G 9 j Y X R p b 2 4 + P F N 0 Y W J s Z U V u d H J p Z X M + P E V u d H J 5 I F R 5 c G U 9 I l F 1 Z X J 5 R 3 J v d X B J R C I g V m F s d W U 9 I n N h Z j R h N T g 3 N C 1 k M T k 0 L T R h Y 2 Y t Y T F k N S 1 h M z d j Z m U 0 Y m Q w Z D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j d U M j E 6 N D M 6 N T Y u O D I z M j I 3 O F o i I C 8 + P E V u d H J 5 I F R 5 c G U 9 I k Z p b G x T d G F 0 d X M i I F Z h b H V l P S J z Q 2 9 t c G x l d G U i I C 8 + P E V u d H J 5 I F R 5 c G U 9 I l F 1 Z X J 5 S U Q i I F Z h b H V l P S J z M m R k M T A 3 O T g t M j R i Y S 0 0 M 2 V m L W J k M 2 Y t N W J k N D g x Z T A 1 Z T M 5 I i A v P j w v U 3 R h Y m x l R W 5 0 c m l l c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l 8 l R D E l O D M l R D E l O D c l R D A l O U Y l R D E l O D A l R D A l Q j A l R D A l Q k E l R D E l O D I l R D A l Q j g l R D A l Q k E l R D A l Q j A 8 L 0 l 0 Z W 1 Q Y X R o P j w v S X R l b U x v Y 2 F 0 a W 9 u P j x T d G F i b G V F b n R y a W V z P j x F b n R y e S B U e X B l P S J R d W V y e U d y b 3 V w S U Q i I F Z h b H V l P S J z Y W Y 0 Y T U 4 N z Q t Z D E 5 N C 0 0 Y W N m L W E x Z D U t Y T M 3 Y 2 Z l N G J k M G Q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I 3 V D I x O j Q z O j U 2 L j c 5 O D M y M z B a I i A v P j x F b n R y e S B U e X B l P S J G a W x s U 3 R h d H V z I i B W Y W x 1 Z T 0 i c 0 N v b X B s Z X R l I i A v P j x F b n R y e S B U e X B l P S J R d W V y e U l E I i B W Y W x 1 Z T 0 i c 2 M y N D c 5 N j l i L W J h N j g t N G N l N y 1 h Z T N h L W Q 5 Z j c x Y T F i Z G Q y O C I g L z 4 8 L 1 N 0 Y W J s Z U V u d H J p Z X M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l 8 l R D E l O D M l R D E l O D c l R D A l O U Y l R D E l O D A l R D A l Q j A l R D A l Q k E l R D E l O D I l R D A l Q j g l R D A l Q k E l R D A l Q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J f J U Q x J T g z J U Q x J T g 3 J U Q w J T l G J U Q x J T g w J U Q w J U I w J U Q w J U J B J U Q x J T g y J U Q w J U I 4 J U Q w J U J B J U Q w J U I w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y X y V E M S U 4 M y V E M S U 4 N y V E M C U 5 R i V E M S U 4 M C V E M C V C M C V E M C V C Q S V E M S U 4 M i V E M C V C O C V E M C V C Q S V E M C V C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J f J U Q x J T g z J U Q x J T g 3 J U Q w J T l G J U Q x J T g w J U Q w J U I w J U Q w J U J B J U Q x J T g y J U Q w J U I 4 J U Q w J U J B J U Q w J U I w L 0 V 4 c G F u Z G V k J T I w Q 2 9 u d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y X y V E M S U 4 M y V E M S U 4 N y V E M C U 5 R i V E M S U 4 M C V E M C V C M C V E M C V C Q S V E M S U 4 M i V E M C V C O C V E M C V C Q S V E M C V C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y X y V E M S U 4 M y V E M S U 4 N y V E M C U 5 R i V E M S U 4 M C V E M C V C M C V E M C V C Q S V E M S U 4 M i V E M C V C O C V E M C V C Q S V E M C V C M C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J f J U Q x J T g z J U Q x J T g 3 J U Q w J T l G J U Q x J T g w J U Q w J U I w J U Q w J U J B J U Q x J T g y J U Q w J U I 4 J U Q w J U J B J U Q w J U I w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J f J U Q x J T g z J U Q x J T g 3 J U Q w J T l G J U Q x J T g w J U Q w J U I w J U Q w J U J B J U Q x J T g y J U Q w J U I 4 J U Q w J U J B J U Q w J U I w L 0 1 l c m d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l 8 l R D E l O D M l R D E l O D c l R D A l O U Y l R D E l O D A l R D A l Q j A l R D A l Q k E l R D E l O D I l R D A l Q j g l R D A l Q k E l R D A l Q j A v S W 5 z Z X J 0 Z W Q l M j B N d W x 0 a X B s a W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y X y V E M S U 4 M y V E M S U 4 N y V E M C U 5 R i V E M S U 4 M C V E M C V C M C V E M C V C Q S V E M S U 4 M i V E M C V C O C V E M C V C Q S V E M C V C M C 9 N Z X J n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y X y V E M S U 4 M y V E M S U 4 N y V E M C U 5 R i V E M S U 4 M C V E M C V C M C V E M C V C Q S V E M S U 4 M i V E M C V C O C V E M C V C Q S V E M C V C M C 9 N Z X J n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1 8 l R D A l O T Q l R D A l Q j g l R D A l Q k Y l R D A l Q k I l R D A l Q k U l R D A l Q k M l R D A l Q j g l R D E l O D A l R D A l Q j A l R D A l Q k Q l R D A l Q j U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F e H B h b m R l Z C U y M E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1 8 l R D A l O T Q l R D A l Q j g l R D A l Q k Y l R D A l Q k I l R D A l Q k U l R D A l Q k M l R D A l Q j g l R D E l O D A l R D A l Q j A l R D A l Q k Q l R D A l Q j U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N f J U Q w J T k 0 J U Q w J U I 4 J U Q w J U J G J U Q w J U J C J U Q w J U J F J U Q w J U J D J U Q w J U I 4 J U Q x J T g w J U Q w J U I w J U Q w J U J E J U Q w J U I 1 L 0 1 l c m d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N f J U Q w J T k 0 J U Q w J U I 4 J U Q w J U J G J U Q w J U J C J U Q w J U J F J U Q w J U J D J U Q w J U I 4 J U Q x J T g w J U Q w J U I w J U Q w J U J E J U Q w J U I 1 L 0 1 l c m d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N f J U Q w J T k 0 J U Q w J U I 4 J U Q w J U J G J U Q w J U J C J U Q w J U J F J U Q w J U J D J U Q w J U I 4 J U Q x J T g w J U Q w J U I w J U Q w J U J E J U Q w J U I 1 L 0 1 l c m d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N f J U Q w J T k 0 J U Q w J U I 4 J U Q w J U J G J U Q w J U J C J U Q w J U J F J U Q w J U J D J U Q w J U I 4 J U Q x J T g w J U Q w J U I w J U Q w J U J E J U Q w J U I 1 L 1 V u c G l 2 b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1 8 l R D A l O T Q l R D A l Q j g l R D A l Q k Y l R D A l Q k I l R D A l Q k U l R D A l Q k M l R D A l Q j g l R D E l O D A l R D A l Q j A l R D A l Q k Q l R D A l Q j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1 8 l R D A l O T Q l R D A l Q j g l R D A l Q k Y l R D A l Q k I l R D A l Q k U l R D A l Q k M l R D A l Q j g l R D E l O D A l R D A l Q j A l R D A l Q k Q l R D A l Q j U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z X y V E M C U 5 N C V E M C V C O C V E M C V C R i V E M C V C Q i V E M C V C R S V E M C V C Q y V E M C V C O C V E M S U 4 M C V E M C V C M C V E M C V C R C V E M C V C N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M 1 8 l R D A l O T Q l R D A l Q j g l R D A l Q k Y l R D A l Q k I l R D A l Q k U l R D A l Q k M l R D A l Q j g l R D E l O D A l R D A l Q j A l R D A l Q k Q l R D A l Q j U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N F 8 l R D A l O U Y l R D A l Q k U l R D A l Q j Q l R D A l Q j M l R D A l Q k U l R D E l O D I l R D A l Q k U l R D A l Q j I l R D A l Q k E l R D A l Q j B f J U Q w J U J B J U Q x J T g z J U Q x J T g w J U Q x J T g x P C 9 J d G V t U G F 0 a D 4 8 L 0 l 0 Z W 1 M b 2 N h d G l v b j 4 8 U 3 R h Y m x l R W 5 0 c m l l c z 4 8 R W 5 0 c n k g V H l w Z T 0 i U X V l c n l H c m 9 1 c E l E I i B W Y W x 1 Z T 0 i c 2 F m N G E 1 O D c 0 L W Q x O T Q t N G F j Z i 1 h M W Q 1 L W E z N 2 N m Z T R i Z D B k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y 0 w N y 0 w M l Q x O D o y O T o y M C 4 1 N D U 3 O D k 1 W i I g L z 4 8 R W 5 0 c n k g V H l w Z T 0 i R m l s b F N 0 Y X R 1 c y I g V m F s d W U 9 I n N D b 2 1 w b G V 0 Z S I g L z 4 8 R W 5 0 c n k g V H l w Z T 0 i U X V l c n l J R C I g V m F s d W U 9 I n N l M m J k N G E 5 O C 0 y N D c y L T Q w Z T Q t Y T E z O C 0 x M T I 1 Z m R i Z T R l Y z E i I C 8 + P C 9 T d G F i b G V F b n R y a W V z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R f J U Q w J T l G J U Q w J U J F J U Q w J U I 0 J U Q w J U I z J U Q w J U J F J U Q x J T g y J U Q w J U J F J U Q w J U I y J U Q w J U J B J U Q w J U I w X y V E M C V C Q S V E M S U 4 M y V E M S U 4 M C V E M S U 4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N F 8 l R D A l O U Y l R D A l Q k U l R D A l Q j Q l R D A l Q j M l R D A l Q k U l R D E l O D I l R D A l Q k U l R D A l Q j I l R D A l Q k E l R D A l Q j B f J U Q w J U J B J U Q x J T g z J U Q x J T g w J U Q x J T g x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0 X y V E M C U 5 R i V E M C V C R S V E M C V C N C V E M C V C M y V E M C V C R S V E M S U 4 M i V E M C V C R S V E M C V C M i V E M C V C Q S V E M C V C M F 8 l R D A l Q k E l R D E l O D M l R D E l O D A l R D E l O D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U Q w J U E y J U Q w J U I w J U Q w J U I x J U Q w J U J C J U Q w J U I 4 J U Q x J T g 2 J U Q w J U I 4 X y V E M C U 5 M S V E M C U 5 Q y V E M C U 5 R l 8 0 X y V E M C U 5 R i V E M C V C R S V E M C V C N C V E M C V C M y V E M C V C R S V E M S U 4 M i V E M C V C R S V E M C V C M i V E M C V C Q S V E M C V C M F 8 l R D A l Q k E l R D E l O D M l R D E l O D A l R D E l O D E v R X h w Y W 5 k Z W Q l M j B D b 2 5 0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R f J U Q w J T l G J U Q w J U J F J U Q w J U I 0 J U Q w J U I z J U Q w J U J F J U Q x J T g y J U Q w J U J F J U Q w J U I y J U Q w J U J B J U Q w J U I w X y V E M C V C Q S V E M S U 4 M y V E M S U 4 M C V E M S U 4 M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S W 5 z Z X J 0 Z W Q l M j B E a X Z p c 2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J b n N l c n R l Z C U y M E 1 l c m d l Z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J b n N l c n R l Z C U y M E 1 l c m d l Z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Z H V j U G x h b n N f J U Q w J U J B J U Q w J U J F J U Q w J U I 0 J U Q w J T l E J U Q w J T k w J U Q w J U E 2 J U Q w J T k 4 J U Q w J T k 0 X y V E M C V B M S V E M C V C R i V E M C V C N S V E M S U 4 N i 9 E d X B s a W N h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T k w J U Q w J U E 2 J U Q w J T k 4 J U Q w J T k 0 X y V E M C U 5 R S V E M C V C M S V E M C V C R S V E M C V C M S V E M S U 4 O S V E M C V C N S V E M C V C R F 8 l R D A l Q k U l R D E l O D I l R D E l O D c l R D A l Q j U l R D E l O D I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F e H B h b m R l Z C U y M F J U X y V E M C U 5 N C V E M C V C R S V E M C V C Q S V E M S U 4 M y V E M C V C Q y V E M C V C N S V E M C V C R C V E M S U 4 M i V E M C V C M C V E M S U 4 N i V E M C V C O C V E M S U 4 R l 9 I X y V E M C V B M S V E M C V C R i V E M S U 4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U 5 M C V E M C V B N i V E M C U 5 O C V E M C U 5 N F 8 l R D A l O U U l R D A l Q j E l R D A l Q k U l R D A l Q j E l R D E l O D k l R D A l Q j U l R D A l Q k R f J U Q w J U J F J U Q x J T g y J U Q x J T g 3 J U Q w J U I 1 J U Q x J T g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Q l R D A l O T A l R D A l Q T Y l R D A l O T g l R D A l O T R f J U Q w J T l F J U Q w J U I x J U Q w J U J F J U Q w J U I x J U Q x J T g 5 J U Q w J U I 1 J U Q w J U J E X y V E M C V C R S V E M S U 4 M i V E M S U 4 N y V E M C V C N S V E M S U 4 M i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U X y V E M C U 5 N C V E M C V C R S V E M C V C Q S V E M S U 4 M y V E M C V C Q y V E M C V C N S V E M C V C R C V E M S U 4 M i V E M C V C M C V E M S U 4 N i V E M C V C O C V E M S U 4 R l 9 I X y V E M C V B M S V E M C V C R i V E M S U 4 M C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C N S V E M C V B N C V E M C V C M C V E M C V C Q S V E M S U 4 M y V E M C V C Q i V E M S U 4 M i V E M C V C N S V E M S U 4 M l 8 l R D A l O U U l R D A l O T d f J U Q w J U E x J U Q w J U J G J U Q w J U I 1 J U Q x J T g 2 L 1 N w b G l 0 J T I w Q 2 9 s d W 1 u J T I w Y n k l M j B E Z W x p b W l 0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j U l R D A l Q T Q l R D A l Q j A l R D A l Q k E l R D E l O D M l R D A l Q k I l R D E l O D I l R D A l Q j U l R D E l O D J f J U Q w J T l F J U Q w J T k 3 X y V E M C V B M S V E M C V C R i V E M C V C N S V E M S U 4 N i 9 S Z W 1 v d m V k J T I w R H V w b G l j Y X R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V E M C V B M i V E M C V C M C V E M C V C M S V E M C V C Q i V E M C V C O C V E M S U 4 N i V E M C V C O F 8 l R D A l O T E l R D A l O U M l R D A l O U Z f N F 8 l R D A l O U Y l R D A l Q k U l R D A l Q j Q l R D A l Q j M l R D A l Q k U l R D E l O D I l R D A l Q k U l R D A l Q j I l R D A l Q k E l R D A l Q j B f J U Q w J U J B J U Q x J T g z J U Q x J T g w J U Q x J T g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R D A l Q T I l R D A l Q j A l R D A l Q j E l R D A l Q k I l R D A l Q j g l R D E l O D Y l R D A l Q j h f J U Q w J T k x J U Q w J T l D J U Q w J T l G X z R f J U Q w J T l G J U Q w J U J F J U Q w J U I 0 J U Q w J U I z J U Q w J U J F J U Q x J T g y J U Q w J U J F J U Q w J U I y J U Q w J U J B J U Q w J U I w X y V E M C V C Q S V E M S U 4 M y V E M S U 4 M C V E M S U 4 M S 9 S Z W 9 y Z G V y Z W Q l M j B D b 2 x 1 b W 5 z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3 l 2 r G K W x D Q 7 4 G P W P d 4 X / / A A A A A A I A A A A A A B B m A A A A A Q A A I A A A A A 1 d k Q A k U D p T v T q b e u Z 5 u L m h 0 n v y c Q S + H z A 2 A 3 0 m 4 x t 9 A A A A A A 6 A A A A A A g A A I A A A A K L C P o J z B V J W n B Q D h w h + o c I B x a u l h a c N G W q x Y N q x o L r 8 U A A A A I p R 5 1 L a K t v K 2 X Z r Y L J 8 T g b e A f b 1 m V 0 d W f g s / E p y 7 l h l L 6 h E a g C 6 n / D u D V K y 5 X 7 s l d v H F 6 c M A + I g h 5 A a H w H i b B K Z t p S 9 M p e f 3 K 1 D 0 8 3 G s 1 i x Q A A A A C H e n v 9 F 6 Q F l Q B X M T G v H P 8 t C 6 s U P 5 I m g q J B U P l s b B 6 Q z E 5 T 9 X O E K 3 x 9 G u Y l r L M X R 4 Q f O t E R 8 s U + j M 2 j F p s x s P 9 g = < / D a t a M a s h u p > 
</file>

<file path=customXml/itemProps1.xml><?xml version="1.0" encoding="utf-8"?>
<ds:datastoreItem xmlns:ds="http://schemas.openxmlformats.org/officeDocument/2006/customXml" ds:itemID="{B745474A-BE7A-4D78-B172-234412DBFA1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315</vt:i4>
      </vt:variant>
    </vt:vector>
  </HeadingPairs>
  <TitlesOfParts>
    <vt:vector size="339" baseType="lpstr">
      <vt:lpstr>list</vt:lpstr>
      <vt:lpstr>Coef</vt:lpstr>
      <vt:lpstr>ПЕРИОД</vt:lpstr>
      <vt:lpstr>Корекции</vt:lpstr>
      <vt:lpstr>1. Планд</vt:lpstr>
      <vt:lpstr>1. План</vt:lpstr>
      <vt:lpstr>ДИУУ</vt:lpstr>
      <vt:lpstr>ДЕО</vt:lpstr>
      <vt:lpstr>1. Отчет</vt:lpstr>
      <vt:lpstr>2. ОКС "бакалавър"</vt:lpstr>
      <vt:lpstr>3. ОКС "магистър"</vt:lpstr>
      <vt:lpstr>4. ОНС "доктор"</vt:lpstr>
      <vt:lpstr>5. Подготовка на курс</vt:lpstr>
      <vt:lpstr>6. Договор</vt:lpstr>
      <vt:lpstr>Refrsh</vt:lpstr>
      <vt:lpstr>НАЦИД_Обобщен_отчет</vt:lpstr>
      <vt:lpstr>dbеФакултет_ОЗ_Спец</vt:lpstr>
      <vt:lpstr>EducPlans_кодНАЦИД_Спец</vt:lpstr>
      <vt:lpstr>Контрол</vt:lpstr>
      <vt:lpstr>Номенклатура</vt:lpstr>
      <vt:lpstr>База данни</vt:lpstr>
      <vt:lpstr>Справки</vt:lpstr>
      <vt:lpstr>db_EducationPlans_МОН_List</vt:lpstr>
      <vt:lpstr>1. Отчет-ДЕО</vt:lpstr>
      <vt:lpstr>BM4DisciplinaD</vt:lpstr>
      <vt:lpstr>BM4KDI</vt:lpstr>
      <vt:lpstr>BM4NRD</vt:lpstr>
      <vt:lpstr>BM4PN</vt:lpstr>
      <vt:lpstr>BM5BrEkip</vt:lpstr>
      <vt:lpstr>BM5Deinost</vt:lpstr>
      <vt:lpstr>BM5Disciplina</vt:lpstr>
      <vt:lpstr>BM5Facultet</vt:lpstr>
      <vt:lpstr>'1. Отчет-ДЕО'!BM5Forma</vt:lpstr>
      <vt:lpstr>'1. План'!BM5Forma</vt:lpstr>
      <vt:lpstr>db_EducationPlans_МОН_List!BM5Forma</vt:lpstr>
      <vt:lpstr>dbеФакултет_ОЗ_Спец!BM5Forma</vt:lpstr>
      <vt:lpstr>ДИУУ!BM5Forma</vt:lpstr>
      <vt:lpstr>BM5Forma</vt:lpstr>
      <vt:lpstr>BM5LUPU</vt:lpstr>
      <vt:lpstr>BM5OKC</vt:lpstr>
      <vt:lpstr>BM5Semestar</vt:lpstr>
      <vt:lpstr>BM5Spec</vt:lpstr>
      <vt:lpstr>BM5Vid</vt:lpstr>
      <vt:lpstr>BMBrIzpitaniB</vt:lpstr>
      <vt:lpstr>BMBrIzpitaniD</vt:lpstr>
      <vt:lpstr>BMBrIzpitaniM</vt:lpstr>
      <vt:lpstr>BMBrKRB</vt:lpstr>
      <vt:lpstr>BMBrKRM</vt:lpstr>
      <vt:lpstr>BMBrLiUD</vt:lpstr>
      <vt:lpstr>BMBroiD</vt:lpstr>
      <vt:lpstr>BMBrStB</vt:lpstr>
      <vt:lpstr>BMBrStM</vt:lpstr>
      <vt:lpstr>BMBrTOB</vt:lpstr>
      <vt:lpstr>BMBrTOM</vt:lpstr>
      <vt:lpstr>BMDisciplinaB</vt:lpstr>
      <vt:lpstr>BMDisciplinaD</vt:lpstr>
      <vt:lpstr>BMdisciplinaM</vt:lpstr>
      <vt:lpstr>BMDopPoqsnenieD</vt:lpstr>
      <vt:lpstr>BMEzikB</vt:lpstr>
      <vt:lpstr>BMEzikD</vt:lpstr>
      <vt:lpstr>BMEzikM</vt:lpstr>
      <vt:lpstr>BMFakultetB</vt:lpstr>
      <vt:lpstr>BMFakultetM</vt:lpstr>
      <vt:lpstr>BMFormaObB</vt:lpstr>
      <vt:lpstr>BMFormaObM</vt:lpstr>
      <vt:lpstr>BMFormaOcB</vt:lpstr>
      <vt:lpstr>BMFormaOcM</vt:lpstr>
      <vt:lpstr>'1. Отчет'!BMHomeOP</vt:lpstr>
      <vt:lpstr>'1. Отчет-ДЕО'!BMHomeOP</vt:lpstr>
      <vt:lpstr>'1. План'!BMHomeOP</vt:lpstr>
      <vt:lpstr>BMHomeOP</vt:lpstr>
      <vt:lpstr>'1. Отчет'!BMHomeTotal</vt:lpstr>
      <vt:lpstr>'1. Отчет-ДЕО'!BMHomeTotal</vt:lpstr>
      <vt:lpstr>'1. План'!BMHomeTotal</vt:lpstr>
      <vt:lpstr>BMHomeTotal</vt:lpstr>
      <vt:lpstr>BMKursB</vt:lpstr>
      <vt:lpstr>BMKursM</vt:lpstr>
      <vt:lpstr>BMNRD</vt:lpstr>
      <vt:lpstr>BMPodgotovkaKurs</vt:lpstr>
      <vt:lpstr>BMPraktikiZSM</vt:lpstr>
      <vt:lpstr>BMRealenBrLiUB</vt:lpstr>
      <vt:lpstr>BMRealenBrLiUM</vt:lpstr>
      <vt:lpstr>BMSpecialnostB</vt:lpstr>
      <vt:lpstr>BMSpecialnostM</vt:lpstr>
      <vt:lpstr>BMTAB</vt:lpstr>
      <vt:lpstr>BMTAM</vt:lpstr>
      <vt:lpstr>BMVidDB</vt:lpstr>
      <vt:lpstr>BMVidDM</vt:lpstr>
      <vt:lpstr>BrStB</vt:lpstr>
      <vt:lpstr>'1. План'!Col_Hide_1_План</vt:lpstr>
      <vt:lpstr>db_EducationPlans_МОН_List!Col_Hide_2_ОКС_Бакалавър</vt:lpstr>
      <vt:lpstr>dbеФакултет_ОЗ_Спец!Col_Hide_2_ОКС_Бакалавър</vt:lpstr>
      <vt:lpstr>Col_Hide_2_ОКС_Бакалавър</vt:lpstr>
      <vt:lpstr>db_EducationPlans_МОН_List!Col_Hide_3_ОКС_Магистър</vt:lpstr>
      <vt:lpstr>dbеФакултет_ОЗ_Спец!Col_Hide_3_ОКС_Магистър</vt:lpstr>
      <vt:lpstr>Col_Hide_3_ОКС_Магистър</vt:lpstr>
      <vt:lpstr>Col_Hide_4_ОНС_Доктор</vt:lpstr>
      <vt:lpstr>Col_Hide_5_Подготовка_курс</vt:lpstr>
      <vt:lpstr>Col_Show_2_ОКС_Бакалавър_НАЦИД</vt:lpstr>
      <vt:lpstr>Col_Show_3_ОКС_Магистър_НАЦИД</vt:lpstr>
      <vt:lpstr>d</vt:lpstr>
      <vt:lpstr>disciplinaB</vt:lpstr>
      <vt:lpstr>disciplinaM</vt:lpstr>
      <vt:lpstr>'2. ОКС "бакалавър"'!Extract</vt:lpstr>
      <vt:lpstr>EzikB</vt:lpstr>
      <vt:lpstr>FakultetB</vt:lpstr>
      <vt:lpstr>FakultetM</vt:lpstr>
      <vt:lpstr>FileName_Semester</vt:lpstr>
      <vt:lpstr>FormaObB</vt:lpstr>
      <vt:lpstr>FormaOcB</vt:lpstr>
      <vt:lpstr>Instrukcia</vt:lpstr>
      <vt:lpstr>InstrukciaB</vt:lpstr>
      <vt:lpstr>InstrukciaD</vt:lpstr>
      <vt:lpstr>InstrukciaM</vt:lpstr>
      <vt:lpstr>'1. Отчет'!IPBMD</vt:lpstr>
      <vt:lpstr>'1. Отчет-ДЕО'!IPBMD</vt:lpstr>
      <vt:lpstr>'1. План'!IPBMD</vt:lpstr>
      <vt:lpstr>IPBMD</vt:lpstr>
      <vt:lpstr>KursB</vt:lpstr>
      <vt:lpstr>KursM</vt:lpstr>
      <vt:lpstr>L_Инструкция_Бакалавър</vt:lpstr>
      <vt:lpstr>L_Инструкция_Доктор</vt:lpstr>
      <vt:lpstr>L_Инструкция_Магистър</vt:lpstr>
      <vt:lpstr>L_Инструкция_ПодготовкаКурс</vt:lpstr>
      <vt:lpstr>LetenSemestarB</vt:lpstr>
      <vt:lpstr>LetenSemestarM</vt:lpstr>
      <vt:lpstr>db_EducationPlans_МОН_List!mark</vt:lpstr>
      <vt:lpstr>dbеФакултет_ОЗ_Спец!mark</vt:lpstr>
      <vt:lpstr>mark</vt:lpstr>
      <vt:lpstr>db_EducationPlans_МОН_List!nGetLenData1</vt:lpstr>
      <vt:lpstr>dbеФакултет_ОЗ_Спец!nGetLenData1</vt:lpstr>
      <vt:lpstr>nGetLenData1</vt:lpstr>
      <vt:lpstr>db_EducationPlans_МОН_List!nGetLenData2</vt:lpstr>
      <vt:lpstr>dbеФакултет_ОЗ_Спец!nGetLenData2</vt:lpstr>
      <vt:lpstr>nGetLenData2</vt:lpstr>
      <vt:lpstr>db_EducationPlans_МОН_List!nGetLogData1</vt:lpstr>
      <vt:lpstr>dbеФакултет_ОЗ_Спец!nGetLogData1</vt:lpstr>
      <vt:lpstr>nGetLogData1</vt:lpstr>
      <vt:lpstr>db_EducationPlans_МОН_List!nGetLogData2</vt:lpstr>
      <vt:lpstr>dbеФакултет_ОЗ_Спец!nGetLogData2</vt:lpstr>
      <vt:lpstr>nGetLogData2</vt:lpstr>
      <vt:lpstr>'1. Отчет-ДЕО'!nnГодишнаЗаетост</vt:lpstr>
      <vt:lpstr>nnГодишнаЗаетост</vt:lpstr>
      <vt:lpstr>'1. Отчет-ДЕО'!nnОтчет</vt:lpstr>
      <vt:lpstr>nnОтчет</vt:lpstr>
      <vt:lpstr>'1. Отчет-ДЕО'!nnРеалниЧасове</vt:lpstr>
      <vt:lpstr>db_EducationPlans_МОН_List!nnРеалниЧасове</vt:lpstr>
      <vt:lpstr>dbеФакултет_ОЗ_Спец!nnРеалниЧасове</vt:lpstr>
      <vt:lpstr>nnРеалниЧасове</vt:lpstr>
      <vt:lpstr>'1. Отчет-ДЕО'!nАдадДлъжОтчет</vt:lpstr>
      <vt:lpstr>db_EducationPlans_МОН_List!nАдадДлъжОтчет</vt:lpstr>
      <vt:lpstr>dbеФакултет_ОЗ_Спец!nАдадДлъжОтчет</vt:lpstr>
      <vt:lpstr>nАдадДлъжОтчет</vt:lpstr>
      <vt:lpstr>nАдадДлъжПлан</vt:lpstr>
      <vt:lpstr>nАктуализация</vt:lpstr>
      <vt:lpstr>nБакалавър</vt:lpstr>
      <vt:lpstr>nд_об</vt:lpstr>
      <vt:lpstr>nДепълнЗабележка</vt:lpstr>
      <vt:lpstr>nЗимен</vt:lpstr>
      <vt:lpstr>nЗименЛетен</vt:lpstr>
      <vt:lpstr>'1. Отчет-ДЕО'!nКатедраОтчет</vt:lpstr>
      <vt:lpstr>nКатедраОтчет</vt:lpstr>
      <vt:lpstr>nКатедраПлан</vt:lpstr>
      <vt:lpstr>nкоефД_об</vt:lpstr>
      <vt:lpstr>nкоефР_об_З_об</vt:lpstr>
      <vt:lpstr>nЛетен</vt:lpstr>
      <vt:lpstr>nМагистър</vt:lpstr>
      <vt:lpstr>nНов_курс</vt:lpstr>
      <vt:lpstr>'1. Отчет-ДЕО'!nПреподавателОтчет</vt:lpstr>
      <vt:lpstr>nПреподавателОтчет</vt:lpstr>
      <vt:lpstr>nПреподавателПлан</vt:lpstr>
      <vt:lpstr>'1. Отчет-ДЕО'!nРъковДлъжОтчет</vt:lpstr>
      <vt:lpstr>db_EducationPlans_МОН_List!nРъковДлъжОтчет</vt:lpstr>
      <vt:lpstr>dbеФакултет_ОЗ_Спец!nРъковДлъжОтчет</vt:lpstr>
      <vt:lpstr>nРъковДлъжОтчет</vt:lpstr>
      <vt:lpstr>nРъковДлъжПлан</vt:lpstr>
      <vt:lpstr>nУчебни_ресурси</vt:lpstr>
      <vt:lpstr>'1. Отчет-ДЕО'!nФакултетОтчет</vt:lpstr>
      <vt:lpstr>db_EducationPlans_МОН_List!nФакултетОтчет</vt:lpstr>
      <vt:lpstr>dbеФакултет_ОЗ_Спец!nФакултетОтчет</vt:lpstr>
      <vt:lpstr>nФакултетОтчет</vt:lpstr>
      <vt:lpstr>nФакултетПлан</vt:lpstr>
      <vt:lpstr>db_EducationPlans_МОН_List!nЩат</vt:lpstr>
      <vt:lpstr>dbеФакултет_ОЗ_Спец!nЩат</vt:lpstr>
      <vt:lpstr>nЩат</vt:lpstr>
      <vt:lpstr>ObPotokB</vt:lpstr>
      <vt:lpstr>ObPotokM</vt:lpstr>
      <vt:lpstr>ONSDr</vt:lpstr>
      <vt:lpstr>'1. Отчет-ДЕО'!Print_1_Отчет</vt:lpstr>
      <vt:lpstr>Print_1_Отчет</vt:lpstr>
      <vt:lpstr>'1. План'!Print_1_План</vt:lpstr>
      <vt:lpstr>Print_1_План</vt:lpstr>
      <vt:lpstr>db_EducationPlans_МОН_List!Print_2_Бакалавър_Зимен</vt:lpstr>
      <vt:lpstr>dbеФакултет_ОЗ_Спец!Print_2_Бакалавър_Зимен</vt:lpstr>
      <vt:lpstr>Print_2_Бакалавър_Зимен</vt:lpstr>
      <vt:lpstr>db_EducationPlans_МОН_List!Print_2_Бакалавър_Летен</vt:lpstr>
      <vt:lpstr>dbеФакултет_ОЗ_Спец!Print_2_Бакалавър_Летен</vt:lpstr>
      <vt:lpstr>Print_2_Бакалавър_Летен</vt:lpstr>
      <vt:lpstr>db_EducationPlans_МОН_List!Print_2_Бакалавър_План</vt:lpstr>
      <vt:lpstr>dbеФакултет_ОЗ_Спец!Print_2_Бакалавър_План</vt:lpstr>
      <vt:lpstr>Print_2_Бакалавър_План</vt:lpstr>
      <vt:lpstr>db_EducationPlans_МОН_List!Print_2_Бакалавър_Септември</vt:lpstr>
      <vt:lpstr>dbеФакултет_ОЗ_Спец!Print_2_Бакалавър_Септември</vt:lpstr>
      <vt:lpstr>Print_2_Бакалавър_Септември</vt:lpstr>
      <vt:lpstr>db_EducationPlans_МОН_List!Print_3_Магистър_Зимен</vt:lpstr>
      <vt:lpstr>dbеФакултет_ОЗ_Спец!Print_3_Магистър_Зимен</vt:lpstr>
      <vt:lpstr>Print_3_Магистър_Зимен</vt:lpstr>
      <vt:lpstr>db_EducationPlans_МОН_List!Print_3_Магистър_Летен</vt:lpstr>
      <vt:lpstr>dbеФакултет_ОЗ_Спец!Print_3_Магистър_Летен</vt:lpstr>
      <vt:lpstr>Print_3_Магистър_Летен</vt:lpstr>
      <vt:lpstr>db_EducationPlans_МОН_List!Print_3_Магистър_План</vt:lpstr>
      <vt:lpstr>dbеФакултет_ОЗ_Спец!Print_3_Магистър_План</vt:lpstr>
      <vt:lpstr>Print_3_Магистър_План</vt:lpstr>
      <vt:lpstr>db_EducationPlans_МОН_List!Print_3_Магистър_Септември</vt:lpstr>
      <vt:lpstr>dbеФакултет_ОЗ_Спец!Print_3_Магистър_Септември</vt:lpstr>
      <vt:lpstr>Print_3_Магистър_Септември</vt:lpstr>
      <vt:lpstr>'1. Отчет'!Print_Area</vt:lpstr>
      <vt:lpstr>'1. Отчет-ДЕО'!Print_Area</vt:lpstr>
      <vt:lpstr>'1. План'!Print_Area</vt:lpstr>
      <vt:lpstr>'1. Планд'!Print_Area</vt:lpstr>
      <vt:lpstr>'2. ОКС "бакалавър"'!Print_Area</vt:lpstr>
      <vt:lpstr>'3. ОКС "магистър"'!Print_Area</vt:lpstr>
      <vt:lpstr>'4. ОНС "доктор"'!Print_Area</vt:lpstr>
      <vt:lpstr>'5. Подготовка на курс'!Print_Area</vt:lpstr>
      <vt:lpstr>ДЕО!Print_Area</vt:lpstr>
      <vt:lpstr>ДИУУ!Print_Area</vt:lpstr>
      <vt:lpstr>'2. ОКС "бакалавър"'!Print_Titles</vt:lpstr>
      <vt:lpstr>'3. ОКС "магистър"'!Print_Titles</vt:lpstr>
      <vt:lpstr>'4. ОНС "доктор"'!Print_Titles</vt:lpstr>
      <vt:lpstr>'5. Подготовка на курс'!Print_Titles</vt:lpstr>
      <vt:lpstr>RealenBrLiUB</vt:lpstr>
      <vt:lpstr>RealenBrLiUM</vt:lpstr>
      <vt:lpstr>Row_Бакалавър_Hide</vt:lpstr>
      <vt:lpstr>Row_Бакалавър_PotokB</vt:lpstr>
      <vt:lpstr>db_EducationPlans_МОН_List!Row_Бакалавър_Table_Header</vt:lpstr>
      <vt:lpstr>dbеФакултет_ОЗ_Спец!Row_Бакалавър_Table_Header</vt:lpstr>
      <vt:lpstr>Row_Бакалавър_Table_Header</vt:lpstr>
      <vt:lpstr>db_EducationPlans_МОН_List!Row_Бакалавър_Зимен_семестър</vt:lpstr>
      <vt:lpstr>dbеФакултет_ОЗ_Спец!Row_Бакалавър_Зимен_семестър</vt:lpstr>
      <vt:lpstr>Row_Бакалавър_Зимен_семестър</vt:lpstr>
      <vt:lpstr>db_EducationPlans_МОН_List!Row_Бакалавър_Летен_семестър</vt:lpstr>
      <vt:lpstr>dbеФакултет_ОЗ_Спец!Row_Бакалавър_Летен_семестър</vt:lpstr>
      <vt:lpstr>Row_Бакалавър_Летен_семестър</vt:lpstr>
      <vt:lpstr>Row_Бакалавър_Отчет_Hide</vt:lpstr>
      <vt:lpstr>db_EducationPlans_МОН_List!Row_Бакалавър_План</vt:lpstr>
      <vt:lpstr>dbеФакултет_ОЗ_Спец!Row_Бакалавър_План</vt:lpstr>
      <vt:lpstr>Row_Бакалавър_План</vt:lpstr>
      <vt:lpstr>Row_Бакалавър_План_Hide</vt:lpstr>
      <vt:lpstr>db_EducationPlans_МОН_List!Row_Бакалавър_Септември</vt:lpstr>
      <vt:lpstr>dbеФакултет_ОЗ_Спец!Row_Бакалавър_Септември</vt:lpstr>
      <vt:lpstr>Row_Бакалавър_Септември</vt:lpstr>
      <vt:lpstr>db_EducationPlans_МОН_List!Row_Доктор_Hide</vt:lpstr>
      <vt:lpstr>dbеФакултет_ОЗ_Спец!Row_Доктор_Hide</vt:lpstr>
      <vt:lpstr>Row_Доктор_Hide</vt:lpstr>
      <vt:lpstr>Row_Магистър_Hide</vt:lpstr>
      <vt:lpstr>Row_Магистър_PotokM</vt:lpstr>
      <vt:lpstr>db_EducationPlans_МОН_List!Row_Магистър_Table_Header</vt:lpstr>
      <vt:lpstr>dbеФакултет_ОЗ_Спец!Row_Магистър_Table_Header</vt:lpstr>
      <vt:lpstr>Row_Магистър_Table_Header</vt:lpstr>
      <vt:lpstr>db_EducationPlans_МОН_List!Row_Магистър_Зимен_семестър</vt:lpstr>
      <vt:lpstr>dbеФакултет_ОЗ_Спец!Row_Магистър_Зимен_семестър</vt:lpstr>
      <vt:lpstr>Row_Магистър_Зимен_семестър</vt:lpstr>
      <vt:lpstr>db_EducationPlans_МОН_List!Row_Магистър_Летен_семестър</vt:lpstr>
      <vt:lpstr>dbеФакултет_ОЗ_Спец!Row_Магистър_Летен_семестър</vt:lpstr>
      <vt:lpstr>Row_Магистър_Летен_семестър</vt:lpstr>
      <vt:lpstr>Row_Магистър_Отчет_Hide</vt:lpstr>
      <vt:lpstr>db_EducationPlans_МОН_List!Row_Магистър_План</vt:lpstr>
      <vt:lpstr>dbеФакултет_ОЗ_Спец!Row_Магистър_План</vt:lpstr>
      <vt:lpstr>Row_Магистър_План</vt:lpstr>
      <vt:lpstr>Row_Магистър_План_Hide</vt:lpstr>
      <vt:lpstr>db_EducationPlans_МОН_List!Row_Магистър_Септември</vt:lpstr>
      <vt:lpstr>dbеФакултет_ОЗ_Спец!Row_Магистър_Септември</vt:lpstr>
      <vt:lpstr>Row_Магистър_Септември</vt:lpstr>
      <vt:lpstr>Row_Подготовка_на_курс_Hide</vt:lpstr>
      <vt:lpstr>db_EducationPlans_МОН_List!RRRRR3</vt:lpstr>
      <vt:lpstr>dbеФакултет_ОЗ_Спец!RRRRR3</vt:lpstr>
      <vt:lpstr>RRRRR3</vt:lpstr>
      <vt:lpstr>shНАЦИД</vt:lpstr>
      <vt:lpstr>SpecialnostB</vt:lpstr>
      <vt:lpstr>SpecialnostM</vt:lpstr>
      <vt:lpstr>Ver_еФормуляр</vt:lpstr>
      <vt:lpstr>VidDB</vt:lpstr>
      <vt:lpstr>VidDM</vt:lpstr>
      <vt:lpstr>ZimenSemestarB</vt:lpstr>
      <vt:lpstr>ZimenSemestarM</vt:lpstr>
      <vt:lpstr>деоАЗ</vt:lpstr>
      <vt:lpstr>деоДлъжност</vt:lpstr>
      <vt:lpstr>деоКатедра</vt:lpstr>
      <vt:lpstr>деоОЗ</vt:lpstr>
      <vt:lpstr>деоПреподавател</vt:lpstr>
      <vt:lpstr>диууАЗ</vt:lpstr>
      <vt:lpstr>диууДлъжност</vt:lpstr>
      <vt:lpstr>диууКатедра</vt:lpstr>
      <vt:lpstr>диууОЗ</vt:lpstr>
      <vt:lpstr>диууПреподавател</vt:lpstr>
      <vt:lpstr>Език_БЕ</vt:lpstr>
      <vt:lpstr>Език_ЧЕ</vt:lpstr>
      <vt:lpstr>db_EducationPlans_МОН_List!кДИ_защита</vt:lpstr>
      <vt:lpstr>dbеФакултет_ОЗ_Спец!кДИ_защита</vt:lpstr>
      <vt:lpstr>кДИ_защита</vt:lpstr>
      <vt:lpstr>db_EducationPlans_МОН_List!кДипломна_работа</vt:lpstr>
      <vt:lpstr>dbеФакултет_ОЗ_Спец!кДипломна_работа</vt:lpstr>
      <vt:lpstr>кДипломна_работа</vt:lpstr>
      <vt:lpstr>кЕзик_БЕ</vt:lpstr>
      <vt:lpstr>кЕзик_ФЧЕ</vt:lpstr>
      <vt:lpstr>кЕзик_ЧЕ</vt:lpstr>
      <vt:lpstr>db_EducationPlans_МОН_List!кИзпитаниДок</vt:lpstr>
      <vt:lpstr>dbеФакултет_ОЗ_Спец!кИзпитаниДок</vt:lpstr>
      <vt:lpstr>кИзпитаниДок</vt:lpstr>
      <vt:lpstr>db_EducationPlans_МОН_List!кКурсова_работа</vt:lpstr>
      <vt:lpstr>dbеФакултет_ОЗ_Спец!кКурсова_работа</vt:lpstr>
      <vt:lpstr>кКурсова_работа</vt:lpstr>
      <vt:lpstr>db_EducationPlans_МОН_List!кЛекции</vt:lpstr>
      <vt:lpstr>dbеФакултет_ОЗ_Спец!кЛекции</vt:lpstr>
      <vt:lpstr>кЛекции</vt:lpstr>
      <vt:lpstr>db_EducationPlans_МОН_List!кРецензия</vt:lpstr>
      <vt:lpstr>dbеФакултет_ОЗ_Спец!кРецензия</vt:lpstr>
      <vt:lpstr>кРецензия</vt:lpstr>
      <vt:lpstr>db_EducationPlans_МОН_List!кТО</vt:lpstr>
      <vt:lpstr>dbеФакултет_ОЗ_Спец!кТО</vt:lpstr>
      <vt:lpstr>кТО</vt:lpstr>
      <vt:lpstr>db_EducationPlans_МОН_List!кУпражнение</vt:lpstr>
      <vt:lpstr>dbеФакултет_ОЗ_Спец!кУпражнение</vt:lpstr>
      <vt:lpstr>кУпражнение</vt:lpstr>
      <vt:lpstr>db_EducationPlans_МОН_List!Лекторат</vt:lpstr>
      <vt:lpstr>dbеФакултет_ОЗ_Спец!Лекторат</vt:lpstr>
      <vt:lpstr>Лекторат</vt:lpstr>
      <vt:lpstr>нацидFullName</vt:lpstr>
      <vt:lpstr>нДЕО</vt:lpstr>
      <vt:lpstr>нДИУУ</vt:lpstr>
      <vt:lpstr>оксАЗ</vt:lpstr>
      <vt:lpstr>оксОЗ</vt:lpstr>
      <vt:lpstr>пФакултет</vt:lpstr>
      <vt:lpstr>db_EducationPlans_МОН_List!Семестър</vt:lpstr>
      <vt:lpstr>dbеФакултет_ОЗ_Спец!Семестър</vt:lpstr>
      <vt:lpstr>Семестър</vt:lpstr>
      <vt:lpstr>db_EducationPlans_МОН_List!Учебна_година</vt:lpstr>
      <vt:lpstr>dbеФакултет_ОЗ_Спец!Учебна_година</vt:lpstr>
      <vt:lpstr>Учебна_година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Ridvan</dc:creator>
  <cp:lastModifiedBy>Ридван Мустафов Исуфов</cp:lastModifiedBy>
  <cp:lastPrinted>2023-07-02T16:07:08Z</cp:lastPrinted>
  <dcterms:created xsi:type="dcterms:W3CDTF">2017-08-06T03:37:54Z</dcterms:created>
  <dcterms:modified xsi:type="dcterms:W3CDTF">2025-08-31T07:58:02Z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D">
    <vt:lpwstr>15.09.2019</vt:lpwstr>
  </property>
</Properties>
</file>